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C1BBF1EB-00DE-4D11-8FD8-BEC0F32EDA21}" xr6:coauthVersionLast="47" xr6:coauthVersionMax="47" xr10:uidLastSave="{00000000-0000-0000-0000-000000000000}"/>
  <bookViews>
    <workbookView xWindow="825" yWindow="75" windowWidth="27795" windowHeight="15390" xr2:uid="{00000000-000D-0000-FFFF-FFFF00000000}"/>
  </bookViews>
  <sheets>
    <sheet name="Лист1" sheetId="6" r:id="rId1"/>
    <sheet name="Data" sheetId="5" r:id="rId2"/>
    <sheet name="Задание" sheetId="1" r:id="rId3"/>
    <sheet name="Меры" sheetId="3" r:id="rId4"/>
    <sheet name="F" sheetId="2" r:id="rId5"/>
    <sheet name="Params" sheetId="4" r:id="rId6"/>
  </sheets>
  <definedNames>
    <definedName name="solver_adj" localSheetId="1" hidden="1">Data!$R$21</definedName>
    <definedName name="solver_adj" localSheetId="0" hidden="1">Лист1!$B$34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Data!$R$21</definedName>
    <definedName name="solver_lhs1" localSheetId="0" hidden="1">Лист1!$B$34</definedName>
    <definedName name="solver_lhs2" localSheetId="1" hidden="1">Data!$R$21</definedName>
    <definedName name="solver_lhs2" localSheetId="0" hidden="1">Лист1!$B$34</definedName>
    <definedName name="solver_lhs3" localSheetId="1" hidden="1">Data!$S$14</definedName>
    <definedName name="solver_lhs3" localSheetId="0" hidden="1">Лист1!$B$26</definedName>
    <definedName name="solver_lhs4" localSheetId="1" hidden="1">Data!$T$14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Data!$R$23</definedName>
    <definedName name="solver_opt" localSheetId="0" hidden="1">Лист1!$D$38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3</definedName>
    <definedName name="solver_rel4" localSheetId="1" hidden="1">1</definedName>
    <definedName name="solver_rhs1" localSheetId="1" hidden="1">1</definedName>
    <definedName name="solver_rhs1" localSheetId="0" hidden="1">1</definedName>
    <definedName name="solver_rhs2" localSheetId="1" hidden="1">0</definedName>
    <definedName name="solver_rhs2" localSheetId="0" hidden="1">0</definedName>
    <definedName name="solver_rhs3" localSheetId="1" hidden="1">1</definedName>
    <definedName name="solver_rhs3" localSheetId="0" hidden="1">0.15</definedName>
    <definedName name="solver_rhs4" localSheetId="1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6" l="1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Q8" i="6"/>
  <c r="Q12" i="6"/>
  <c r="Q16" i="6"/>
  <c r="Q20" i="6"/>
  <c r="Q24" i="6"/>
  <c r="Q28" i="6"/>
  <c r="Q32" i="6"/>
  <c r="Q36" i="6"/>
  <c r="Q40" i="6"/>
  <c r="Q44" i="6"/>
  <c r="Q48" i="6"/>
  <c r="Q52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8" i="6"/>
  <c r="M48" i="6"/>
  <c r="M49" i="6"/>
  <c r="M50" i="6"/>
  <c r="M51" i="6"/>
  <c r="M52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8" i="6"/>
  <c r="A37" i="6"/>
  <c r="A36" i="6"/>
  <c r="C34" i="6"/>
  <c r="B33" i="6"/>
  <c r="C33" i="6"/>
  <c r="C32" i="6"/>
  <c r="B32" i="6"/>
  <c r="C31" i="6"/>
  <c r="B31" i="6"/>
  <c r="C22" i="6"/>
  <c r="B21" i="6"/>
  <c r="C21" i="6"/>
  <c r="C20" i="6"/>
  <c r="B20" i="6"/>
  <c r="A21" i="6"/>
  <c r="A33" i="6" s="1"/>
  <c r="A22" i="6"/>
  <c r="A34" i="6" s="1"/>
  <c r="A20" i="6"/>
  <c r="A32" i="6" s="1"/>
  <c r="C19" i="6"/>
  <c r="B19" i="6"/>
  <c r="B11" i="6"/>
  <c r="C11" i="6"/>
  <c r="F3" i="6"/>
  <c r="J3" i="6" s="1"/>
  <c r="G3" i="6"/>
  <c r="K3" i="6" s="1"/>
  <c r="F2" i="6"/>
  <c r="J2" i="6" s="1"/>
  <c r="A10" i="6"/>
  <c r="A9" i="6"/>
  <c r="B9" i="6"/>
  <c r="C9" i="6"/>
  <c r="B10" i="6"/>
  <c r="C10" i="6"/>
  <c r="C8" i="6"/>
  <c r="B8" i="6"/>
  <c r="C2" i="6" a="1"/>
  <c r="C2" i="6" s="1"/>
  <c r="Q51" i="6" l="1"/>
  <c r="Q47" i="6"/>
  <c r="Q43" i="6"/>
  <c r="Q39" i="6"/>
  <c r="Q35" i="6"/>
  <c r="Q31" i="6"/>
  <c r="Q27" i="6"/>
  <c r="Q23" i="6"/>
  <c r="Q19" i="6"/>
  <c r="Q15" i="6"/>
  <c r="Q11" i="6"/>
  <c r="Q50" i="6"/>
  <c r="Q46" i="6"/>
  <c r="Q42" i="6"/>
  <c r="Q38" i="6"/>
  <c r="Q34" i="6"/>
  <c r="Q30" i="6"/>
  <c r="Q26" i="6"/>
  <c r="Q22" i="6"/>
  <c r="Q18" i="6"/>
  <c r="Q14" i="6"/>
  <c r="Q10" i="6"/>
  <c r="Q49" i="6"/>
  <c r="Q45" i="6"/>
  <c r="Q41" i="6"/>
  <c r="Q37" i="6"/>
  <c r="Q33" i="6"/>
  <c r="Q29" i="6"/>
  <c r="Q25" i="6"/>
  <c r="Q21" i="6"/>
  <c r="Q17" i="6"/>
  <c r="Q13" i="6"/>
  <c r="Q9" i="6"/>
  <c r="B36" i="6"/>
  <c r="G2" i="6" a="1"/>
  <c r="G2" i="6" s="1"/>
  <c r="K2" i="6" s="1"/>
  <c r="B14" i="6" s="1" a="1"/>
  <c r="B14" i="6" s="1"/>
  <c r="B25" i="6" a="1"/>
  <c r="B25" i="6" s="1"/>
  <c r="B26" i="6"/>
  <c r="B24" i="6"/>
  <c r="B13" i="6"/>
  <c r="C36" i="6" l="1"/>
  <c r="C37" i="6"/>
  <c r="B37" i="6"/>
  <c r="D36" i="6" l="1"/>
  <c r="D37" i="6"/>
  <c r="B2" i="4" a="1"/>
  <c r="B2" i="4" s="1"/>
  <c r="V22" i="5"/>
  <c r="V23" i="5"/>
  <c r="V24" i="5"/>
  <c r="V25" i="5"/>
  <c r="V26" i="5"/>
  <c r="V27" i="5"/>
  <c r="V28" i="5"/>
  <c r="V29" i="5"/>
  <c r="V30" i="5"/>
  <c r="V31" i="5"/>
  <c r="V21" i="5"/>
  <c r="S21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U5" i="5" s="1"/>
  <c r="L3" i="5"/>
  <c r="U3" i="5" s="1"/>
  <c r="R17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" i="5"/>
  <c r="K3" i="5"/>
  <c r="T3" i="5" s="1"/>
  <c r="S8" i="5"/>
  <c r="I5" i="5"/>
  <c r="J5" i="5"/>
  <c r="I6" i="5"/>
  <c r="M6" i="5" s="1"/>
  <c r="J6" i="5"/>
  <c r="I7" i="5"/>
  <c r="J7" i="5"/>
  <c r="I8" i="5"/>
  <c r="M8" i="5" s="1"/>
  <c r="J8" i="5"/>
  <c r="I9" i="5"/>
  <c r="J9" i="5"/>
  <c r="I10" i="5"/>
  <c r="M10" i="5" s="1"/>
  <c r="J10" i="5"/>
  <c r="I11" i="5"/>
  <c r="J11" i="5"/>
  <c r="I12" i="5"/>
  <c r="M12" i="5" s="1"/>
  <c r="J12" i="5"/>
  <c r="I13" i="5"/>
  <c r="J13" i="5"/>
  <c r="I14" i="5"/>
  <c r="M14" i="5" s="1"/>
  <c r="J14" i="5"/>
  <c r="I15" i="5"/>
  <c r="J15" i="5"/>
  <c r="I16" i="5"/>
  <c r="M16" i="5" s="1"/>
  <c r="J16" i="5"/>
  <c r="I17" i="5"/>
  <c r="J17" i="5"/>
  <c r="I18" i="5"/>
  <c r="M18" i="5" s="1"/>
  <c r="J18" i="5"/>
  <c r="I19" i="5"/>
  <c r="J19" i="5"/>
  <c r="I20" i="5"/>
  <c r="M20" i="5" s="1"/>
  <c r="J20" i="5"/>
  <c r="I21" i="5"/>
  <c r="J21" i="5"/>
  <c r="I22" i="5"/>
  <c r="M22" i="5" s="1"/>
  <c r="J22" i="5"/>
  <c r="I23" i="5"/>
  <c r="J23" i="5"/>
  <c r="I24" i="5"/>
  <c r="M24" i="5" s="1"/>
  <c r="J24" i="5"/>
  <c r="I25" i="5"/>
  <c r="J25" i="5"/>
  <c r="I26" i="5"/>
  <c r="M26" i="5" s="1"/>
  <c r="J26" i="5"/>
  <c r="I27" i="5"/>
  <c r="J27" i="5"/>
  <c r="I28" i="5"/>
  <c r="M28" i="5" s="1"/>
  <c r="J28" i="5"/>
  <c r="I29" i="5"/>
  <c r="J29" i="5"/>
  <c r="I30" i="5"/>
  <c r="M30" i="5" s="1"/>
  <c r="J30" i="5"/>
  <c r="I31" i="5"/>
  <c r="J31" i="5"/>
  <c r="I32" i="5"/>
  <c r="M32" i="5" s="1"/>
  <c r="J32" i="5"/>
  <c r="I33" i="5"/>
  <c r="J33" i="5"/>
  <c r="I34" i="5"/>
  <c r="M34" i="5" s="1"/>
  <c r="J34" i="5"/>
  <c r="I35" i="5"/>
  <c r="J35" i="5"/>
  <c r="I36" i="5"/>
  <c r="M36" i="5" s="1"/>
  <c r="J36" i="5"/>
  <c r="I37" i="5"/>
  <c r="J37" i="5"/>
  <c r="I38" i="5"/>
  <c r="M38" i="5" s="1"/>
  <c r="J38" i="5"/>
  <c r="I39" i="5"/>
  <c r="J39" i="5"/>
  <c r="I40" i="5"/>
  <c r="M40" i="5" s="1"/>
  <c r="J40" i="5"/>
  <c r="I41" i="5"/>
  <c r="J41" i="5"/>
  <c r="I42" i="5"/>
  <c r="M42" i="5" s="1"/>
  <c r="J42" i="5"/>
  <c r="I43" i="5"/>
  <c r="J43" i="5"/>
  <c r="I44" i="5"/>
  <c r="M44" i="5" s="1"/>
  <c r="J44" i="5"/>
  <c r="I45" i="5"/>
  <c r="J45" i="5"/>
  <c r="I46" i="5"/>
  <c r="M46" i="5" s="1"/>
  <c r="J46" i="5"/>
  <c r="I47" i="5"/>
  <c r="J47" i="5"/>
  <c r="J4" i="5"/>
  <c r="I4" i="5"/>
  <c r="J3" i="5"/>
  <c r="S3" i="5" s="1"/>
  <c r="I3" i="5"/>
  <c r="R3" i="5" s="1"/>
  <c r="U7" i="3"/>
  <c r="T7" i="3" s="1"/>
  <c r="S7" i="3" s="1"/>
  <c r="R7" i="3" s="1"/>
  <c r="Q7" i="3" s="1"/>
  <c r="P7" i="3" s="1"/>
  <c r="O7" i="3" s="1"/>
  <c r="N7" i="3" s="1"/>
  <c r="M7" i="3" s="1"/>
  <c r="L7" i="3" s="1"/>
  <c r="D38" i="6" l="1"/>
  <c r="M45" i="5"/>
  <c r="M41" i="5"/>
  <c r="M35" i="5"/>
  <c r="M29" i="5"/>
  <c r="M23" i="5"/>
  <c r="M17" i="5"/>
  <c r="M13" i="5"/>
  <c r="M9" i="5"/>
  <c r="M7" i="5"/>
  <c r="M5" i="5"/>
  <c r="U4" i="5"/>
  <c r="M47" i="5"/>
  <c r="M43" i="5"/>
  <c r="M39" i="5"/>
  <c r="M37" i="5"/>
  <c r="M33" i="5"/>
  <c r="M31" i="5"/>
  <c r="M27" i="5"/>
  <c r="M25" i="5"/>
  <c r="M21" i="5"/>
  <c r="M19" i="5"/>
  <c r="M15" i="5"/>
  <c r="M11" i="5"/>
  <c r="M4" i="5"/>
  <c r="T4" i="5"/>
  <c r="T5" i="5"/>
  <c r="R5" i="5"/>
  <c r="R4" i="5"/>
  <c r="S4" i="5"/>
  <c r="S5" i="5"/>
  <c r="R10" i="5" l="1"/>
  <c r="R15" i="5"/>
  <c r="R16" i="5"/>
  <c r="R9" i="5"/>
  <c r="X21" i="5" l="1"/>
  <c r="X22" i="5"/>
  <c r="X24" i="5"/>
  <c r="X26" i="5"/>
  <c r="X28" i="5"/>
  <c r="X30" i="5"/>
  <c r="X23" i="5"/>
  <c r="X25" i="5"/>
  <c r="X27" i="5"/>
  <c r="X29" i="5"/>
  <c r="X31" i="5"/>
  <c r="R23" i="5"/>
  <c r="W22" i="5"/>
  <c r="W24" i="5"/>
  <c r="W26" i="5"/>
  <c r="W28" i="5"/>
  <c r="W30" i="5"/>
  <c r="W21" i="5"/>
  <c r="W23" i="5"/>
  <c r="W25" i="5"/>
  <c r="W27" i="5"/>
  <c r="W29" i="5"/>
  <c r="W31" i="5"/>
  <c r="R2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F9EAD-4CCA-41C2-BBDE-0FEAC9AD07F4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B629E97C-09F5-4C86-8A65-65F32467163F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CA85280D-EF98-49B0-AC87-C4F7B43DEE79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5268CE0F-0255-47BB-95D1-EC23B3F9B319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5B4AE785-C08C-44EA-90A5-D0D33F02881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<sst xmlns="http://schemas.openxmlformats.org/spreadsheetml/2006/main" count="179" uniqueCount="137">
  <si>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</si>
  <si>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</si>
  <si>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</si>
  <si>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</si>
  <si>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</si>
  <si>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</si>
  <si>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</si>
  <si>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</si>
  <si>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</si>
  <si>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</si>
  <si>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</si>
  <si>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</si>
  <si>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</si>
  <si>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</si>
  <si>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</si>
  <si>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</si>
  <si>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</si>
  <si>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</si>
  <si>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</si>
  <si>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</si>
  <si>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</si>
  <si>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</si>
  <si>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</si>
  <si>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</si>
  <si>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</si>
  <si>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</si>
  <si>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</si>
  <si>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</si>
  <si>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</si>
  <si>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</si>
  <si>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</si>
  <si>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</si>
  <si>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</si>
  <si>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</si>
  <si>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</si>
  <si>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</si>
  <si>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</si>
  <si>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</si>
  <si>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</si>
  <si>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</si>
  <si>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</si>
  <si>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</si>
  <si>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</si>
  <si>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</si>
  <si>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</si>
  <si>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</si>
  <si>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</si>
  <si>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</si>
  <si>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</si>
  <si>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</si>
  <si>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</si>
  <si>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</si>
  <si>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</si>
  <si>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</si>
  <si>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</si>
  <si>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</si>
  <si>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</si>
  <si>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</si>
  <si>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</si>
  <si>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</si>
  <si>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</si>
  <si>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</si>
  <si>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</si>
  <si>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</si>
  <si>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</si>
  <si>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</si>
  <si>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</si>
  <si>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</si>
  <si>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</si>
  <si>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</si>
  <si>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</si>
  <si>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</si>
  <si>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</si>
  <si>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</si>
  <si>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</si>
  <si>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</si>
  <si>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</si>
  <si>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</si>
  <si>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</si>
  <si>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</si>
  <si>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</si>
  <si>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</si>
  <si>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</si>
  <si>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</si>
  <si>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</si>
  <si>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</si>
  <si>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</si>
  <si>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</si>
  <si>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</si>
  <si>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</si>
  <si>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</si>
  <si>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</si>
  <si>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</si>
  <si>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</si>
  <si>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</si>
  <si>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</si>
  <si>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</si>
  <si>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</si>
  <si>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</si>
  <si>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</si>
  <si>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</si>
  <si>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</si>
  <si>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</si>
  <si>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</si>
  <si>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</si>
  <si>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</si>
  <si>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</si>
  <si>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</si>
  <si>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</si>
  <si>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Ср.д.%</t>
  </si>
  <si>
    <t>Ср.риск%</t>
  </si>
  <si>
    <t>P2</t>
  </si>
  <si>
    <t>W</t>
  </si>
  <si>
    <t>R</t>
  </si>
  <si>
    <t>SELG</t>
  </si>
  <si>
    <t>P3</t>
  </si>
  <si>
    <t>СуммаW</t>
  </si>
  <si>
    <t>AKRN</t>
  </si>
  <si>
    <t>P4</t>
  </si>
  <si>
    <t>W(P3)</t>
  </si>
  <si>
    <t>W(Akrn)</t>
  </si>
  <si>
    <t>Cor(r)</t>
  </si>
  <si>
    <t>Sigma</t>
  </si>
  <si>
    <t>Портфель минимального риска</t>
  </si>
  <si>
    <t>x</t>
  </si>
  <si>
    <t>=</t>
  </si>
  <si>
    <t>Sg*Cor(r)</t>
  </si>
  <si>
    <t>Sg</t>
  </si>
  <si>
    <t>Портфель максимального дохода</t>
  </si>
  <si>
    <t>Div</t>
  </si>
  <si>
    <t>Портфель Фишера</t>
  </si>
  <si>
    <t>Д.быть</t>
  </si>
  <si>
    <t>FОпт</t>
  </si>
  <si>
    <t>Date</t>
  </si>
  <si>
    <t>Pmin</t>
  </si>
  <si>
    <t>Pmax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</si>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</sst>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10" fontId="0" fillId="0" borderId="0" xfId="3" applyNumberFormat="1" applyFont="1"/>
    <xf numFmtId="0" fontId="2" fillId="0" borderId="0" xfId="0" applyFont="1"/>
    <xf numFmtId="0" fontId="11" fillId="0" borderId="0" xfId="0" applyFo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2" fillId="0" borderId="18" xfId="0" applyFont="1" applyFill="1" applyBorder="1" applyAlignment="1">
      <alignment horizontal="center"/>
    </xf>
    <xf numFmtId="0" fontId="13" fillId="0" borderId="0" xfId="0" applyFont="1"/>
    <xf numFmtId="10" fontId="0" fillId="0" borderId="0" xfId="0" applyNumberFormat="1"/>
    <xf numFmtId="165" fontId="0" fillId="0" borderId="10" xfId="0" applyNumberFormat="1" applyFill="1" applyBorder="1" applyAlignment="1"/>
    <xf numFmtId="165" fontId="0" fillId="0" borderId="0" xfId="0" applyNumberFormat="1" applyFill="1" applyBorder="1" applyAlignment="1"/>
    <xf numFmtId="0" fontId="14" fillId="0" borderId="0" xfId="0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0" borderId="0" xfId="0" applyFont="1"/>
    <xf numFmtId="2" fontId="0" fillId="0" borderId="0" xfId="0" applyNumberFormat="1"/>
    <xf numFmtId="0" fontId="16" fillId="0" borderId="0" xfId="0" applyFont="1"/>
    <xf numFmtId="0" fontId="17" fillId="0" borderId="0" xfId="0" applyFont="1"/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Лист1!$P$7</c:f>
              <c:strCache>
                <c:ptCount val="1"/>
                <c:pt idx="0">
                  <c:v>Pmin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Лист1!$P$8:$P$52</c:f>
              <c:numCache>
                <c:formatCode>General</c:formatCode>
                <c:ptCount val="45"/>
                <c:pt idx="0">
                  <c:v>297.20414043539591</c:v>
                </c:pt>
                <c:pt idx="1">
                  <c:v>299.15246973314913</c:v>
                </c:pt>
                <c:pt idx="2">
                  <c:v>300.19292978156727</c:v>
                </c:pt>
                <c:pt idx="3">
                  <c:v>301.75289346180546</c:v>
                </c:pt>
                <c:pt idx="4">
                  <c:v>301.78157384905876</c:v>
                </c:pt>
                <c:pt idx="5">
                  <c:v>307.96391041072764</c:v>
                </c:pt>
                <c:pt idx="6">
                  <c:v>310.56581113709166</c:v>
                </c:pt>
                <c:pt idx="7">
                  <c:v>311.27415254149332</c:v>
                </c:pt>
                <c:pt idx="8">
                  <c:v>311.92682808638119</c:v>
                </c:pt>
                <c:pt idx="9">
                  <c:v>311.73542372801342</c:v>
                </c:pt>
                <c:pt idx="10">
                  <c:v>313.22544794112673</c:v>
                </c:pt>
                <c:pt idx="11">
                  <c:v>317.46123486602352</c:v>
                </c:pt>
                <c:pt idx="12">
                  <c:v>316.13286924850843</c:v>
                </c:pt>
                <c:pt idx="13">
                  <c:v>314.31846246886619</c:v>
                </c:pt>
                <c:pt idx="14">
                  <c:v>310.08174334066825</c:v>
                </c:pt>
                <c:pt idx="15">
                  <c:v>314.37112590728918</c:v>
                </c:pt>
                <c:pt idx="16">
                  <c:v>312.52422518101696</c:v>
                </c:pt>
                <c:pt idx="17">
                  <c:v>311.44478208170466</c:v>
                </c:pt>
                <c:pt idx="18">
                  <c:v>309.25937045942129</c:v>
                </c:pt>
                <c:pt idx="19">
                  <c:v>314.34129539889864</c:v>
                </c:pt>
                <c:pt idx="20">
                  <c:v>317.39647699706478</c:v>
                </c:pt>
                <c:pt idx="21">
                  <c:v>317.44265133122343</c:v>
                </c:pt>
                <c:pt idx="22">
                  <c:v>324.35992736029266</c:v>
                </c:pt>
                <c:pt idx="23">
                  <c:v>321.1352300238417</c:v>
                </c:pt>
                <c:pt idx="24">
                  <c:v>324.16698547189321</c:v>
                </c:pt>
                <c:pt idx="25">
                  <c:v>329.16278450362216</c:v>
                </c:pt>
                <c:pt idx="26">
                  <c:v>326.79357142861079</c:v>
                </c:pt>
                <c:pt idx="27">
                  <c:v>329.76912832920664</c:v>
                </c:pt>
                <c:pt idx="28">
                  <c:v>325.33184019367258</c:v>
                </c:pt>
                <c:pt idx="29">
                  <c:v>326.33476997579095</c:v>
                </c:pt>
                <c:pt idx="30">
                  <c:v>329.92484261513084</c:v>
                </c:pt>
                <c:pt idx="31">
                  <c:v>332.36680387437002</c:v>
                </c:pt>
                <c:pt idx="32">
                  <c:v>338.13938256680456</c:v>
                </c:pt>
                <c:pt idx="33">
                  <c:v>332.41056900751994</c:v>
                </c:pt>
                <c:pt idx="34">
                  <c:v>331.88646489115104</c:v>
                </c:pt>
                <c:pt idx="35">
                  <c:v>326.34544794186149</c:v>
                </c:pt>
                <c:pt idx="36">
                  <c:v>328.92487893489266</c:v>
                </c:pt>
                <c:pt idx="37">
                  <c:v>333.82337772425535</c:v>
                </c:pt>
                <c:pt idx="38">
                  <c:v>334.76703389867089</c:v>
                </c:pt>
                <c:pt idx="39">
                  <c:v>334.31730024254995</c:v>
                </c:pt>
                <c:pt idx="40">
                  <c:v>342.7519007269151</c:v>
                </c:pt>
                <c:pt idx="41">
                  <c:v>340.96529055745157</c:v>
                </c:pt>
                <c:pt idx="42">
                  <c:v>343.71214285786448</c:v>
                </c:pt>
                <c:pt idx="43">
                  <c:v>350.31940678010159</c:v>
                </c:pt>
                <c:pt idx="44">
                  <c:v>350.14529055745157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D-4394-A996-5960CD8F27EC}"/>
            </c:ext>
          </c:extLst>
        </c:ser>
        <c:ser>
          <c:idx val="1"/>
          <c:order val="1"/>
          <c:tx>
            <c:strRef>
              <c:f>Лист1!$Q$7</c:f>
              <c:strCache>
                <c:ptCount val="1"/>
                <c:pt idx="0">
                  <c:v>Pmax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Лист1!$Q$8:$Q$52</c:f>
              <c:numCache>
                <c:formatCode>General</c:formatCode>
                <c:ptCount val="45"/>
                <c:pt idx="0">
                  <c:v>288.36379766238394</c:v>
                </c:pt>
                <c:pt idx="1">
                  <c:v>288.95207422582757</c:v>
                </c:pt>
                <c:pt idx="2">
                  <c:v>289.83147539781436</c:v>
                </c:pt>
                <c:pt idx="3">
                  <c:v>288.38948057567853</c:v>
                </c:pt>
                <c:pt idx="4">
                  <c:v>285.28198673019835</c:v>
                </c:pt>
                <c:pt idx="5">
                  <c:v>289.96558096951946</c:v>
                </c:pt>
                <c:pt idx="6">
                  <c:v>291.99930177069501</c:v>
                </c:pt>
                <c:pt idx="7">
                  <c:v>293.58004542243344</c:v>
                </c:pt>
                <c:pt idx="8">
                  <c:v>296.11621505003285</c:v>
                </c:pt>
                <c:pt idx="9">
                  <c:v>295.63848380023148</c:v>
                </c:pt>
                <c:pt idx="10">
                  <c:v>297.89801153407257</c:v>
                </c:pt>
                <c:pt idx="11">
                  <c:v>301.27481778466853</c:v>
                </c:pt>
                <c:pt idx="12">
                  <c:v>298.30454639908902</c:v>
                </c:pt>
                <c:pt idx="13">
                  <c:v>296.86594366445331</c:v>
                </c:pt>
                <c:pt idx="14">
                  <c:v>295.27327442433744</c:v>
                </c:pt>
                <c:pt idx="15">
                  <c:v>300.26505264650632</c:v>
                </c:pt>
                <c:pt idx="16">
                  <c:v>300.83403506670504</c:v>
                </c:pt>
                <c:pt idx="17">
                  <c:v>298.97614073130768</c:v>
                </c:pt>
                <c:pt idx="18">
                  <c:v>296.6430918056289</c:v>
                </c:pt>
                <c:pt idx="19">
                  <c:v>301.92634034064548</c:v>
                </c:pt>
                <c:pt idx="20">
                  <c:v>307.0573919017051</c:v>
                </c:pt>
                <c:pt idx="21">
                  <c:v>307.47042256551305</c:v>
                </c:pt>
                <c:pt idx="22">
                  <c:v>314.66060391297992</c:v>
                </c:pt>
                <c:pt idx="23">
                  <c:v>313.66388770049656</c:v>
                </c:pt>
                <c:pt idx="24">
                  <c:v>318.90125498412237</c:v>
                </c:pt>
                <c:pt idx="25">
                  <c:v>328.96593476576163</c:v>
                </c:pt>
                <c:pt idx="26">
                  <c:v>327.58544423773179</c:v>
                </c:pt>
                <c:pt idx="27">
                  <c:v>327.93484668096028</c:v>
                </c:pt>
                <c:pt idx="28">
                  <c:v>324.68760468794699</c:v>
                </c:pt>
                <c:pt idx="29">
                  <c:v>326.41529941400665</c:v>
                </c:pt>
                <c:pt idx="30">
                  <c:v>332.31388261552985</c:v>
                </c:pt>
                <c:pt idx="31">
                  <c:v>337.95912597268222</c:v>
                </c:pt>
                <c:pt idx="32">
                  <c:v>342.53718466491728</c:v>
                </c:pt>
                <c:pt idx="33">
                  <c:v>337.55997919564584</c:v>
                </c:pt>
                <c:pt idx="34">
                  <c:v>334.09655058440399</c:v>
                </c:pt>
                <c:pt idx="35">
                  <c:v>325.7996373050662</c:v>
                </c:pt>
                <c:pt idx="36">
                  <c:v>334.31587743766568</c:v>
                </c:pt>
                <c:pt idx="37">
                  <c:v>339.54544169524843</c:v>
                </c:pt>
                <c:pt idx="38">
                  <c:v>342.12652978004985</c:v>
                </c:pt>
                <c:pt idx="39">
                  <c:v>342.75052196680485</c:v>
                </c:pt>
                <c:pt idx="40">
                  <c:v>353.26994012942077</c:v>
                </c:pt>
                <c:pt idx="41">
                  <c:v>352.04703602746713</c:v>
                </c:pt>
                <c:pt idx="42">
                  <c:v>358.22981102508305</c:v>
                </c:pt>
                <c:pt idx="43">
                  <c:v>359.18211884150685</c:v>
                </c:pt>
                <c:pt idx="44">
                  <c:v>361.22703602746714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D-4394-A996-5960CD8F27EC}"/>
            </c:ext>
          </c:extLst>
        </c:ser>
        <c:ser>
          <c:idx val="2"/>
          <c:order val="2"/>
          <c:tx>
            <c:strRef>
              <c:f>Лист1!$R$7</c:f>
              <c:strCache>
                <c:ptCount val="1"/>
                <c:pt idx="0">
                  <c:v>PF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Лист1!$R$8:$R$52</c:f>
              <c:numCache>
                <c:formatCode>General</c:formatCode>
                <c:ptCount val="45"/>
                <c:pt idx="0">
                  <c:v>293.12963201458092</c:v>
                </c:pt>
                <c:pt idx="1">
                  <c:v>294.45111386297799</c:v>
                </c:pt>
                <c:pt idx="2">
                  <c:v>295.41734197660395</c:v>
                </c:pt>
                <c:pt idx="3">
                  <c:v>295.59370487224351</c:v>
                </c:pt>
                <c:pt idx="4">
                  <c:v>294.17692452923808</c:v>
                </c:pt>
                <c:pt idx="5">
                  <c:v>299.66849169770194</c:v>
                </c:pt>
                <c:pt idx="6">
                  <c:v>302.00851865410471</c:v>
                </c:pt>
                <c:pt idx="7">
                  <c:v>303.11894970529738</c:v>
                </c:pt>
                <c:pt idx="8">
                  <c:v>304.63972648761592</c:v>
                </c:pt>
                <c:pt idx="9">
                  <c:v>304.31635424517316</c:v>
                </c:pt>
                <c:pt idx="10">
                  <c:v>306.161042146738</c:v>
                </c:pt>
                <c:pt idx="11">
                  <c:v>310.00092541940984</c:v>
                </c:pt>
                <c:pt idx="12">
                  <c:v>307.91580646665233</c:v>
                </c:pt>
                <c:pt idx="13">
                  <c:v>306.27460753485843</c:v>
                </c:pt>
                <c:pt idx="14">
                  <c:v>303.25652933616544</c:v>
                </c:pt>
                <c:pt idx="15">
                  <c:v>307.86964561840773</c:v>
                </c:pt>
                <c:pt idx="16">
                  <c:v>307.13622391401816</c:v>
                </c:pt>
                <c:pt idx="17">
                  <c:v>305.69799312987703</c:v>
                </c:pt>
                <c:pt idx="18">
                  <c:v>303.44453556736755</c:v>
                </c:pt>
                <c:pt idx="19">
                  <c:v>308.61925042533505</c:v>
                </c:pt>
                <c:pt idx="20">
                  <c:v>312.63119918304483</c:v>
                </c:pt>
                <c:pt idx="21">
                  <c:v>312.84645736867452</c:v>
                </c:pt>
                <c:pt idx="22">
                  <c:v>319.88951528725272</c:v>
                </c:pt>
                <c:pt idx="23">
                  <c:v>317.69169304876021</c:v>
                </c:pt>
                <c:pt idx="24">
                  <c:v>321.74001360382681</c:v>
                </c:pt>
                <c:pt idx="25">
                  <c:v>329.07205658332066</c:v>
                </c:pt>
                <c:pt idx="26">
                  <c:v>327.15854510800568</c:v>
                </c:pt>
                <c:pt idx="27">
                  <c:v>328.92370907185131</c:v>
                </c:pt>
                <c:pt idx="28">
                  <c:v>325.03491245450391</c:v>
                </c:pt>
                <c:pt idx="29">
                  <c:v>326.37188594318701</c:v>
                </c:pt>
                <c:pt idx="30">
                  <c:v>331.02594964788148</c:v>
                </c:pt>
                <c:pt idx="31">
                  <c:v>334.94430161020944</c:v>
                </c:pt>
                <c:pt idx="32">
                  <c:v>340.16632678626866</c:v>
                </c:pt>
                <c:pt idx="33">
                  <c:v>334.78392892268084</c:v>
                </c:pt>
                <c:pt idx="34">
                  <c:v>332.90509199635477</c:v>
                </c:pt>
                <c:pt idx="35">
                  <c:v>326.09388416284355</c:v>
                </c:pt>
                <c:pt idx="36">
                  <c:v>331.40958675224192</c:v>
                </c:pt>
                <c:pt idx="37">
                  <c:v>336.46067340756628</c:v>
                </c:pt>
                <c:pt idx="38">
                  <c:v>338.15902091903564</c:v>
                </c:pt>
                <c:pt idx="39">
                  <c:v>338.20416682819587</c:v>
                </c:pt>
                <c:pt idx="40">
                  <c:v>347.59965846848189</c:v>
                </c:pt>
                <c:pt idx="41">
                  <c:v>346.07286007079102</c:v>
                </c:pt>
                <c:pt idx="42">
                  <c:v>350.40332698010366</c:v>
                </c:pt>
                <c:pt idx="43">
                  <c:v>354.40422519185995</c:v>
                </c:pt>
                <c:pt idx="44">
                  <c:v>355.25286007079103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BD-4394-A996-5960CD8F2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888208"/>
        <c:axId val="1428889456"/>
      </c:lineChart>
      <c:catAx>
        <c:axId val="142888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8889456"/>
        <c:crosses val="autoZero"/>
        <c:auto val="1"/>
        <c:lblAlgn val="ctr"/>
        <c:lblOffset val="100"/>
        <c:noMultiLvlLbl val="0"/>
      </c:catAx>
      <c:valAx>
        <c:axId val="1428889456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888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Data!$X$20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Data!$W$21:$W$31</c:f>
              <c:numCache>
                <c:formatCode>General</c:formatCode>
                <c:ptCount val="11"/>
                <c:pt idx="0">
                  <c:v>7.3181342779958108E-2</c:v>
                </c:pt>
                <c:pt idx="1">
                  <c:v>8.4571233935356815E-2</c:v>
                </c:pt>
                <c:pt idx="2">
                  <c:v>9.5961125090755509E-2</c:v>
                </c:pt>
                <c:pt idx="3">
                  <c:v>0.10735101624615423</c:v>
                </c:pt>
                <c:pt idx="4">
                  <c:v>0.11874090740155292</c:v>
                </c:pt>
                <c:pt idx="5">
                  <c:v>0.13013079855695164</c:v>
                </c:pt>
                <c:pt idx="6">
                  <c:v>0.14152068971235032</c:v>
                </c:pt>
                <c:pt idx="7">
                  <c:v>0.15291058086774906</c:v>
                </c:pt>
                <c:pt idx="8">
                  <c:v>0.16430047202314774</c:v>
                </c:pt>
                <c:pt idx="9">
                  <c:v>0.17569036317854647</c:v>
                </c:pt>
                <c:pt idx="10">
                  <c:v>0.18708025433394515</c:v>
                </c:pt>
              </c:numCache>
            </c:numRef>
          </c:xVal>
          <c:yVal>
            <c:numRef>
              <c:f>Data!$X$21:$X$31</c:f>
              <c:numCache>
                <c:formatCode>General</c:formatCode>
                <c:ptCount val="11"/>
                <c:pt idx="0">
                  <c:v>4.9070389193908139E-2</c:v>
                </c:pt>
                <c:pt idx="1">
                  <c:v>5.2590292880055685E-2</c:v>
                </c:pt>
                <c:pt idx="2">
                  <c:v>6.0246132992122586E-2</c:v>
                </c:pt>
                <c:pt idx="3">
                  <c:v>7.0628535725392266E-2</c:v>
                </c:pt>
                <c:pt idx="4">
                  <c:v>8.2672742085647843E-2</c:v>
                </c:pt>
                <c:pt idx="5">
                  <c:v>9.5924293845462416E-2</c:v>
                </c:pt>
                <c:pt idx="6">
                  <c:v>0.10976075348775749</c:v>
                </c:pt>
                <c:pt idx="7">
                  <c:v>0.12405924237253364</c:v>
                </c:pt>
                <c:pt idx="8">
                  <c:v>0.13870401083230333</c:v>
                </c:pt>
                <c:pt idx="9">
                  <c:v>0.15352190399533519</c:v>
                </c:pt>
                <c:pt idx="10">
                  <c:v>0.16851373251731383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1-456E-A648-83C5487F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8751"/>
        <c:axId val="1859127087"/>
      </c:scatterChart>
      <c:valAx>
        <c:axId val="185912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7087"/>
        <c:crosses val="autoZero"/>
        <c:crossBetween val="midCat"/>
      </c:valAx>
      <c:valAx>
        <c:axId val="18591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6</xdr:row>
      <xdr:rowOff>47624</xdr:rowOff>
    </xdr:from>
    <xdr:to>
      <xdr:col>26</xdr:col>
      <xdr:colOff>504825</xdr:colOff>
      <xdr:row>26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73A0D8-9450-4F3C-97F1-889D145E8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69273</xdr:colOff>
      <xdr:row>32</xdr:row>
      <xdr:rowOff>76199</xdr:rowOff>
    </xdr:from>
    <xdr:to>
      <xdr:col>21</xdr:col>
      <xdr:colOff>374073</xdr:colOff>
      <xdr:row>47</xdr:row>
      <xdr:rowOff>128154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ACF413-5AF3-4C13-BE1A-8F113E63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2</xdr:col>
      <xdr:colOff>0</xdr:colOff>
      <xdr:row>23</xdr:row>
      <xdr:rowOff>0</xdr:rowOff>
    </xdr:from>
    <xdr:to>
      <xdr:col>12</xdr:col>
      <xdr:colOff>54303</xdr:colOff>
      <xdr:row>30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06D619-DE32-49BD-BF4B-C60B865C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3" y="4408714"/>
          <a:ext cx="6177517" cy="13716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9.682018171297" backgroundQuery="1" createdVersion="7" refreshedVersion="7" minRefreshableVersion="3" recordCount="180" xr:uid="{A93EAAC5-1490-4F5B-8822-5151AC9D2BA5}">
  <cacheSource type="external" connectionId="1"/>
  <cacheFields count="11">
    <cacheField name="AKRN_210801_211001.csv" numFmtId="0">
      <sharedItems count="4">
        <s v="AKRN_210801_211001.csv"/>
        <s v="GAZP_210801_211001.csv"/>
        <s v="SBER_210801_211001.csv"/>
        <s v="SELG_210801_211001.csv"/>
      </sharedItems>
    </cacheField>
    <cacheField name="&lt;TICKER&gt;" numFmtId="0">
      <sharedItems count="4">
        <s v="AKRN"/>
        <s v="GAZP"/>
        <s v="SBER"/>
        <s v="SELG"/>
      </sharedItems>
    </cacheField>
    <cacheField name="&lt;PER&gt;" numFmtId="0">
      <sharedItems count="1">
        <s v="D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10" base="3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TIME&gt;" numFmtId="0">
      <sharedItems count="2">
        <s v="000000"/>
        <s v="00:00"/>
      </sharedItems>
    </cacheField>
    <cacheField name="&lt;OPEN&gt;" numFmtId="0">
      <sharedItems/>
    </cacheField>
    <cacheField name="&lt;HIGH&gt;" numFmtId="0">
      <sharedItems/>
    </cacheField>
    <cacheField name="&lt;LOW&gt;" numFmtId="0">
      <sharedItems/>
    </cacheField>
    <cacheField name="&lt;CLOSE&gt;" numFmtId="0">
      <sharedItems containsSemiMixedTypes="0" containsString="0" containsNumber="1" minValue="43.14" maxValue="7168"/>
    </cacheField>
    <cacheField name="&lt;VOL&gt;" numFmtId="0">
      <sharedItems/>
    </cacheField>
    <cacheField name="Месяцы" numFmtId="0" databaseField="0">
      <fieldGroup base="3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x v="0"/>
    <x v="0"/>
    <s v="6052.0000000"/>
    <s v="6074.0000000"/>
    <s v="6004.0000000"/>
    <n v="6052"/>
    <s v="2112"/>
  </r>
  <r>
    <x v="0"/>
    <x v="0"/>
    <x v="0"/>
    <x v="1"/>
    <x v="0"/>
    <s v="6042.0000000"/>
    <s v="6076.0000000"/>
    <s v="6000.0000000"/>
    <n v="6008"/>
    <s v="2755"/>
  </r>
  <r>
    <x v="0"/>
    <x v="0"/>
    <x v="0"/>
    <x v="2"/>
    <x v="0"/>
    <s v="6008.0000000"/>
    <s v="6046.0000000"/>
    <s v="5944.0000000"/>
    <n v="5946"/>
    <s v="5652"/>
  </r>
  <r>
    <x v="0"/>
    <x v="0"/>
    <x v="0"/>
    <x v="3"/>
    <x v="0"/>
    <s v="5970.0000000"/>
    <s v="6022.0000000"/>
    <s v="5970.0000000"/>
    <n v="5994"/>
    <s v="1391"/>
  </r>
  <r>
    <x v="0"/>
    <x v="0"/>
    <x v="0"/>
    <x v="4"/>
    <x v="0"/>
    <s v="5994.0000000"/>
    <s v="6016.0000000"/>
    <s v="5964.0000000"/>
    <n v="5980"/>
    <s v="918"/>
  </r>
  <r>
    <x v="0"/>
    <x v="0"/>
    <x v="0"/>
    <x v="5"/>
    <x v="0"/>
    <s v="5980.0000000"/>
    <s v="6042.0000000"/>
    <s v="5974.0000000"/>
    <n v="5980"/>
    <s v="2879"/>
  </r>
  <r>
    <x v="0"/>
    <x v="0"/>
    <x v="0"/>
    <x v="6"/>
    <x v="0"/>
    <s v="5972.0000000"/>
    <s v="6000.0000000"/>
    <s v="5928.0000000"/>
    <n v="5972"/>
    <s v="2340"/>
  </r>
  <r>
    <x v="0"/>
    <x v="0"/>
    <x v="0"/>
    <x v="7"/>
    <x v="0"/>
    <s v="5996.0000000"/>
    <s v="6000.0000000"/>
    <s v="5976.0000000"/>
    <n v="6000"/>
    <s v="1025"/>
  </r>
  <r>
    <x v="0"/>
    <x v="0"/>
    <x v="0"/>
    <x v="8"/>
    <x v="0"/>
    <s v="6000.0000000"/>
    <s v="6008.0000000"/>
    <s v="5920.0000000"/>
    <n v="5928"/>
    <s v="5384"/>
  </r>
  <r>
    <x v="0"/>
    <x v="0"/>
    <x v="0"/>
    <x v="9"/>
    <x v="0"/>
    <s v="5926.0000000"/>
    <s v="5940.0000000"/>
    <s v="5884.0000000"/>
    <n v="5900"/>
    <s v="3265"/>
  </r>
  <r>
    <x v="0"/>
    <x v="0"/>
    <x v="0"/>
    <x v="10"/>
    <x v="0"/>
    <s v="5938.0000000"/>
    <s v="5938.0000000"/>
    <s v="5896.0000000"/>
    <n v="5916"/>
    <s v="2605"/>
  </r>
  <r>
    <x v="0"/>
    <x v="0"/>
    <x v="0"/>
    <x v="11"/>
    <x v="0"/>
    <s v="5904.0000000"/>
    <s v="5920.0000000"/>
    <s v="5886.0000000"/>
    <n v="5908"/>
    <s v="2358"/>
  </r>
  <r>
    <x v="0"/>
    <x v="0"/>
    <x v="0"/>
    <x v="12"/>
    <x v="0"/>
    <s v="5900.0000000"/>
    <s v="5928.0000000"/>
    <s v="5898.0000000"/>
    <n v="5924"/>
    <s v="2042"/>
  </r>
  <r>
    <x v="0"/>
    <x v="0"/>
    <x v="0"/>
    <x v="13"/>
    <x v="0"/>
    <s v="5922.0000000"/>
    <s v="5956.0000000"/>
    <s v="5886.0000000"/>
    <n v="5948"/>
    <s v="4388"/>
  </r>
  <r>
    <x v="0"/>
    <x v="0"/>
    <x v="0"/>
    <x v="14"/>
    <x v="0"/>
    <s v="5946.0000000"/>
    <s v="5972.0000000"/>
    <s v="5934.0000000"/>
    <n v="5972"/>
    <s v="948"/>
  </r>
  <r>
    <x v="0"/>
    <x v="0"/>
    <x v="0"/>
    <x v="15"/>
    <x v="0"/>
    <s v="5984.0000000"/>
    <s v="6104.0000000"/>
    <s v="5982.0000000"/>
    <n v="6026"/>
    <s v="6751"/>
  </r>
  <r>
    <x v="0"/>
    <x v="0"/>
    <x v="0"/>
    <x v="16"/>
    <x v="0"/>
    <s v="6034.0000000"/>
    <s v="6090.0000000"/>
    <s v="6016.0000000"/>
    <n v="6090"/>
    <s v="4251"/>
  </r>
  <r>
    <x v="0"/>
    <x v="0"/>
    <x v="0"/>
    <x v="17"/>
    <x v="0"/>
    <s v="6092.0000000"/>
    <s v="6680.0000000"/>
    <s v="6086.0000000"/>
    <n v="6508"/>
    <s v="25374"/>
  </r>
  <r>
    <x v="0"/>
    <x v="0"/>
    <x v="0"/>
    <x v="18"/>
    <x v="0"/>
    <s v="6574.0000000"/>
    <s v="6634.0000000"/>
    <s v="6380.0000000"/>
    <n v="6422"/>
    <s v="9319"/>
  </r>
  <r>
    <x v="0"/>
    <x v="0"/>
    <x v="0"/>
    <x v="19"/>
    <x v="0"/>
    <s v="6412.0000000"/>
    <s v="6576.0000000"/>
    <s v="6330.0000000"/>
    <n v="6534"/>
    <s v="5323"/>
  </r>
  <r>
    <x v="0"/>
    <x v="0"/>
    <x v="0"/>
    <x v="20"/>
    <x v="0"/>
    <s v="6570.0000000"/>
    <s v="6800.0000000"/>
    <s v="6404.0000000"/>
    <n v="6466"/>
    <s v="8454"/>
  </r>
  <r>
    <x v="0"/>
    <x v="0"/>
    <x v="0"/>
    <x v="21"/>
    <x v="0"/>
    <s v="6496.0000000"/>
    <s v="6610.0000000"/>
    <s v="6472.0000000"/>
    <n v="6562"/>
    <s v="2894"/>
  </r>
  <r>
    <x v="0"/>
    <x v="0"/>
    <x v="0"/>
    <x v="22"/>
    <x v="0"/>
    <s v="6558.0000000"/>
    <s v="6650.0000000"/>
    <s v="6512.0000000"/>
    <n v="6536"/>
    <s v="1854"/>
  </r>
  <r>
    <x v="0"/>
    <x v="0"/>
    <x v="0"/>
    <x v="23"/>
    <x v="0"/>
    <s v="6528.0000000"/>
    <s v="6800.0000000"/>
    <s v="6462.0000000"/>
    <n v="6688"/>
    <s v="3414"/>
  </r>
  <r>
    <x v="0"/>
    <x v="0"/>
    <x v="0"/>
    <x v="24"/>
    <x v="0"/>
    <s v="6654.0000000"/>
    <s v="6800.0000000"/>
    <s v="6648.0000000"/>
    <n v="6780"/>
    <s v="2047"/>
  </r>
  <r>
    <x v="0"/>
    <x v="0"/>
    <x v="0"/>
    <x v="25"/>
    <x v="0"/>
    <s v="6812.0000000"/>
    <s v="6972.0000000"/>
    <s v="6644.0000000"/>
    <n v="6942"/>
    <s v="15069"/>
  </r>
  <r>
    <x v="0"/>
    <x v="0"/>
    <x v="0"/>
    <x v="26"/>
    <x v="0"/>
    <s v="7000.0000000"/>
    <s v="7280.0000000"/>
    <s v="6216.0000000"/>
    <n v="6460"/>
    <s v="40907"/>
  </r>
  <r>
    <x v="0"/>
    <x v="0"/>
    <x v="0"/>
    <x v="27"/>
    <x v="0"/>
    <s v="6456.0000000"/>
    <s v="6778.0000000"/>
    <s v="6310.0000000"/>
    <n v="6702"/>
    <s v="13200"/>
  </r>
  <r>
    <x v="0"/>
    <x v="0"/>
    <x v="0"/>
    <x v="28"/>
    <x v="0"/>
    <s v="6740.0000000"/>
    <s v="6740.0000000"/>
    <s v="6524.0000000"/>
    <n v="6524"/>
    <s v="3628"/>
  </r>
  <r>
    <x v="0"/>
    <x v="0"/>
    <x v="0"/>
    <x v="29"/>
    <x v="0"/>
    <s v="6500.0000000"/>
    <s v="6694.0000000"/>
    <s v="6450.0000000"/>
    <n v="6658"/>
    <s v="4717"/>
  </r>
  <r>
    <x v="0"/>
    <x v="0"/>
    <x v="0"/>
    <x v="30"/>
    <x v="0"/>
    <s v="6670.0000000"/>
    <s v="6848.0000000"/>
    <s v="6630.0000000"/>
    <n v="6740"/>
    <s v="5038"/>
  </r>
  <r>
    <x v="0"/>
    <x v="0"/>
    <x v="0"/>
    <x v="31"/>
    <x v="0"/>
    <s v="7100.0000000"/>
    <s v="7532.0000000"/>
    <s v="6672.0000000"/>
    <n v="6828"/>
    <s v="9411"/>
  </r>
  <r>
    <x v="0"/>
    <x v="0"/>
    <x v="0"/>
    <x v="32"/>
    <x v="0"/>
    <s v="6848.0000000"/>
    <s v="6950.0000000"/>
    <s v="6806.0000000"/>
    <n v="6806"/>
    <s v="3190"/>
  </r>
  <r>
    <x v="0"/>
    <x v="0"/>
    <x v="0"/>
    <x v="33"/>
    <x v="0"/>
    <s v="6810.0000000"/>
    <s v="6880.0000000"/>
    <s v="6672.0000000"/>
    <n v="6730"/>
    <s v="3626"/>
  </r>
  <r>
    <x v="0"/>
    <x v="0"/>
    <x v="0"/>
    <x v="34"/>
    <x v="0"/>
    <s v="6724.0000000"/>
    <s v="6810.0000000"/>
    <s v="6652.0000000"/>
    <n v="6678"/>
    <s v="2861"/>
  </r>
  <r>
    <x v="0"/>
    <x v="0"/>
    <x v="0"/>
    <x v="35"/>
    <x v="0"/>
    <s v="6620.0000000"/>
    <s v="6670.0000000"/>
    <s v="6410.0000000"/>
    <n v="6410"/>
    <s v="5830"/>
  </r>
  <r>
    <x v="0"/>
    <x v="0"/>
    <x v="0"/>
    <x v="36"/>
    <x v="0"/>
    <s v="6430.0000000"/>
    <s v="7198.0000000"/>
    <s v="6364.0000000"/>
    <n v="7020"/>
    <s v="23500"/>
  </r>
  <r>
    <x v="0"/>
    <x v="0"/>
    <x v="0"/>
    <x v="37"/>
    <x v="0"/>
    <s v="7100.0000000"/>
    <s v="7288.0000000"/>
    <s v="6828.0000000"/>
    <n v="7018"/>
    <s v="17607"/>
  </r>
  <r>
    <x v="0"/>
    <x v="0"/>
    <x v="0"/>
    <x v="38"/>
    <x v="0"/>
    <s v="7054.0000000"/>
    <s v="7230.0000000"/>
    <s v="7010.0000000"/>
    <n v="7132"/>
    <s v="12498"/>
  </r>
  <r>
    <x v="0"/>
    <x v="0"/>
    <x v="0"/>
    <x v="39"/>
    <x v="0"/>
    <s v="7134.0000000"/>
    <s v="7218.0000000"/>
    <s v="7050.0000000"/>
    <n v="7074"/>
    <s v="2735"/>
  </r>
  <r>
    <x v="0"/>
    <x v="0"/>
    <x v="0"/>
    <x v="40"/>
    <x v="0"/>
    <s v="7174.0000000"/>
    <s v="7276.0000000"/>
    <s v="7064.0000000"/>
    <n v="7064"/>
    <s v="8600"/>
  </r>
  <r>
    <x v="0"/>
    <x v="0"/>
    <x v="0"/>
    <x v="41"/>
    <x v="0"/>
    <s v="7166.0000000"/>
    <s v="7216.0000000"/>
    <s v="6910.0000000"/>
    <n v="6970"/>
    <s v="9056"/>
  </r>
  <r>
    <x v="0"/>
    <x v="0"/>
    <x v="0"/>
    <x v="42"/>
    <x v="0"/>
    <s v="6902.0000000"/>
    <s v="7146.0000000"/>
    <s v="6806.0000000"/>
    <n v="6850"/>
    <s v="7306"/>
  </r>
  <r>
    <x v="0"/>
    <x v="0"/>
    <x v="0"/>
    <x v="43"/>
    <x v="0"/>
    <s v="6818.0000000"/>
    <s v="7090.0000000"/>
    <s v="6624.0000000"/>
    <n v="7000"/>
    <s v="9146"/>
  </r>
  <r>
    <x v="0"/>
    <x v="0"/>
    <x v="0"/>
    <x v="44"/>
    <x v="0"/>
    <s v="7020.0000000"/>
    <s v="7176.0000000"/>
    <s v="7000.0000000"/>
    <n v="7168"/>
    <s v="5505"/>
  </r>
  <r>
    <x v="1"/>
    <x v="1"/>
    <x v="0"/>
    <x v="0"/>
    <x v="1"/>
    <s v="287.8800000"/>
    <s v="289.4800000"/>
    <s v="285.2100000"/>
    <n v="286.75"/>
    <s v="38297270"/>
  </r>
  <r>
    <x v="1"/>
    <x v="1"/>
    <x v="0"/>
    <x v="1"/>
    <x v="1"/>
    <s v="286.7700000"/>
    <s v="288.0500000"/>
    <s v="284.3400000"/>
    <n v="287.08999999999997"/>
    <s v="27065240"/>
  </r>
  <r>
    <x v="1"/>
    <x v="1"/>
    <x v="0"/>
    <x v="2"/>
    <x v="1"/>
    <s v="287.8900000"/>
    <s v="288.8000000"/>
    <s v="286.0000000"/>
    <n v="287.94"/>
    <s v="23599750"/>
  </r>
  <r>
    <x v="1"/>
    <x v="1"/>
    <x v="0"/>
    <x v="3"/>
    <x v="1"/>
    <s v="287.3100000"/>
    <s v="288.2800000"/>
    <s v="285.1600000"/>
    <n v="285.95"/>
    <s v="47254880"/>
  </r>
  <r>
    <x v="1"/>
    <x v="1"/>
    <x v="0"/>
    <x v="4"/>
    <x v="1"/>
    <s v="285.2600000"/>
    <s v="285.7200000"/>
    <s v="277.8700000"/>
    <n v="282.27"/>
    <s v="90600850"/>
  </r>
  <r>
    <x v="1"/>
    <x v="1"/>
    <x v="0"/>
    <x v="5"/>
    <x v="1"/>
    <s v="282.2300000"/>
    <s v="287.9000000"/>
    <s v="280.8000000"/>
    <n v="286.68"/>
    <s v="68779100"/>
  </r>
  <r>
    <x v="1"/>
    <x v="1"/>
    <x v="0"/>
    <x v="6"/>
    <x v="1"/>
    <s v="288.0000000"/>
    <s v="288.8000000"/>
    <s v="285.7000000"/>
    <n v="288.61"/>
    <s v="28839550"/>
  </r>
  <r>
    <x v="1"/>
    <x v="1"/>
    <x v="0"/>
    <x v="7"/>
    <x v="1"/>
    <s v="288.9200000"/>
    <s v="291.4900000"/>
    <s v="287.1200000"/>
    <n v="290.35000000000002"/>
    <s v="37928360"/>
  </r>
  <r>
    <x v="1"/>
    <x v="1"/>
    <x v="0"/>
    <x v="8"/>
    <x v="1"/>
    <s v="290.2500000"/>
    <s v="293.8100000"/>
    <s v="290.2500000"/>
    <n v="293.23"/>
    <s v="37564370"/>
  </r>
  <r>
    <x v="1"/>
    <x v="1"/>
    <x v="0"/>
    <x v="9"/>
    <x v="1"/>
    <s v="292.6500000"/>
    <s v="293.9000000"/>
    <s v="291.7500000"/>
    <n v="292.7"/>
    <s v="21802270"/>
  </r>
  <r>
    <x v="1"/>
    <x v="1"/>
    <x v="0"/>
    <x v="10"/>
    <x v="1"/>
    <s v="291.4700000"/>
    <s v="295.4800000"/>
    <s v="290.9500000"/>
    <n v="295.10000000000002"/>
    <s v="32273890"/>
  </r>
  <r>
    <x v="1"/>
    <x v="1"/>
    <x v="0"/>
    <x v="11"/>
    <x v="1"/>
    <s v="295.1300000"/>
    <s v="299.5000000"/>
    <s v="290.3200000"/>
    <n v="298.32"/>
    <s v="50482060"/>
  </r>
  <r>
    <x v="1"/>
    <x v="1"/>
    <x v="0"/>
    <x v="12"/>
    <x v="1"/>
    <s v="299.0000000"/>
    <s v="299.9500000"/>
    <s v="295.0000000"/>
    <n v="295.05"/>
    <s v="35531240"/>
  </r>
  <r>
    <x v="1"/>
    <x v="1"/>
    <x v="0"/>
    <x v="13"/>
    <x v="1"/>
    <s v="293.4900000"/>
    <s v="294.7200000"/>
    <s v="289.6800000"/>
    <n v="293.68"/>
    <s v="55911470"/>
  </r>
  <r>
    <x v="1"/>
    <x v="1"/>
    <x v="0"/>
    <x v="14"/>
    <x v="1"/>
    <s v="293.7900000"/>
    <s v="294.9000000"/>
    <s v="289.5000000"/>
    <n v="292.57"/>
    <s v="38594640"/>
  </r>
  <r>
    <x v="1"/>
    <x v="1"/>
    <x v="0"/>
    <x v="15"/>
    <x v="1"/>
    <s v="294.7000000"/>
    <s v="297.9400000"/>
    <s v="294.1000000"/>
    <n v="297.69"/>
    <s v="38038340"/>
  </r>
  <r>
    <x v="1"/>
    <x v="1"/>
    <x v="0"/>
    <x v="16"/>
    <x v="1"/>
    <s v="299.0000000"/>
    <s v="301.0000000"/>
    <s v="295.9500000"/>
    <n v="298.7"/>
    <s v="48940480"/>
  </r>
  <r>
    <x v="1"/>
    <x v="1"/>
    <x v="0"/>
    <x v="17"/>
    <x v="1"/>
    <s v="298.7100000"/>
    <s v="299.2000000"/>
    <s v="294.3700000"/>
    <n v="296.7"/>
    <s v="30906470"/>
  </r>
  <r>
    <x v="1"/>
    <x v="1"/>
    <x v="0"/>
    <x v="18"/>
    <x v="1"/>
    <s v="295.9200000"/>
    <s v="295.9700000"/>
    <s v="293.0400000"/>
    <n v="294.33999999999997"/>
    <s v="24990510"/>
  </r>
  <r>
    <x v="1"/>
    <x v="1"/>
    <x v="0"/>
    <x v="19"/>
    <x v="1"/>
    <s v="295.8100000"/>
    <s v="300.0000000"/>
    <s v="294.8100000"/>
    <n v="299.66000000000003"/>
    <s v="34063060"/>
  </r>
  <r>
    <x v="1"/>
    <x v="1"/>
    <x v="0"/>
    <x v="20"/>
    <x v="1"/>
    <s v="301.6600000"/>
    <s v="305.5000000"/>
    <s v="299.9700000"/>
    <n v="305.17"/>
    <s v="69849150"/>
  </r>
  <r>
    <x v="1"/>
    <x v="1"/>
    <x v="0"/>
    <x v="21"/>
    <x v="1"/>
    <s v="305.8300000"/>
    <s v="307.6700000"/>
    <s v="304.1000000"/>
    <n v="305.64999999999998"/>
    <s v="64318080"/>
  </r>
  <r>
    <x v="1"/>
    <x v="1"/>
    <x v="0"/>
    <x v="22"/>
    <x v="1"/>
    <s v="306.6000000"/>
    <s v="313.9500000"/>
    <s v="306.1900000"/>
    <n v="312.89"/>
    <s v="79410570"/>
  </r>
  <r>
    <x v="1"/>
    <x v="1"/>
    <x v="0"/>
    <x v="23"/>
    <x v="1"/>
    <s v="313.5900000"/>
    <s v="314.8000000"/>
    <s v="310.3000000"/>
    <n v="312.3"/>
    <s v="53349820"/>
  </r>
  <r>
    <x v="1"/>
    <x v="1"/>
    <x v="0"/>
    <x v="24"/>
    <x v="1"/>
    <s v="312.7000000"/>
    <s v="317.9600000"/>
    <s v="311.1600000"/>
    <n v="317.94"/>
    <s v="63637790"/>
  </r>
  <r>
    <x v="1"/>
    <x v="1"/>
    <x v="0"/>
    <x v="25"/>
    <x v="1"/>
    <s v="319.0000000"/>
    <s v="329.3500000"/>
    <s v="318.6000000"/>
    <n v="328.93"/>
    <s v="80141350"/>
  </r>
  <r>
    <x v="1"/>
    <x v="1"/>
    <x v="0"/>
    <x v="26"/>
    <x v="1"/>
    <s v="329.9500000"/>
    <s v="333.0000000"/>
    <s v="325.5000000"/>
    <n v="327.73"/>
    <s v="71864800"/>
  </r>
  <r>
    <x v="1"/>
    <x v="1"/>
    <x v="0"/>
    <x v="27"/>
    <x v="1"/>
    <s v="328.4900000"/>
    <s v="328.5000000"/>
    <s v="322.2200000"/>
    <n v="327.60000000000002"/>
    <s v="58765620"/>
  </r>
  <r>
    <x v="1"/>
    <x v="1"/>
    <x v="0"/>
    <x v="28"/>
    <x v="1"/>
    <s v="326.0000000"/>
    <s v="328.1400000"/>
    <s v="323.5000000"/>
    <n v="324.57"/>
    <s v="40361580"/>
  </r>
  <r>
    <x v="1"/>
    <x v="1"/>
    <x v="0"/>
    <x v="29"/>
    <x v="1"/>
    <s v="326.5500000"/>
    <s v="330.0000000"/>
    <s v="325.5000000"/>
    <n v="326.43"/>
    <s v="41425440"/>
  </r>
  <r>
    <x v="1"/>
    <x v="1"/>
    <x v="0"/>
    <x v="30"/>
    <x v="1"/>
    <s v="327.5200000"/>
    <s v="333.0000000"/>
    <s v="327.3000000"/>
    <n v="332.75"/>
    <s v="55356420"/>
  </r>
  <r>
    <x v="1"/>
    <x v="1"/>
    <x v="0"/>
    <x v="31"/>
    <x v="1"/>
    <s v="333.1300000"/>
    <s v="339.9200000"/>
    <s v="332.3600000"/>
    <n v="338.98"/>
    <s v="97138220"/>
  </r>
  <r>
    <x v="1"/>
    <x v="1"/>
    <x v="0"/>
    <x v="32"/>
    <x v="1"/>
    <s v="339.3900000"/>
    <s v="344.2000000"/>
    <s v="337.7200000"/>
    <n v="343.34"/>
    <s v="108811990"/>
  </r>
  <r>
    <x v="1"/>
    <x v="1"/>
    <x v="0"/>
    <x v="33"/>
    <x v="1"/>
    <s v="342.0000000"/>
    <s v="342.9900000"/>
    <s v="337.0300000"/>
    <n v="338.5"/>
    <s v="94713520"/>
  </r>
  <r>
    <x v="1"/>
    <x v="1"/>
    <x v="0"/>
    <x v="34"/>
    <x v="1"/>
    <s v="338.8300000"/>
    <s v="339.2900000"/>
    <s v="333.3000000"/>
    <n v="334.5"/>
    <s v="61454980"/>
  </r>
  <r>
    <x v="1"/>
    <x v="1"/>
    <x v="0"/>
    <x v="35"/>
    <x v="1"/>
    <s v="329.9700000"/>
    <s v="332.0000000"/>
    <s v="321.2600000"/>
    <n v="325.7"/>
    <s v="72882270"/>
  </r>
  <r>
    <x v="1"/>
    <x v="1"/>
    <x v="0"/>
    <x v="36"/>
    <x v="1"/>
    <s v="328.7000000"/>
    <s v="336.7800000"/>
    <s v="328.4400000"/>
    <n v="335.3"/>
    <s v="77355030"/>
  </r>
  <r>
    <x v="1"/>
    <x v="1"/>
    <x v="0"/>
    <x v="37"/>
    <x v="1"/>
    <s v="338.4000000"/>
    <s v="341.4900000"/>
    <s v="337.4000000"/>
    <n v="340.59"/>
    <s v="60974110"/>
  </r>
  <r>
    <x v="1"/>
    <x v="1"/>
    <x v="0"/>
    <x v="38"/>
    <x v="1"/>
    <s v="342.0000000"/>
    <s v="345.2000000"/>
    <s v="339.4300000"/>
    <n v="343.47"/>
    <s v="63445330"/>
  </r>
  <r>
    <x v="1"/>
    <x v="1"/>
    <x v="0"/>
    <x v="39"/>
    <x v="1"/>
    <s v="343.6700000"/>
    <s v="344.9000000"/>
    <s v="340.0000000"/>
    <n v="344.29"/>
    <s v="40071320"/>
  </r>
  <r>
    <x v="1"/>
    <x v="1"/>
    <x v="0"/>
    <x v="40"/>
    <x v="1"/>
    <s v="347.5200000"/>
    <s v="355.1900000"/>
    <s v="347.0000000"/>
    <n v="355.19"/>
    <s v="80950780"/>
  </r>
  <r>
    <x v="1"/>
    <x v="1"/>
    <x v="0"/>
    <x v="41"/>
    <x v="1"/>
    <s v="359.0000000"/>
    <s v="361.8000000"/>
    <s v="353.6800000"/>
    <n v="354.07"/>
    <s v="93838880"/>
  </r>
  <r>
    <x v="1"/>
    <x v="1"/>
    <x v="0"/>
    <x v="42"/>
    <x v="1"/>
    <s v="354.0500000"/>
    <s v="360.9400000"/>
    <s v="352.3000000"/>
    <n v="360.88"/>
    <s v="60144670"/>
  </r>
  <r>
    <x v="1"/>
    <x v="1"/>
    <x v="0"/>
    <x v="43"/>
    <x v="1"/>
    <s v="363.2600000"/>
    <s v="364.5300000"/>
    <s v="359.5300000"/>
    <n v="360.8"/>
    <s v="69876200"/>
  </r>
  <r>
    <x v="1"/>
    <x v="1"/>
    <x v="0"/>
    <x v="44"/>
    <x v="1"/>
    <s v="358.4500000"/>
    <s v="363.7800000"/>
    <s v="356.0000000"/>
    <n v="363.25"/>
    <s v="47529090"/>
  </r>
  <r>
    <x v="2"/>
    <x v="2"/>
    <x v="0"/>
    <x v="0"/>
    <x v="1"/>
    <s v="306.3100000"/>
    <s v="308.6300000"/>
    <s v="306.0600000"/>
    <n v="306.51"/>
    <s v="31506510"/>
  </r>
  <r>
    <x v="2"/>
    <x v="2"/>
    <x v="0"/>
    <x v="1"/>
    <x v="1"/>
    <s v="306.3100000"/>
    <s v="309.8900000"/>
    <s v="306.2500000"/>
    <n v="309.89"/>
    <s v="33788860"/>
  </r>
  <r>
    <x v="2"/>
    <x v="2"/>
    <x v="0"/>
    <x v="2"/>
    <x v="1"/>
    <s v="310.2600000"/>
    <s v="312.0000000"/>
    <s v="309.2500000"/>
    <n v="311.10000000000002"/>
    <s v="30666580"/>
  </r>
  <r>
    <x v="2"/>
    <x v="2"/>
    <x v="0"/>
    <x v="3"/>
    <x v="1"/>
    <s v="311.0200000"/>
    <s v="315.9100000"/>
    <s v="310.8200000"/>
    <n v="315.82"/>
    <s v="37290300"/>
  </r>
  <r>
    <x v="2"/>
    <x v="2"/>
    <x v="0"/>
    <x v="4"/>
    <x v="1"/>
    <s v="316.1000000"/>
    <s v="320.0000000"/>
    <s v="315.3100000"/>
    <n v="319.14999999999998"/>
    <s v="54096400"/>
  </r>
  <r>
    <x v="2"/>
    <x v="2"/>
    <x v="0"/>
    <x v="5"/>
    <x v="1"/>
    <s v="318.5600000"/>
    <s v="328.3000000"/>
    <s v="317.6200000"/>
    <n v="326.91000000000003"/>
    <s v="71958140"/>
  </r>
  <r>
    <x v="2"/>
    <x v="2"/>
    <x v="0"/>
    <x v="6"/>
    <x v="1"/>
    <s v="328.0500000"/>
    <s v="331.2900000"/>
    <s v="326.9700000"/>
    <n v="330.11"/>
    <s v="41507840"/>
  </r>
  <r>
    <x v="2"/>
    <x v="2"/>
    <x v="0"/>
    <x v="7"/>
    <x v="1"/>
    <s v="330.7000000"/>
    <s v="330.9800000"/>
    <s v="326.2100000"/>
    <n v="329.9"/>
    <s v="34418000"/>
  </r>
  <r>
    <x v="2"/>
    <x v="2"/>
    <x v="0"/>
    <x v="8"/>
    <x v="1"/>
    <s v="330.0000000"/>
    <s v="330.6400000"/>
    <s v="327.3000000"/>
    <n v="328.57"/>
    <s v="20985080"/>
  </r>
  <r>
    <x v="2"/>
    <x v="2"/>
    <x v="0"/>
    <x v="9"/>
    <x v="1"/>
    <s v="328.6000000"/>
    <s v="330.2700000"/>
    <s v="327.3100000"/>
    <n v="328.68"/>
    <s v="18758270"/>
  </r>
  <r>
    <x v="2"/>
    <x v="2"/>
    <x v="0"/>
    <x v="10"/>
    <x v="1"/>
    <s v="327.5600000"/>
    <s v="330.5200000"/>
    <s v="327.1300000"/>
    <n v="329.36"/>
    <s v="23916510"/>
  </r>
  <r>
    <x v="2"/>
    <x v="2"/>
    <x v="0"/>
    <x v="11"/>
    <x v="1"/>
    <s v="329.0000000"/>
    <s v="335.7000000"/>
    <s v="328.5500000"/>
    <n v="334.5"/>
    <s v="42463620"/>
  </r>
  <r>
    <x v="2"/>
    <x v="2"/>
    <x v="0"/>
    <x v="12"/>
    <x v="1"/>
    <s v="336.0500000"/>
    <s v="338.9900000"/>
    <s v="333.2600000"/>
    <n v="334.9"/>
    <s v="36270350"/>
  </r>
  <r>
    <x v="2"/>
    <x v="2"/>
    <x v="0"/>
    <x v="13"/>
    <x v="1"/>
    <s v="333.5000000"/>
    <s v="334.0000000"/>
    <s v="329.1000000"/>
    <n v="332.69"/>
    <s v="45936410"/>
  </r>
  <r>
    <x v="2"/>
    <x v="2"/>
    <x v="0"/>
    <x v="14"/>
    <x v="1"/>
    <s v="332.2000000"/>
    <s v="333.2700000"/>
    <s v="325.1700000"/>
    <n v="325.67"/>
    <s v="36352850"/>
  </r>
  <r>
    <x v="2"/>
    <x v="2"/>
    <x v="0"/>
    <x v="15"/>
    <x v="1"/>
    <s v="327.8500000"/>
    <s v="329.8100000"/>
    <s v="326.5500000"/>
    <n v="329.22"/>
    <s v="20539290"/>
  </r>
  <r>
    <x v="2"/>
    <x v="2"/>
    <x v="0"/>
    <x v="16"/>
    <x v="1"/>
    <s v="330.3700000"/>
    <s v="331.2200000"/>
    <s v="323.3200000"/>
    <n v="324.83"/>
    <s v="35650540"/>
  </r>
  <r>
    <x v="2"/>
    <x v="2"/>
    <x v="0"/>
    <x v="17"/>
    <x v="1"/>
    <s v="324.2900000"/>
    <s v="325.3200000"/>
    <s v="321.2600000"/>
    <n v="324.57"/>
    <s v="28071640"/>
  </r>
  <r>
    <x v="2"/>
    <x v="2"/>
    <x v="0"/>
    <x v="18"/>
    <x v="1"/>
    <s v="324.0300000"/>
    <s v="325.5500000"/>
    <s v="320.5800000"/>
    <n v="322.54000000000002"/>
    <s v="27463480"/>
  </r>
  <r>
    <x v="2"/>
    <x v="2"/>
    <x v="0"/>
    <x v="19"/>
    <x v="1"/>
    <s v="323.7400000"/>
    <s v="327.5000000"/>
    <s v="321.8000000"/>
    <n v="327.41000000000003"/>
    <s v="27792410"/>
  </r>
  <r>
    <x v="2"/>
    <x v="2"/>
    <x v="0"/>
    <x v="20"/>
    <x v="1"/>
    <s v="328.4200000"/>
    <s v="329.3800000"/>
    <s v="326.5100000"/>
    <n v="328.28"/>
    <s v="20356090"/>
  </r>
  <r>
    <x v="2"/>
    <x v="2"/>
    <x v="0"/>
    <x v="21"/>
    <x v="1"/>
    <s v="328.5400000"/>
    <s v="330.4800000"/>
    <s v="327.3000000"/>
    <n v="327.94"/>
    <s v="32440160"/>
  </r>
  <r>
    <x v="2"/>
    <x v="2"/>
    <x v="0"/>
    <x v="22"/>
    <x v="1"/>
    <s v="328.8700000"/>
    <s v="334.6400000"/>
    <s v="328.0300000"/>
    <n v="334.57"/>
    <s v="30671130"/>
  </r>
  <r>
    <x v="2"/>
    <x v="2"/>
    <x v="0"/>
    <x v="23"/>
    <x v="1"/>
    <s v="334.6700000"/>
    <s v="334.9100000"/>
    <s v="328.7700000"/>
    <n v="329"/>
    <s v="31562590"/>
  </r>
  <r>
    <x v="2"/>
    <x v="2"/>
    <x v="0"/>
    <x v="24"/>
    <x v="1"/>
    <s v="329.4700000"/>
    <s v="330.5300000"/>
    <s v="326.6200000"/>
    <n v="329.71"/>
    <s v="29597400"/>
  </r>
  <r>
    <x v="2"/>
    <x v="2"/>
    <x v="0"/>
    <x v="25"/>
    <x v="1"/>
    <s v="330.0000000"/>
    <s v="331.4500000"/>
    <s v="328.5000000"/>
    <n v="329.37"/>
    <s v="17467620"/>
  </r>
  <r>
    <x v="2"/>
    <x v="2"/>
    <x v="0"/>
    <x v="26"/>
    <x v="1"/>
    <s v="329.8200000"/>
    <s v="330.7300000"/>
    <s v="324.6400000"/>
    <n v="325.95999999999998"/>
    <s v="24443360"/>
  </r>
  <r>
    <x v="2"/>
    <x v="2"/>
    <x v="0"/>
    <x v="27"/>
    <x v="1"/>
    <s v="325.9600000"/>
    <s v="332.7400000"/>
    <s v="322.8400000"/>
    <n v="331.7"/>
    <s v="47818530"/>
  </r>
  <r>
    <x v="2"/>
    <x v="2"/>
    <x v="0"/>
    <x v="28"/>
    <x v="1"/>
    <s v="330.4000000"/>
    <s v="330.4000000"/>
    <s v="325.6900000"/>
    <n v="326.01"/>
    <s v="29884250"/>
  </r>
  <r>
    <x v="2"/>
    <x v="2"/>
    <x v="0"/>
    <x v="29"/>
    <x v="1"/>
    <s v="328.0100000"/>
    <s v="328.4300000"/>
    <s v="325.2100000"/>
    <n v="326.25"/>
    <s v="17390450"/>
  </r>
  <r>
    <x v="2"/>
    <x v="2"/>
    <x v="0"/>
    <x v="30"/>
    <x v="1"/>
    <s v="327.0200000"/>
    <s v="328.1400000"/>
    <s v="324.0100000"/>
    <n v="327.41000000000003"/>
    <s v="24349520"/>
  </r>
  <r>
    <x v="2"/>
    <x v="2"/>
    <x v="0"/>
    <x v="31"/>
    <x v="1"/>
    <s v="327.4500000"/>
    <s v="328.8400000"/>
    <s v="325.4800000"/>
    <n v="326.48"/>
    <s v="22491700"/>
  </r>
  <r>
    <x v="2"/>
    <x v="2"/>
    <x v="0"/>
    <x v="32"/>
    <x v="1"/>
    <s v="326.4600000"/>
    <s v="334.6000000"/>
    <s v="326.4600000"/>
    <n v="333.51"/>
    <s v="43810600"/>
  </r>
  <r>
    <x v="2"/>
    <x v="2"/>
    <x v="0"/>
    <x v="33"/>
    <x v="1"/>
    <s v="333.0400000"/>
    <s v="334.5000000"/>
    <s v="324.9100000"/>
    <n v="326.99"/>
    <s v="62479270"/>
  </r>
  <r>
    <x v="2"/>
    <x v="2"/>
    <x v="0"/>
    <x v="34"/>
    <x v="1"/>
    <s v="326.9000000"/>
    <s v="331.7300000"/>
    <s v="325.7000000"/>
    <n v="329.56"/>
    <s v="54120880"/>
  </r>
  <r>
    <x v="2"/>
    <x v="2"/>
    <x v="0"/>
    <x v="35"/>
    <x v="1"/>
    <s v="327.0100000"/>
    <s v="328.8500000"/>
    <s v="325.0000000"/>
    <n v="326.92"/>
    <s v="31671550"/>
  </r>
  <r>
    <x v="2"/>
    <x v="2"/>
    <x v="0"/>
    <x v="36"/>
    <x v="1"/>
    <s v="328.4400000"/>
    <s v="329.4800000"/>
    <s v="322.3900000"/>
    <n v="323.25"/>
    <s v="47704160"/>
  </r>
  <r>
    <x v="2"/>
    <x v="2"/>
    <x v="0"/>
    <x v="37"/>
    <x v="1"/>
    <s v="325.2800000"/>
    <s v="328.9000000"/>
    <s v="322.5000000"/>
    <n v="327.8"/>
    <s v="38085450"/>
  </r>
  <r>
    <x v="2"/>
    <x v="2"/>
    <x v="0"/>
    <x v="38"/>
    <x v="1"/>
    <s v="328.9400000"/>
    <s v="329.4000000"/>
    <s v="325.1300000"/>
    <n v="327.02"/>
    <s v="27033650"/>
  </r>
  <r>
    <x v="2"/>
    <x v="2"/>
    <x v="0"/>
    <x v="39"/>
    <x v="1"/>
    <s v="326.0800000"/>
    <s v="326.2300000"/>
    <s v="323.6200000"/>
    <n v="325.44"/>
    <s v="24552590"/>
  </r>
  <r>
    <x v="2"/>
    <x v="2"/>
    <x v="0"/>
    <x v="40"/>
    <x v="1"/>
    <s v="326.3200000"/>
    <s v="332.4600000"/>
    <s v="326.0900000"/>
    <n v="331.68"/>
    <s v="34346920"/>
  </r>
  <r>
    <x v="2"/>
    <x v="2"/>
    <x v="0"/>
    <x v="41"/>
    <x v="1"/>
    <s v="332.0600000"/>
    <s v="334.4800000"/>
    <s v="328.3200000"/>
    <n v="329.3"/>
    <s v="52511780"/>
  </r>
  <r>
    <x v="2"/>
    <x v="2"/>
    <x v="0"/>
    <x v="42"/>
    <x v="1"/>
    <s v="329.0900000"/>
    <s v="330.4500000"/>
    <s v="327.1500000"/>
    <n v="328.43"/>
    <s v="27597990"/>
  </r>
  <r>
    <x v="2"/>
    <x v="2"/>
    <x v="0"/>
    <x v="43"/>
    <x v="1"/>
    <s v="329.9800000"/>
    <s v="342.2000000"/>
    <s v="329.4500000"/>
    <n v="340.99"/>
    <s v="83549930"/>
  </r>
  <r>
    <x v="2"/>
    <x v="2"/>
    <x v="0"/>
    <x v="44"/>
    <x v="1"/>
    <s v="339.2100000"/>
    <s v="339.9400000"/>
    <s v="336.0800000"/>
    <n v="338.48"/>
    <s v="37617680"/>
  </r>
  <r>
    <x v="3"/>
    <x v="3"/>
    <x v="0"/>
    <x v="0"/>
    <x v="0"/>
    <s v="43.8300000"/>
    <s v="44.2100000"/>
    <s v="43.6000000"/>
    <n v="43.77"/>
    <s v="34700"/>
  </r>
  <r>
    <x v="3"/>
    <x v="3"/>
    <x v="0"/>
    <x v="1"/>
    <x v="0"/>
    <s v="43.9500000"/>
    <s v="43.9800000"/>
    <s v="43.6000000"/>
    <n v="43.79"/>
    <s v="62100"/>
  </r>
  <r>
    <x v="3"/>
    <x v="3"/>
    <x v="0"/>
    <x v="2"/>
    <x v="0"/>
    <s v="43.7000000"/>
    <s v="44.1300000"/>
    <s v="43.2500000"/>
    <n v="43.86"/>
    <s v="43900"/>
  </r>
  <r>
    <x v="3"/>
    <x v="3"/>
    <x v="0"/>
    <x v="3"/>
    <x v="0"/>
    <s v="43.6800000"/>
    <s v="44.7700000"/>
    <s v="43.6700000"/>
    <n v="44.17"/>
    <s v="104300"/>
  </r>
  <r>
    <x v="3"/>
    <x v="3"/>
    <x v="0"/>
    <x v="4"/>
    <x v="0"/>
    <s v="44.3300000"/>
    <s v="44.5400000"/>
    <s v="43.9100000"/>
    <n v="43.91"/>
    <s v="66000"/>
  </r>
  <r>
    <x v="3"/>
    <x v="3"/>
    <x v="0"/>
    <x v="5"/>
    <x v="0"/>
    <s v="43.8100000"/>
    <s v="43.9900000"/>
    <s v="43.2500000"/>
    <n v="43.72"/>
    <s v="55800"/>
  </r>
  <r>
    <x v="3"/>
    <x v="3"/>
    <x v="0"/>
    <x v="6"/>
    <x v="0"/>
    <s v="44.0200000"/>
    <s v="44.0300000"/>
    <s v="43.2100000"/>
    <n v="43.54"/>
    <s v="83500"/>
  </r>
  <r>
    <x v="3"/>
    <x v="3"/>
    <x v="0"/>
    <x v="7"/>
    <x v="0"/>
    <s v="43.1000000"/>
    <s v="43.7400000"/>
    <s v="42.9900000"/>
    <n v="43.64"/>
    <s v="54900"/>
  </r>
  <r>
    <x v="3"/>
    <x v="3"/>
    <x v="0"/>
    <x v="8"/>
    <x v="0"/>
    <s v="43.8400000"/>
    <s v="43.8900000"/>
    <s v="43.4100000"/>
    <n v="43.79"/>
    <s v="49800"/>
  </r>
  <r>
    <x v="3"/>
    <x v="3"/>
    <x v="0"/>
    <x v="9"/>
    <x v="0"/>
    <s v="44.0700000"/>
    <s v="44.0700000"/>
    <s v="43.3000000"/>
    <n v="43.8"/>
    <s v="48400"/>
  </r>
  <r>
    <x v="3"/>
    <x v="3"/>
    <x v="0"/>
    <x v="10"/>
    <x v="0"/>
    <s v="44.0900000"/>
    <s v="44.0900000"/>
    <s v="43.3500000"/>
    <n v="43.77"/>
    <s v="31500"/>
  </r>
  <r>
    <x v="3"/>
    <x v="3"/>
    <x v="0"/>
    <x v="11"/>
    <x v="0"/>
    <s v="43.9500000"/>
    <s v="44.2800000"/>
    <s v="43.7800000"/>
    <n v="44.24"/>
    <s v="36600"/>
  </r>
  <r>
    <x v="3"/>
    <x v="3"/>
    <x v="0"/>
    <x v="12"/>
    <x v="0"/>
    <s v="44.1700000"/>
    <s v="44.8800000"/>
    <s v="44.0200000"/>
    <n v="44.08"/>
    <s v="100300"/>
  </r>
  <r>
    <x v="3"/>
    <x v="3"/>
    <x v="0"/>
    <x v="13"/>
    <x v="0"/>
    <s v="43.8400000"/>
    <s v="45.0000000"/>
    <s v="43.1100000"/>
    <n v="44.02"/>
    <s v="149700"/>
  </r>
  <r>
    <x v="3"/>
    <x v="3"/>
    <x v="0"/>
    <x v="14"/>
    <x v="0"/>
    <s v="44.0300000"/>
    <s v="44.0400000"/>
    <s v="43.6600000"/>
    <n v="43.87"/>
    <s v="39100"/>
  </r>
  <r>
    <x v="3"/>
    <x v="3"/>
    <x v="0"/>
    <x v="15"/>
    <x v="0"/>
    <s v="43.7200000"/>
    <s v="44.4000000"/>
    <s v="43.4400000"/>
    <n v="43.99"/>
    <s v="59200"/>
  </r>
  <r>
    <x v="3"/>
    <x v="3"/>
    <x v="0"/>
    <x v="16"/>
    <x v="0"/>
    <s v="44.2000000"/>
    <s v="44.3800000"/>
    <s v="44.0000000"/>
    <n v="44.26"/>
    <s v="28600"/>
  </r>
  <r>
    <x v="3"/>
    <x v="3"/>
    <x v="0"/>
    <x v="17"/>
    <x v="0"/>
    <s v="44.0600000"/>
    <s v="44.4700000"/>
    <s v="43.7000000"/>
    <n v="44"/>
    <s v="58400"/>
  </r>
  <r>
    <x v="3"/>
    <x v="3"/>
    <x v="0"/>
    <x v="18"/>
    <x v="0"/>
    <s v="44.0700000"/>
    <s v="44.0700000"/>
    <s v="40.1000000"/>
    <n v="43.29"/>
    <s v="267400"/>
  </r>
  <r>
    <x v="3"/>
    <x v="3"/>
    <x v="0"/>
    <x v="19"/>
    <x v="0"/>
    <s v="43.5000000"/>
    <s v="43.6700000"/>
    <s v="43.3000000"/>
    <n v="43.61"/>
    <s v="35900"/>
  </r>
  <r>
    <x v="3"/>
    <x v="3"/>
    <x v="0"/>
    <x v="20"/>
    <x v="0"/>
    <s v="43.8100000"/>
    <s v="43.8900000"/>
    <s v="42.7800000"/>
    <n v="43.14"/>
    <s v="126200"/>
  </r>
  <r>
    <x v="3"/>
    <x v="3"/>
    <x v="0"/>
    <x v="21"/>
    <x v="0"/>
    <s v="43.3900000"/>
    <s v="43.6900000"/>
    <s v="42.9300000"/>
    <n v="43.62"/>
    <s v="97600"/>
  </r>
  <r>
    <x v="3"/>
    <x v="3"/>
    <x v="0"/>
    <x v="22"/>
    <x v="0"/>
    <s v="43.6100000"/>
    <s v="43.8100000"/>
    <s v="43.4500000"/>
    <n v="43.65"/>
    <s v="74200"/>
  </r>
  <r>
    <x v="3"/>
    <x v="3"/>
    <x v="0"/>
    <x v="23"/>
    <x v="0"/>
    <s v="43.6900000"/>
    <s v="43.9000000"/>
    <s v="43.3300000"/>
    <n v="43.72"/>
    <s v="82400"/>
  </r>
  <r>
    <x v="3"/>
    <x v="3"/>
    <x v="0"/>
    <x v="24"/>
    <x v="0"/>
    <s v="43.3800000"/>
    <s v="44.1000000"/>
    <s v="43.3800000"/>
    <n v="44"/>
    <s v="83800"/>
  </r>
  <r>
    <x v="3"/>
    <x v="3"/>
    <x v="0"/>
    <x v="25"/>
    <x v="0"/>
    <s v="44.1200000"/>
    <s v="45.7900000"/>
    <s v="44.0400000"/>
    <n v="45"/>
    <s v="325300"/>
  </r>
  <r>
    <x v="3"/>
    <x v="3"/>
    <x v="0"/>
    <x v="26"/>
    <x v="0"/>
    <s v="45.4300000"/>
    <s v="45.4400000"/>
    <s v="44.4300000"/>
    <n v="44.52"/>
    <s v="79000"/>
  </r>
  <r>
    <x v="3"/>
    <x v="3"/>
    <x v="0"/>
    <x v="27"/>
    <x v="0"/>
    <s v="44.9800000"/>
    <s v="44.9800000"/>
    <s v="44.3900000"/>
    <n v="44.88"/>
    <s v="71800"/>
  </r>
  <r>
    <x v="3"/>
    <x v="3"/>
    <x v="0"/>
    <x v="28"/>
    <x v="0"/>
    <s v="44.7400000"/>
    <s v="44.7400000"/>
    <s v="44.4000000"/>
    <n v="44.49"/>
    <s v="39300"/>
  </r>
  <r>
    <x v="3"/>
    <x v="3"/>
    <x v="0"/>
    <x v="29"/>
    <x v="0"/>
    <s v="44.4000000"/>
    <s v="45.5600000"/>
    <s v="44.4000000"/>
    <n v="45.5"/>
    <s v="134500"/>
  </r>
  <r>
    <x v="3"/>
    <x v="3"/>
    <x v="0"/>
    <x v="30"/>
    <x v="0"/>
    <s v="45.5400000"/>
    <s v="45.9800000"/>
    <s v="44.4600000"/>
    <n v="45.01"/>
    <s v="458300"/>
  </r>
  <r>
    <x v="3"/>
    <x v="3"/>
    <x v="0"/>
    <x v="31"/>
    <x v="0"/>
    <s v="44.5400000"/>
    <s v="45.2000000"/>
    <s v="44.2200000"/>
    <n v="44.79"/>
    <s v="231700"/>
  </r>
  <r>
    <x v="3"/>
    <x v="3"/>
    <x v="0"/>
    <x v="32"/>
    <x v="0"/>
    <s v="44.5500000"/>
    <s v="45.1000000"/>
    <s v="44.4100000"/>
    <n v="44.66"/>
    <s v="67400"/>
  </r>
  <r>
    <x v="3"/>
    <x v="3"/>
    <x v="0"/>
    <x v="33"/>
    <x v="0"/>
    <s v="44.6600000"/>
    <s v="44.9700000"/>
    <s v="44.1500000"/>
    <n v="44.51"/>
    <s v="107300"/>
  </r>
  <r>
    <x v="3"/>
    <x v="3"/>
    <x v="0"/>
    <x v="34"/>
    <x v="0"/>
    <s v="44.3900000"/>
    <s v="44.7800000"/>
    <s v="44.0000000"/>
    <n v="44"/>
    <s v="489500"/>
  </r>
  <r>
    <x v="3"/>
    <x v="3"/>
    <x v="0"/>
    <x v="35"/>
    <x v="0"/>
    <s v="44.2900000"/>
    <s v="44.3000000"/>
    <s v="43.1100000"/>
    <n v="43.68"/>
    <s v="208300"/>
  </r>
  <r>
    <x v="3"/>
    <x v="3"/>
    <x v="0"/>
    <x v="36"/>
    <x v="0"/>
    <s v="43.7900000"/>
    <s v="44.1800000"/>
    <s v="43.5000000"/>
    <n v="44"/>
    <s v="55500"/>
  </r>
  <r>
    <x v="3"/>
    <x v="3"/>
    <x v="0"/>
    <x v="37"/>
    <x v="0"/>
    <s v="44.0200000"/>
    <s v="44.0500000"/>
    <s v="43.5000000"/>
    <n v="43.85"/>
    <s v="109800"/>
  </r>
  <r>
    <x v="3"/>
    <x v="3"/>
    <x v="0"/>
    <x v="38"/>
    <x v="0"/>
    <s v="43.7000000"/>
    <s v="44.7100000"/>
    <s v="43.7000000"/>
    <n v="44.5"/>
    <s v="110000"/>
  </r>
  <r>
    <x v="3"/>
    <x v="3"/>
    <x v="0"/>
    <x v="39"/>
    <x v="0"/>
    <s v="44.4900000"/>
    <s v="45.2000000"/>
    <s v="44.3700000"/>
    <n v="45.02"/>
    <s v="128200"/>
  </r>
  <r>
    <x v="3"/>
    <x v="3"/>
    <x v="0"/>
    <x v="40"/>
    <x v="0"/>
    <s v="44.8000000"/>
    <s v="45.6000000"/>
    <s v="44.8000000"/>
    <n v="45.15"/>
    <s v="97600"/>
  </r>
  <r>
    <x v="3"/>
    <x v="3"/>
    <x v="0"/>
    <x v="41"/>
    <x v="0"/>
    <s v="45.2800000"/>
    <s v="46.9400000"/>
    <s v="45.0900000"/>
    <n v="45.8"/>
    <s v="907300"/>
  </r>
  <r>
    <x v="3"/>
    <x v="3"/>
    <x v="0"/>
    <x v="42"/>
    <x v="0"/>
    <s v="45.5400000"/>
    <s v="46.2000000"/>
    <s v="45.5400000"/>
    <n v="45.69"/>
    <s v="105400"/>
  </r>
  <r>
    <x v="3"/>
    <x v="3"/>
    <x v="0"/>
    <x v="43"/>
    <x v="0"/>
    <s v="47.2600000"/>
    <s v="47.3000000"/>
    <s v="44.6400000"/>
    <n v="45.62"/>
    <s v="377300"/>
  </r>
  <r>
    <x v="3"/>
    <x v="3"/>
    <x v="0"/>
    <x v="44"/>
    <x v="0"/>
    <s v="45.7500000"/>
    <s v="45.8000000"/>
    <s v="45.1200000"/>
    <n v="45.21"/>
    <s v="7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1B30B-9A06-4191-B2E4-A42CBA8D3CE1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E47" firstHeaderRow="1" firstDataRow="2" firstDataCol="1"/>
  <pivotFields count="11">
    <pivotField showAll="0"/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Сумма по полю &lt;CLOSE&gt;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1FBB8-9D0D-43F7-BF6F-3EDFC0140BAB}" name="Таблица1" displayName="Таблица1" ref="M7:R52" totalsRowShown="0">
  <autoFilter ref="M7:R52" xr:uid="{A061FBB8-9D0D-43F7-BF6F-3EDFC0140B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8F03C3C-0F62-4AEA-AD8B-592E2F950F5A}" name="Date">
      <calculatedColumnFormula>Data!A3</calculatedColumnFormula>
    </tableColumn>
    <tableColumn id="2" xr3:uid="{50E514D9-A80B-4C27-B5BC-EB70DF2ED01D}" name="GAZP">
      <calculatedColumnFormula>Data!B3</calculatedColumnFormula>
    </tableColumn>
    <tableColumn id="3" xr3:uid="{143CA347-21BF-40A9-807C-7C173A71ED86}" name="SBER">
      <calculatedColumnFormula>Data!C3</calculatedColumnFormula>
    </tableColumn>
    <tableColumn id="4" xr3:uid="{9DF7441D-0C2B-4C6D-9456-F6131395F581}" name="Pmin" dataDxfId="0">
      <calculatedColumnFormula>$B$11*Таблица1[[#This Row],[GAZP]]+$C$11*Таблица1[[#This Row],[SBER]]</calculatedColumnFormula>
    </tableColumn>
    <tableColumn id="5" xr3:uid="{DE213097-89ED-4474-AB8D-40E6E6DFA528}" name="Pmax" dataDxfId="2">
      <calculatedColumnFormula>$B$22*Таблица1[[#This Row],[GAZP]]+$C$22*Таблица1[[#This Row],[SBER]]</calculatedColumnFormula>
    </tableColumn>
    <tableColumn id="6" xr3:uid="{3103EAE3-76EF-4D80-B51E-4BAA7E0FEC94}" name="PF" dataDxfId="1">
      <calculatedColumnFormula>$B$34*Таблица1[[#This Row],[GAZP]]+$C$34*Таблица1[[#This Row],[SBER]]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FF6-6834-4C8B-8A07-DDDCD05C3EF7}">
  <dimension ref="A1:R52"/>
  <sheetViews>
    <sheetView tabSelected="1" topLeftCell="G2" workbookViewId="0">
      <selection activeCell="I15" sqref="I15"/>
    </sheetView>
  </sheetViews>
  <sheetFormatPr defaultRowHeight="15" x14ac:dyDescent="0.25"/>
  <sheetData>
    <row r="1" spans="1:18" x14ac:dyDescent="0.25">
      <c r="A1" s="107" t="s">
        <v>121</v>
      </c>
      <c r="B1" s="107" t="s">
        <v>106</v>
      </c>
      <c r="C1" s="107" t="s">
        <v>107</v>
      </c>
      <c r="E1" s="107" t="s">
        <v>122</v>
      </c>
      <c r="F1" s="107" t="s">
        <v>106</v>
      </c>
      <c r="G1" s="107" t="s">
        <v>107</v>
      </c>
      <c r="I1" s="107" t="s">
        <v>126</v>
      </c>
      <c r="J1" s="107" t="s">
        <v>106</v>
      </c>
      <c r="K1" s="107" t="s">
        <v>107</v>
      </c>
    </row>
    <row r="2" spans="1:18" x14ac:dyDescent="0.25">
      <c r="A2" s="105" t="s">
        <v>106</v>
      </c>
      <c r="B2" s="105">
        <v>1</v>
      </c>
      <c r="C2" s="105" cm="1">
        <f t="array" ref="C2">TRANSPOSE(B3)</f>
        <v>0.30442095915213602</v>
      </c>
      <c r="D2" s="112" t="s">
        <v>124</v>
      </c>
      <c r="E2" s="105" t="s">
        <v>106</v>
      </c>
      <c r="F2" s="111">
        <f>B10^2</f>
        <v>7.8801251460222585E-3</v>
      </c>
      <c r="G2" s="111" cm="1">
        <f t="array" ref="G2">TRANSPOSE(F3)</f>
        <v>7.5676773659537925E-3</v>
      </c>
      <c r="H2" s="113" t="s">
        <v>125</v>
      </c>
      <c r="I2" s="105" t="s">
        <v>106</v>
      </c>
      <c r="J2" s="111">
        <f>B2*F2</f>
        <v>7.8801251460222585E-3</v>
      </c>
      <c r="K2" s="111">
        <f>C2*G2</f>
        <v>2.3037596022975637E-3</v>
      </c>
    </row>
    <row r="3" spans="1:18" ht="15.75" thickBot="1" x14ac:dyDescent="0.3">
      <c r="A3" s="106" t="s">
        <v>107</v>
      </c>
      <c r="B3" s="106">
        <v>0.30442095915213602</v>
      </c>
      <c r="C3" s="106">
        <v>1</v>
      </c>
      <c r="E3" s="106" t="s">
        <v>107</v>
      </c>
      <c r="F3" s="110">
        <f>B10*C10</f>
        <v>7.5676773659537925E-3</v>
      </c>
      <c r="G3" s="110">
        <f>C10^2</f>
        <v>7.2676181727999636E-3</v>
      </c>
      <c r="I3" s="106" t="s">
        <v>107</v>
      </c>
      <c r="J3" s="110">
        <f>B3*F3</f>
        <v>2.3037596022975637E-3</v>
      </c>
      <c r="K3" s="110">
        <f>C3*G3</f>
        <v>7.2676181727999636E-3</v>
      </c>
    </row>
    <row r="6" spans="1:18" ht="18.75" x14ac:dyDescent="0.3">
      <c r="A6" s="108" t="s">
        <v>123</v>
      </c>
    </row>
    <row r="7" spans="1:18" x14ac:dyDescent="0.25">
      <c r="M7" t="s">
        <v>133</v>
      </c>
      <c r="N7" t="s">
        <v>106</v>
      </c>
      <c r="O7" t="s">
        <v>107</v>
      </c>
      <c r="P7" t="s">
        <v>134</v>
      </c>
      <c r="Q7" t="s">
        <v>135</v>
      </c>
      <c r="R7" t="s">
        <v>136</v>
      </c>
    </row>
    <row r="8" spans="1:18" x14ac:dyDescent="0.25">
      <c r="B8" s="44" t="str">
        <f>Data!R3</f>
        <v>GAZP</v>
      </c>
      <c r="C8" s="44" t="str">
        <f>Data!S3</f>
        <v>SBER</v>
      </c>
      <c r="M8" t="str">
        <f>Data!A3</f>
        <v>02.авг</v>
      </c>
      <c r="N8">
        <f>Data!B3</f>
        <v>286.75</v>
      </c>
      <c r="O8">
        <f>Data!C3</f>
        <v>306.51</v>
      </c>
      <c r="P8">
        <f>$B$11*Таблица1[[#This Row],[GAZP]]+$C$11*Таблица1[[#This Row],[SBER]]</f>
        <v>297.20414043539591</v>
      </c>
      <c r="Q8">
        <f>$B$22*Таблица1[[#This Row],[GAZP]]+$C$22*Таблица1[[#This Row],[SBER]]</f>
        <v>288.36379766238394</v>
      </c>
      <c r="R8">
        <f>$B$34*Таблица1[[#This Row],[GAZP]]+$C$34*Таблица1[[#This Row],[SBER]]</f>
        <v>293.12963201458092</v>
      </c>
    </row>
    <row r="9" spans="1:18" x14ac:dyDescent="0.25">
      <c r="A9" s="44" t="str">
        <f>Data!Q4</f>
        <v>Ср.д.%</v>
      </c>
      <c r="B9" s="109">
        <f>Data!R4</f>
        <v>0.24633258859900181</v>
      </c>
      <c r="C9" s="43">
        <f>Data!S4</f>
        <v>0.10511499843391411</v>
      </c>
      <c r="M9" t="str">
        <f>Data!A4</f>
        <v>03.авг</v>
      </c>
      <c r="N9">
        <f>Data!B4</f>
        <v>287.08999999999997</v>
      </c>
      <c r="O9">
        <f>Data!C4</f>
        <v>309.89</v>
      </c>
      <c r="P9">
        <f>$B$11*Таблица1[[#This Row],[GAZP]]+$C$11*Таблица1[[#This Row],[SBER]]</f>
        <v>299.15246973314913</v>
      </c>
      <c r="Q9">
        <f>$B$22*Таблица1[[#This Row],[GAZP]]+$C$22*Таблица1[[#This Row],[SBER]]</f>
        <v>288.95207422582757</v>
      </c>
      <c r="R9">
        <f>$B$34*Таблица1[[#This Row],[GAZP]]+$C$34*Таблица1[[#This Row],[SBER]]</f>
        <v>294.45111386297799</v>
      </c>
    </row>
    <row r="10" spans="1:18" x14ac:dyDescent="0.25">
      <c r="A10" s="44" t="str">
        <f>Data!Q5</f>
        <v>Ср.риск%</v>
      </c>
      <c r="B10" s="109">
        <f>Data!R5</f>
        <v>8.8770068976103983E-2</v>
      </c>
      <c r="C10" s="109">
        <f>Data!S5</f>
        <v>8.5250326526060669E-2</v>
      </c>
      <c r="M10" t="str">
        <f>Data!A5</f>
        <v>04.авг</v>
      </c>
      <c r="N10">
        <f>Data!B5</f>
        <v>287.94</v>
      </c>
      <c r="O10">
        <f>Data!C5</f>
        <v>311.10000000000002</v>
      </c>
      <c r="P10">
        <f>$B$11*Таблица1[[#This Row],[GAZP]]+$C$11*Таблица1[[#This Row],[SBER]]</f>
        <v>300.19292978156727</v>
      </c>
      <c r="Q10">
        <f>$B$22*Таблица1[[#This Row],[GAZP]]+$C$22*Таблица1[[#This Row],[SBER]]</f>
        <v>289.83147539781436</v>
      </c>
      <c r="R10">
        <f>$B$34*Таблица1[[#This Row],[GAZP]]+$C$34*Таблица1[[#This Row],[SBER]]</f>
        <v>295.41734197660395</v>
      </c>
    </row>
    <row r="11" spans="1:18" x14ac:dyDescent="0.25">
      <c r="A11" s="44" t="s">
        <v>112</v>
      </c>
      <c r="B11">
        <f>Data!R8</f>
        <v>0.47094430994959902</v>
      </c>
      <c r="C11">
        <f>1-B11</f>
        <v>0.52905569005040098</v>
      </c>
      <c r="M11" t="str">
        <f>Data!A6</f>
        <v>05.авг</v>
      </c>
      <c r="N11">
        <f>Data!B6</f>
        <v>285.95</v>
      </c>
      <c r="O11">
        <f>Data!C6</f>
        <v>315.82</v>
      </c>
      <c r="P11">
        <f>$B$11*Таблица1[[#This Row],[GAZP]]+$C$11*Таблица1[[#This Row],[SBER]]</f>
        <v>301.75289346180546</v>
      </c>
      <c r="Q11">
        <f>$B$22*Таблица1[[#This Row],[GAZP]]+$C$22*Таблица1[[#This Row],[SBER]]</f>
        <v>288.38948057567853</v>
      </c>
      <c r="R11">
        <f>$B$34*Таблица1[[#This Row],[GAZP]]+$C$34*Таблица1[[#This Row],[SBER]]</f>
        <v>295.59370487224351</v>
      </c>
    </row>
    <row r="12" spans="1:18" x14ac:dyDescent="0.25">
      <c r="M12" t="str">
        <f>Data!A7</f>
        <v>06.авг</v>
      </c>
      <c r="N12">
        <f>Data!B7</f>
        <v>282.27</v>
      </c>
      <c r="O12">
        <f>Data!C7</f>
        <v>319.14999999999998</v>
      </c>
      <c r="P12">
        <f>$B$11*Таблица1[[#This Row],[GAZP]]+$C$11*Таблица1[[#This Row],[SBER]]</f>
        <v>301.78157384905876</v>
      </c>
      <c r="Q12">
        <f>$B$22*Таблица1[[#This Row],[GAZP]]+$C$22*Таблица1[[#This Row],[SBER]]</f>
        <v>285.28198673019835</v>
      </c>
      <c r="R12">
        <f>$B$34*Таблица1[[#This Row],[GAZP]]+$C$34*Таблица1[[#This Row],[SBER]]</f>
        <v>294.17692452923808</v>
      </c>
    </row>
    <row r="13" spans="1:18" x14ac:dyDescent="0.25">
      <c r="A13" s="44" t="s">
        <v>113</v>
      </c>
      <c r="B13">
        <f>SUMPRODUCT(B11:C11,B9:C9)</f>
        <v>0.17162061898695663</v>
      </c>
      <c r="M13" t="str">
        <f>Data!A8</f>
        <v>09.авг</v>
      </c>
      <c r="N13">
        <f>Data!B8</f>
        <v>286.68</v>
      </c>
      <c r="O13">
        <f>Data!C8</f>
        <v>326.91000000000003</v>
      </c>
      <c r="P13">
        <f>$B$11*Таблица1[[#This Row],[GAZP]]+$C$11*Таблица1[[#This Row],[SBER]]</f>
        <v>307.96391041072764</v>
      </c>
      <c r="Q13">
        <f>$B$22*Таблица1[[#This Row],[GAZP]]+$C$22*Таблица1[[#This Row],[SBER]]</f>
        <v>289.96558096951946</v>
      </c>
      <c r="R13">
        <f>$B$34*Таблица1[[#This Row],[GAZP]]+$C$34*Таблица1[[#This Row],[SBER]]</f>
        <v>299.66849169770194</v>
      </c>
    </row>
    <row r="14" spans="1:18" x14ac:dyDescent="0.25">
      <c r="A14" s="44" t="s">
        <v>127</v>
      </c>
      <c r="B14" cm="1">
        <f t="array" ref="B14">SQRT(MMULT(MMULT(B11:C11,$J$2:$K$3),TRANSPOSE(B11:C11)))</f>
        <v>7.0213369271254239E-2</v>
      </c>
      <c r="M14" t="str">
        <f>Data!A9</f>
        <v>10.авг</v>
      </c>
      <c r="N14">
        <f>Data!B9</f>
        <v>288.61</v>
      </c>
      <c r="O14">
        <f>Data!C9</f>
        <v>330.11</v>
      </c>
      <c r="P14">
        <f>$B$11*Таблица1[[#This Row],[GAZP]]+$C$11*Таблица1[[#This Row],[SBER]]</f>
        <v>310.56581113709166</v>
      </c>
      <c r="Q14">
        <f>$B$22*Таблица1[[#This Row],[GAZP]]+$C$22*Таблица1[[#This Row],[SBER]]</f>
        <v>291.99930177069501</v>
      </c>
      <c r="R14">
        <f>$B$34*Таблица1[[#This Row],[GAZP]]+$C$34*Таблица1[[#This Row],[SBER]]</f>
        <v>302.00851865410471</v>
      </c>
    </row>
    <row r="15" spans="1:18" x14ac:dyDescent="0.25">
      <c r="M15" t="str">
        <f>Data!A10</f>
        <v>11.авг</v>
      </c>
      <c r="N15">
        <f>Data!B10</f>
        <v>290.35000000000002</v>
      </c>
      <c r="O15">
        <f>Data!C10</f>
        <v>329.9</v>
      </c>
      <c r="P15">
        <f>$B$11*Таблица1[[#This Row],[GAZP]]+$C$11*Таблица1[[#This Row],[SBER]]</f>
        <v>311.27415254149332</v>
      </c>
      <c r="Q15">
        <f>$B$22*Таблица1[[#This Row],[GAZP]]+$C$22*Таблица1[[#This Row],[SBER]]</f>
        <v>293.58004542243344</v>
      </c>
      <c r="R15">
        <f>$B$34*Таблица1[[#This Row],[GAZP]]+$C$34*Таблица1[[#This Row],[SBER]]</f>
        <v>303.11894970529738</v>
      </c>
    </row>
    <row r="16" spans="1:18" x14ac:dyDescent="0.25">
      <c r="M16" t="str">
        <f>Data!A11</f>
        <v>12.авг</v>
      </c>
      <c r="N16">
        <f>Data!B11</f>
        <v>293.23</v>
      </c>
      <c r="O16">
        <f>Data!C11</f>
        <v>328.57</v>
      </c>
      <c r="P16">
        <f>$B$11*Таблица1[[#This Row],[GAZP]]+$C$11*Таблица1[[#This Row],[SBER]]</f>
        <v>311.92682808638119</v>
      </c>
      <c r="Q16">
        <f>$B$22*Таблица1[[#This Row],[GAZP]]+$C$22*Таблица1[[#This Row],[SBER]]</f>
        <v>296.11621505003285</v>
      </c>
      <c r="R16">
        <f>$B$34*Таблица1[[#This Row],[GAZP]]+$C$34*Таблица1[[#This Row],[SBER]]</f>
        <v>304.63972648761592</v>
      </c>
    </row>
    <row r="17" spans="1:18" ht="18.75" x14ac:dyDescent="0.3">
      <c r="A17" s="114" t="s">
        <v>128</v>
      </c>
      <c r="M17" t="str">
        <f>Data!A12</f>
        <v>13.авг</v>
      </c>
      <c r="N17">
        <f>Data!B12</f>
        <v>292.7</v>
      </c>
      <c r="O17">
        <f>Data!C12</f>
        <v>328.68</v>
      </c>
      <c r="P17">
        <f>$B$11*Таблица1[[#This Row],[GAZP]]+$C$11*Таблица1[[#This Row],[SBER]]</f>
        <v>311.73542372801342</v>
      </c>
      <c r="Q17">
        <f>$B$22*Таблица1[[#This Row],[GAZP]]+$C$22*Таблица1[[#This Row],[SBER]]</f>
        <v>295.63848380023148</v>
      </c>
      <c r="R17">
        <f>$B$34*Таблица1[[#This Row],[GAZP]]+$C$34*Таблица1[[#This Row],[SBER]]</f>
        <v>304.31635424517316</v>
      </c>
    </row>
    <row r="18" spans="1:18" x14ac:dyDescent="0.25">
      <c r="M18" t="str">
        <f>Data!A13</f>
        <v>16.авг</v>
      </c>
      <c r="N18">
        <f>Data!B13</f>
        <v>295.10000000000002</v>
      </c>
      <c r="O18">
        <f>Data!C13</f>
        <v>329.36</v>
      </c>
      <c r="P18">
        <f>$B$11*Таблица1[[#This Row],[GAZP]]+$C$11*Таблица1[[#This Row],[SBER]]</f>
        <v>313.22544794112673</v>
      </c>
      <c r="Q18">
        <f>$B$22*Таблица1[[#This Row],[GAZP]]+$C$22*Таблица1[[#This Row],[SBER]]</f>
        <v>297.89801153407257</v>
      </c>
      <c r="R18">
        <f>$B$34*Таблица1[[#This Row],[GAZP]]+$C$34*Таблица1[[#This Row],[SBER]]</f>
        <v>306.161042146738</v>
      </c>
    </row>
    <row r="19" spans="1:18" x14ac:dyDescent="0.25">
      <c r="B19" s="44" t="str">
        <f>B8</f>
        <v>GAZP</v>
      </c>
      <c r="C19" s="44" t="str">
        <f>C8</f>
        <v>SBER</v>
      </c>
      <c r="M19" t="str">
        <f>Data!A14</f>
        <v>17.авг</v>
      </c>
      <c r="N19">
        <f>Data!B14</f>
        <v>298.32</v>
      </c>
      <c r="O19">
        <f>Data!C14</f>
        <v>334.5</v>
      </c>
      <c r="P19">
        <f>$B$11*Таблица1[[#This Row],[GAZP]]+$C$11*Таблица1[[#This Row],[SBER]]</f>
        <v>317.46123486602352</v>
      </c>
      <c r="Q19">
        <f>$B$22*Таблица1[[#This Row],[GAZP]]+$C$22*Таблица1[[#This Row],[SBER]]</f>
        <v>301.27481778466853</v>
      </c>
      <c r="R19">
        <f>$B$34*Таблица1[[#This Row],[GAZP]]+$C$34*Таблица1[[#This Row],[SBER]]</f>
        <v>310.00092541940984</v>
      </c>
    </row>
    <row r="20" spans="1:18" x14ac:dyDescent="0.25">
      <c r="A20" s="44" t="str">
        <f>A9</f>
        <v>Ср.д.%</v>
      </c>
      <c r="B20" s="109">
        <f>Data!R4</f>
        <v>0.24633258859900181</v>
      </c>
      <c r="C20" s="109">
        <f>Data!S4</f>
        <v>0.10511499843391411</v>
      </c>
      <c r="M20" t="str">
        <f>Data!A15</f>
        <v>18.авг</v>
      </c>
      <c r="N20">
        <f>Data!B15</f>
        <v>295.05</v>
      </c>
      <c r="O20">
        <f>Data!C15</f>
        <v>334.9</v>
      </c>
      <c r="P20">
        <f>$B$11*Таблица1[[#This Row],[GAZP]]+$C$11*Таблица1[[#This Row],[SBER]]</f>
        <v>316.13286924850843</v>
      </c>
      <c r="Q20">
        <f>$B$22*Таблица1[[#This Row],[GAZP]]+$C$22*Таблица1[[#This Row],[SBER]]</f>
        <v>298.30454639908902</v>
      </c>
      <c r="R20">
        <f>$B$34*Таблица1[[#This Row],[GAZP]]+$C$34*Таблица1[[#This Row],[SBER]]</f>
        <v>307.91580646665233</v>
      </c>
    </row>
    <row r="21" spans="1:18" x14ac:dyDescent="0.25">
      <c r="A21" s="44" t="str">
        <f t="shared" ref="A21:A22" si="0">A10</f>
        <v>Ср.риск%</v>
      </c>
      <c r="B21" s="109">
        <f>Data!R5</f>
        <v>8.8770068976103983E-2</v>
      </c>
      <c r="C21" s="109">
        <f>Data!S5</f>
        <v>8.5250326526060669E-2</v>
      </c>
      <c r="E21" s="115"/>
      <c r="F21" s="115"/>
      <c r="M21" t="str">
        <f>Data!A16</f>
        <v>19.авг</v>
      </c>
      <c r="N21">
        <f>Data!B16</f>
        <v>293.68</v>
      </c>
      <c r="O21">
        <f>Data!C16</f>
        <v>332.69</v>
      </c>
      <c r="P21">
        <f>$B$11*Таблица1[[#This Row],[GAZP]]+$C$11*Таблица1[[#This Row],[SBER]]</f>
        <v>314.31846246886619</v>
      </c>
      <c r="Q21">
        <f>$B$22*Таблица1[[#This Row],[GAZP]]+$C$22*Таблица1[[#This Row],[SBER]]</f>
        <v>296.86594366445331</v>
      </c>
      <c r="R21">
        <f>$B$34*Таблица1[[#This Row],[GAZP]]+$C$34*Таблица1[[#This Row],[SBER]]</f>
        <v>306.27460753485843</v>
      </c>
    </row>
    <row r="22" spans="1:18" x14ac:dyDescent="0.25">
      <c r="A22" s="44" t="str">
        <f t="shared" si="0"/>
        <v>W</v>
      </c>
      <c r="B22">
        <v>0.91833007781457876</v>
      </c>
      <c r="C22">
        <f>1-B22</f>
        <v>8.166992218542124E-2</v>
      </c>
      <c r="M22" t="str">
        <f>Data!A17</f>
        <v>20.авг</v>
      </c>
      <c r="N22">
        <f>Data!B17</f>
        <v>292.57</v>
      </c>
      <c r="O22">
        <f>Data!C17</f>
        <v>325.67</v>
      </c>
      <c r="P22">
        <f>$B$11*Таблица1[[#This Row],[GAZP]]+$C$11*Таблица1[[#This Row],[SBER]]</f>
        <v>310.08174334066825</v>
      </c>
      <c r="Q22">
        <f>$B$22*Таблица1[[#This Row],[GAZP]]+$C$22*Таблица1[[#This Row],[SBER]]</f>
        <v>295.27327442433744</v>
      </c>
      <c r="R22">
        <f>$B$34*Таблица1[[#This Row],[GAZP]]+$C$34*Таблица1[[#This Row],[SBER]]</f>
        <v>303.25652933616544</v>
      </c>
    </row>
    <row r="23" spans="1:18" x14ac:dyDescent="0.25">
      <c r="M23" t="str">
        <f>Data!A18</f>
        <v>23.авг</v>
      </c>
      <c r="N23">
        <f>Data!B18</f>
        <v>297.69</v>
      </c>
      <c r="O23">
        <f>Data!C18</f>
        <v>329.22</v>
      </c>
      <c r="P23">
        <f>$B$11*Таблица1[[#This Row],[GAZP]]+$C$11*Таблица1[[#This Row],[SBER]]</f>
        <v>314.37112590728918</v>
      </c>
      <c r="Q23">
        <f>$B$22*Таблица1[[#This Row],[GAZP]]+$C$22*Таблица1[[#This Row],[SBER]]</f>
        <v>300.26505264650632</v>
      </c>
      <c r="R23">
        <f>$B$34*Таблица1[[#This Row],[GAZP]]+$C$34*Таблица1[[#This Row],[SBER]]</f>
        <v>307.86964561840773</v>
      </c>
    </row>
    <row r="24" spans="1:18" x14ac:dyDescent="0.25">
      <c r="A24" s="44" t="s">
        <v>113</v>
      </c>
      <c r="B24">
        <f>SUMPRODUCT(B20:C20,B22:C22)</f>
        <v>0.23479935899900639</v>
      </c>
      <c r="M24" t="str">
        <f>Data!A19</f>
        <v>24.авг</v>
      </c>
      <c r="N24">
        <f>Data!B19</f>
        <v>298.7</v>
      </c>
      <c r="O24">
        <f>Data!C19</f>
        <v>324.83</v>
      </c>
      <c r="P24">
        <f>$B$11*Таблица1[[#This Row],[GAZP]]+$C$11*Таблица1[[#This Row],[SBER]]</f>
        <v>312.52422518101696</v>
      </c>
      <c r="Q24">
        <f>$B$22*Таблица1[[#This Row],[GAZP]]+$C$22*Таблица1[[#This Row],[SBER]]</f>
        <v>300.83403506670504</v>
      </c>
      <c r="R24">
        <f>$B$34*Таблица1[[#This Row],[GAZP]]+$C$34*Таблица1[[#This Row],[SBER]]</f>
        <v>307.13622391401816</v>
      </c>
    </row>
    <row r="25" spans="1:18" x14ac:dyDescent="0.25">
      <c r="A25" s="44" t="s">
        <v>127</v>
      </c>
      <c r="B25" cm="1">
        <f t="array" ref="B25">SQRT(MMULT(MMULT(B22:C22,$J$2:$K$3),TRANSPOSE(B22:C22)))</f>
        <v>8.3902237811825389E-2</v>
      </c>
      <c r="M25" t="str">
        <f>Data!A20</f>
        <v>25.авг</v>
      </c>
      <c r="N25">
        <f>Data!B20</f>
        <v>296.7</v>
      </c>
      <c r="O25">
        <f>Data!C20</f>
        <v>324.57</v>
      </c>
      <c r="P25">
        <f>$B$11*Таблица1[[#This Row],[GAZP]]+$C$11*Таблица1[[#This Row],[SBER]]</f>
        <v>311.44478208170466</v>
      </c>
      <c r="Q25">
        <f>$B$22*Таблица1[[#This Row],[GAZP]]+$C$22*Таблица1[[#This Row],[SBER]]</f>
        <v>298.97614073130768</v>
      </c>
      <c r="R25">
        <f>$B$34*Таблица1[[#This Row],[GAZP]]+$C$34*Таблица1[[#This Row],[SBER]]</f>
        <v>305.69799312987703</v>
      </c>
    </row>
    <row r="26" spans="1:18" x14ac:dyDescent="0.25">
      <c r="A26" t="s">
        <v>129</v>
      </c>
      <c r="B26">
        <f>(10000-(B22*100)^2-(C22*100)^2)/10000</f>
        <v>0.14999989199129687</v>
      </c>
      <c r="M26" t="str">
        <f>Data!A21</f>
        <v>26.авг</v>
      </c>
      <c r="N26">
        <f>Data!B21</f>
        <v>294.33999999999997</v>
      </c>
      <c r="O26">
        <f>Data!C21</f>
        <v>322.54000000000002</v>
      </c>
      <c r="P26">
        <f>$B$11*Таблица1[[#This Row],[GAZP]]+$C$11*Таблица1[[#This Row],[SBER]]</f>
        <v>309.25937045942129</v>
      </c>
      <c r="Q26">
        <f>$B$22*Таблица1[[#This Row],[GAZP]]+$C$22*Таблица1[[#This Row],[SBER]]</f>
        <v>296.6430918056289</v>
      </c>
      <c r="R26">
        <f>$B$34*Таблица1[[#This Row],[GAZP]]+$C$34*Таблица1[[#This Row],[SBER]]</f>
        <v>303.44453556736755</v>
      </c>
    </row>
    <row r="27" spans="1:18" x14ac:dyDescent="0.25">
      <c r="M27" t="str">
        <f>Data!A22</f>
        <v>27.авг</v>
      </c>
      <c r="N27">
        <f>Data!B22</f>
        <v>299.66000000000003</v>
      </c>
      <c r="O27">
        <f>Data!C22</f>
        <v>327.41000000000003</v>
      </c>
      <c r="P27">
        <f>$B$11*Таблица1[[#This Row],[GAZP]]+$C$11*Таблица1[[#This Row],[SBER]]</f>
        <v>314.34129539889864</v>
      </c>
      <c r="Q27">
        <f>$B$22*Таблица1[[#This Row],[GAZP]]+$C$22*Таблица1[[#This Row],[SBER]]</f>
        <v>301.92634034064548</v>
      </c>
      <c r="R27">
        <f>$B$34*Таблица1[[#This Row],[GAZP]]+$C$34*Таблица1[[#This Row],[SBER]]</f>
        <v>308.61925042533505</v>
      </c>
    </row>
    <row r="28" spans="1:18" x14ac:dyDescent="0.25">
      <c r="M28" t="str">
        <f>Data!A23</f>
        <v>30.авг</v>
      </c>
      <c r="N28">
        <f>Data!B23</f>
        <v>305.17</v>
      </c>
      <c r="O28">
        <f>Data!C23</f>
        <v>328.28</v>
      </c>
      <c r="P28">
        <f>$B$11*Таблица1[[#This Row],[GAZP]]+$C$11*Таблица1[[#This Row],[SBER]]</f>
        <v>317.39647699706478</v>
      </c>
      <c r="Q28">
        <f>$B$22*Таблица1[[#This Row],[GAZP]]+$C$22*Таблица1[[#This Row],[SBER]]</f>
        <v>307.0573919017051</v>
      </c>
      <c r="R28">
        <f>$B$34*Таблица1[[#This Row],[GAZP]]+$C$34*Таблица1[[#This Row],[SBER]]</f>
        <v>312.63119918304483</v>
      </c>
    </row>
    <row r="29" spans="1:18" ht="18.75" x14ac:dyDescent="0.3">
      <c r="A29" s="116" t="s">
        <v>130</v>
      </c>
      <c r="M29" t="str">
        <f>Data!A24</f>
        <v>31.авг</v>
      </c>
      <c r="N29">
        <f>Data!B24</f>
        <v>305.64999999999998</v>
      </c>
      <c r="O29">
        <f>Data!C24</f>
        <v>327.94</v>
      </c>
      <c r="P29">
        <f>$B$11*Таблица1[[#This Row],[GAZP]]+$C$11*Таблица1[[#This Row],[SBER]]</f>
        <v>317.44265133122343</v>
      </c>
      <c r="Q29">
        <f>$B$22*Таблица1[[#This Row],[GAZP]]+$C$22*Таблица1[[#This Row],[SBER]]</f>
        <v>307.47042256551305</v>
      </c>
      <c r="R29">
        <f>$B$34*Таблица1[[#This Row],[GAZP]]+$C$34*Таблица1[[#This Row],[SBER]]</f>
        <v>312.84645736867452</v>
      </c>
    </row>
    <row r="30" spans="1:18" x14ac:dyDescent="0.25">
      <c r="M30" t="str">
        <f>Data!A25</f>
        <v>01.сен</v>
      </c>
      <c r="N30">
        <f>Data!B25</f>
        <v>312.89</v>
      </c>
      <c r="O30">
        <f>Data!C25</f>
        <v>334.57</v>
      </c>
      <c r="P30">
        <f>$B$11*Таблица1[[#This Row],[GAZP]]+$C$11*Таблица1[[#This Row],[SBER]]</f>
        <v>324.35992736029266</v>
      </c>
      <c r="Q30">
        <f>$B$22*Таблица1[[#This Row],[GAZP]]+$C$22*Таблица1[[#This Row],[SBER]]</f>
        <v>314.66060391297992</v>
      </c>
      <c r="R30">
        <f>$B$34*Таблица1[[#This Row],[GAZP]]+$C$34*Таблица1[[#This Row],[SBER]]</f>
        <v>319.88951528725272</v>
      </c>
    </row>
    <row r="31" spans="1:18" x14ac:dyDescent="0.25">
      <c r="B31" s="44" t="str">
        <f>B19</f>
        <v>GAZP</v>
      </c>
      <c r="C31" s="44" t="str">
        <f>C19</f>
        <v>SBER</v>
      </c>
      <c r="M31" t="str">
        <f>Data!A26</f>
        <v>02.сен</v>
      </c>
      <c r="N31">
        <f>Data!B26</f>
        <v>312.3</v>
      </c>
      <c r="O31">
        <f>Data!C26</f>
        <v>329</v>
      </c>
      <c r="P31">
        <f>$B$11*Таблица1[[#This Row],[GAZP]]+$C$11*Таблица1[[#This Row],[SBER]]</f>
        <v>321.1352300238417</v>
      </c>
      <c r="Q31">
        <f>$B$22*Таблица1[[#This Row],[GAZP]]+$C$22*Таблица1[[#This Row],[SBER]]</f>
        <v>313.66388770049656</v>
      </c>
      <c r="R31">
        <f>$B$34*Таблица1[[#This Row],[GAZP]]+$C$34*Таблица1[[#This Row],[SBER]]</f>
        <v>317.69169304876021</v>
      </c>
    </row>
    <row r="32" spans="1:18" x14ac:dyDescent="0.25">
      <c r="A32" s="44" t="str">
        <f>A20</f>
        <v>Ср.д.%</v>
      </c>
      <c r="B32" s="109">
        <f>B20</f>
        <v>0.24633258859900181</v>
      </c>
      <c r="C32" s="109">
        <f>C20</f>
        <v>0.10511499843391411</v>
      </c>
      <c r="M32" t="str">
        <f>Data!A27</f>
        <v>03.сен</v>
      </c>
      <c r="N32">
        <f>Data!B27</f>
        <v>317.94</v>
      </c>
      <c r="O32">
        <f>Data!C27</f>
        <v>329.71</v>
      </c>
      <c r="P32">
        <f>$B$11*Таблица1[[#This Row],[GAZP]]+$C$11*Таблица1[[#This Row],[SBER]]</f>
        <v>324.16698547189321</v>
      </c>
      <c r="Q32">
        <f>$B$22*Таблица1[[#This Row],[GAZP]]+$C$22*Таблица1[[#This Row],[SBER]]</f>
        <v>318.90125498412237</v>
      </c>
      <c r="R32">
        <f>$B$34*Таблица1[[#This Row],[GAZP]]+$C$34*Таблица1[[#This Row],[SBER]]</f>
        <v>321.74001360382681</v>
      </c>
    </row>
    <row r="33" spans="1:18" x14ac:dyDescent="0.25">
      <c r="A33" s="44" t="str">
        <f t="shared" ref="A33:A34" si="1">A21</f>
        <v>Ср.риск%</v>
      </c>
      <c r="B33" s="109">
        <f>B21</f>
        <v>8.8770068976103983E-2</v>
      </c>
      <c r="C33" s="109">
        <f>C21</f>
        <v>8.5250326526060669E-2</v>
      </c>
      <c r="M33" t="str">
        <f>Data!A28</f>
        <v>06.сен</v>
      </c>
      <c r="N33">
        <f>Data!B28</f>
        <v>328.93</v>
      </c>
      <c r="O33">
        <f>Data!C28</f>
        <v>329.37</v>
      </c>
      <c r="P33">
        <f>$B$11*Таблица1[[#This Row],[GAZP]]+$C$11*Таблица1[[#This Row],[SBER]]</f>
        <v>329.16278450362216</v>
      </c>
      <c r="Q33">
        <f>$B$22*Таблица1[[#This Row],[GAZP]]+$C$22*Таблица1[[#This Row],[SBER]]</f>
        <v>328.96593476576163</v>
      </c>
      <c r="R33">
        <f>$B$34*Таблица1[[#This Row],[GAZP]]+$C$34*Таблица1[[#This Row],[SBER]]</f>
        <v>329.07205658332066</v>
      </c>
    </row>
    <row r="34" spans="1:18" x14ac:dyDescent="0.25">
      <c r="A34" s="44" t="str">
        <f t="shared" si="1"/>
        <v>W</v>
      </c>
      <c r="B34">
        <v>0.67714412881675468</v>
      </c>
      <c r="C34">
        <f>1-B34</f>
        <v>0.32285587118324532</v>
      </c>
      <c r="M34" t="str">
        <f>Data!A29</f>
        <v>07.сен</v>
      </c>
      <c r="N34">
        <f>Data!B29</f>
        <v>327.73</v>
      </c>
      <c r="O34">
        <f>Data!C29</f>
        <v>325.95999999999998</v>
      </c>
      <c r="P34">
        <f>$B$11*Таблица1[[#This Row],[GAZP]]+$C$11*Таблица1[[#This Row],[SBER]]</f>
        <v>326.79357142861079</v>
      </c>
      <c r="Q34">
        <f>$B$22*Таблица1[[#This Row],[GAZP]]+$C$22*Таблица1[[#This Row],[SBER]]</f>
        <v>327.58544423773179</v>
      </c>
      <c r="R34">
        <f>$B$34*Таблица1[[#This Row],[GAZP]]+$C$34*Таблица1[[#This Row],[SBER]]</f>
        <v>327.15854510800568</v>
      </c>
    </row>
    <row r="35" spans="1:18" x14ac:dyDescent="0.25">
      <c r="C35" s="117" t="s">
        <v>131</v>
      </c>
      <c r="D35" s="117" t="s">
        <v>132</v>
      </c>
      <c r="M35" t="str">
        <f>Data!A30</f>
        <v>08.сен</v>
      </c>
      <c r="N35">
        <f>Data!B30</f>
        <v>327.60000000000002</v>
      </c>
      <c r="O35">
        <f>Data!C30</f>
        <v>331.7</v>
      </c>
      <c r="P35">
        <f>$B$11*Таблица1[[#This Row],[GAZP]]+$C$11*Таблица1[[#This Row],[SBER]]</f>
        <v>329.76912832920664</v>
      </c>
      <c r="Q35">
        <f>$B$22*Таблица1[[#This Row],[GAZP]]+$C$22*Таблица1[[#This Row],[SBER]]</f>
        <v>327.93484668096028</v>
      </c>
      <c r="R35">
        <f>$B$34*Таблица1[[#This Row],[GAZP]]+$C$34*Таблица1[[#This Row],[SBER]]</f>
        <v>328.92370907185131</v>
      </c>
    </row>
    <row r="36" spans="1:18" x14ac:dyDescent="0.25">
      <c r="A36" s="44" t="str">
        <f>A24</f>
        <v>R</v>
      </c>
      <c r="B36">
        <f>SUMPRODUCT(B34:C34,B32:C32)</f>
        <v>0.20073966049985392</v>
      </c>
      <c r="C36">
        <f>GEOMEAN(B13,B24)</f>
        <v>0.20073966057844703</v>
      </c>
      <c r="D36">
        <f>ABS(B36-C36)</f>
        <v>7.8593104246849066E-11</v>
      </c>
      <c r="M36" t="str">
        <f>Data!A31</f>
        <v>09.сен</v>
      </c>
      <c r="N36">
        <f>Data!B31</f>
        <v>324.57</v>
      </c>
      <c r="O36">
        <f>Data!C31</f>
        <v>326.01</v>
      </c>
      <c r="P36">
        <f>$B$11*Таблица1[[#This Row],[GAZP]]+$C$11*Таблица1[[#This Row],[SBER]]</f>
        <v>325.33184019367258</v>
      </c>
      <c r="Q36">
        <f>$B$22*Таблица1[[#This Row],[GAZP]]+$C$22*Таблица1[[#This Row],[SBER]]</f>
        <v>324.68760468794699</v>
      </c>
      <c r="R36">
        <f>$B$34*Таблица1[[#This Row],[GAZP]]+$C$34*Таблица1[[#This Row],[SBER]]</f>
        <v>325.03491245450391</v>
      </c>
    </row>
    <row r="37" spans="1:18" x14ac:dyDescent="0.25">
      <c r="A37" s="44" t="str">
        <f>A25</f>
        <v>Sg</v>
      </c>
      <c r="B37">
        <f>B14</f>
        <v>7.0213369271254239E-2</v>
      </c>
      <c r="C37">
        <f>GEOMEAN(B14,B25)</f>
        <v>7.675323319682556E-2</v>
      </c>
      <c r="D37">
        <f>ABS(B37-C37)</f>
        <v>6.5398639255713209E-3</v>
      </c>
      <c r="M37" t="str">
        <f>Data!A32</f>
        <v>10.сен</v>
      </c>
      <c r="N37">
        <f>Data!B32</f>
        <v>326.43</v>
      </c>
      <c r="O37">
        <f>Data!C32</f>
        <v>326.25</v>
      </c>
      <c r="P37">
        <f>$B$11*Таблица1[[#This Row],[GAZP]]+$C$11*Таблица1[[#This Row],[SBER]]</f>
        <v>326.33476997579095</v>
      </c>
      <c r="Q37">
        <f>$B$22*Таблица1[[#This Row],[GAZP]]+$C$22*Таблица1[[#This Row],[SBER]]</f>
        <v>326.41529941400665</v>
      </c>
      <c r="R37">
        <f>$B$34*Таблица1[[#This Row],[GAZP]]+$C$34*Таблица1[[#This Row],[SBER]]</f>
        <v>326.37188594318701</v>
      </c>
    </row>
    <row r="38" spans="1:18" x14ac:dyDescent="0.25">
      <c r="A38" s="44"/>
      <c r="D38">
        <f>SUM(D36:D37)</f>
        <v>6.5398640041644251E-3</v>
      </c>
      <c r="M38" t="str">
        <f>Data!A33</f>
        <v>13.сен</v>
      </c>
      <c r="N38">
        <f>Data!B33</f>
        <v>332.75</v>
      </c>
      <c r="O38">
        <f>Data!C33</f>
        <v>327.41000000000003</v>
      </c>
      <c r="P38">
        <f>$B$11*Таблица1[[#This Row],[GAZP]]+$C$11*Таблица1[[#This Row],[SBER]]</f>
        <v>329.92484261513084</v>
      </c>
      <c r="Q38">
        <f>$B$22*Таблица1[[#This Row],[GAZP]]+$C$22*Таблица1[[#This Row],[SBER]]</f>
        <v>332.31388261552985</v>
      </c>
      <c r="R38">
        <f>$B$34*Таблица1[[#This Row],[GAZP]]+$C$34*Таблица1[[#This Row],[SBER]]</f>
        <v>331.02594964788148</v>
      </c>
    </row>
    <row r="39" spans="1:18" x14ac:dyDescent="0.25">
      <c r="M39" t="str">
        <f>Data!A34</f>
        <v>14.сен</v>
      </c>
      <c r="N39">
        <f>Data!B34</f>
        <v>338.98</v>
      </c>
      <c r="O39">
        <f>Data!C34</f>
        <v>326.48</v>
      </c>
      <c r="P39">
        <f>$B$11*Таблица1[[#This Row],[GAZP]]+$C$11*Таблица1[[#This Row],[SBER]]</f>
        <v>332.36680387437002</v>
      </c>
      <c r="Q39">
        <f>$B$22*Таблица1[[#This Row],[GAZP]]+$C$22*Таблица1[[#This Row],[SBER]]</f>
        <v>337.95912597268222</v>
      </c>
      <c r="R39">
        <f>$B$34*Таблица1[[#This Row],[GAZP]]+$C$34*Таблица1[[#This Row],[SBER]]</f>
        <v>334.94430161020944</v>
      </c>
    </row>
    <row r="40" spans="1:18" x14ac:dyDescent="0.25">
      <c r="M40" t="str">
        <f>Data!A35</f>
        <v>15.сен</v>
      </c>
      <c r="N40">
        <f>Data!B35</f>
        <v>343.34</v>
      </c>
      <c r="O40">
        <f>Data!C35</f>
        <v>333.51</v>
      </c>
      <c r="P40">
        <f>$B$11*Таблица1[[#This Row],[GAZP]]+$C$11*Таблица1[[#This Row],[SBER]]</f>
        <v>338.13938256680456</v>
      </c>
      <c r="Q40">
        <f>$B$22*Таблица1[[#This Row],[GAZP]]+$C$22*Таблица1[[#This Row],[SBER]]</f>
        <v>342.53718466491728</v>
      </c>
      <c r="R40">
        <f>$B$34*Таблица1[[#This Row],[GAZP]]+$C$34*Таблица1[[#This Row],[SBER]]</f>
        <v>340.16632678626866</v>
      </c>
    </row>
    <row r="41" spans="1:18" x14ac:dyDescent="0.25">
      <c r="M41" t="str">
        <f>Data!A36</f>
        <v>16.сен</v>
      </c>
      <c r="N41">
        <f>Data!B36</f>
        <v>338.5</v>
      </c>
      <c r="O41">
        <f>Data!C36</f>
        <v>326.99</v>
      </c>
      <c r="P41">
        <f>$B$11*Таблица1[[#This Row],[GAZP]]+$C$11*Таблица1[[#This Row],[SBER]]</f>
        <v>332.41056900751994</v>
      </c>
      <c r="Q41">
        <f>$B$22*Таблица1[[#This Row],[GAZP]]+$C$22*Таблица1[[#This Row],[SBER]]</f>
        <v>337.55997919564584</v>
      </c>
      <c r="R41">
        <f>$B$34*Таблица1[[#This Row],[GAZP]]+$C$34*Таблица1[[#This Row],[SBER]]</f>
        <v>334.78392892268084</v>
      </c>
    </row>
    <row r="42" spans="1:18" x14ac:dyDescent="0.25">
      <c r="M42" t="str">
        <f>Data!A37</f>
        <v>17.сен</v>
      </c>
      <c r="N42">
        <f>Data!B37</f>
        <v>334.5</v>
      </c>
      <c r="O42">
        <f>Data!C37</f>
        <v>329.56</v>
      </c>
      <c r="P42">
        <f>$B$11*Таблица1[[#This Row],[GAZP]]+$C$11*Таблица1[[#This Row],[SBER]]</f>
        <v>331.88646489115104</v>
      </c>
      <c r="Q42">
        <f>$B$22*Таблица1[[#This Row],[GAZP]]+$C$22*Таблица1[[#This Row],[SBER]]</f>
        <v>334.09655058440399</v>
      </c>
      <c r="R42">
        <f>$B$34*Таблица1[[#This Row],[GAZP]]+$C$34*Таблица1[[#This Row],[SBER]]</f>
        <v>332.90509199635477</v>
      </c>
    </row>
    <row r="43" spans="1:18" x14ac:dyDescent="0.25">
      <c r="M43" t="str">
        <f>Data!A38</f>
        <v>20.сен</v>
      </c>
      <c r="N43">
        <f>Data!B38</f>
        <v>325.7</v>
      </c>
      <c r="O43">
        <f>Data!C38</f>
        <v>326.92</v>
      </c>
      <c r="P43">
        <f>$B$11*Таблица1[[#This Row],[GAZP]]+$C$11*Таблица1[[#This Row],[SBER]]</f>
        <v>326.34544794186149</v>
      </c>
      <c r="Q43">
        <f>$B$22*Таблица1[[#This Row],[GAZP]]+$C$22*Таблица1[[#This Row],[SBER]]</f>
        <v>325.7996373050662</v>
      </c>
      <c r="R43">
        <f>$B$34*Таблица1[[#This Row],[GAZP]]+$C$34*Таблица1[[#This Row],[SBER]]</f>
        <v>326.09388416284355</v>
      </c>
    </row>
    <row r="44" spans="1:18" x14ac:dyDescent="0.25">
      <c r="M44" t="str">
        <f>Data!A39</f>
        <v>21.сен</v>
      </c>
      <c r="N44">
        <f>Data!B39</f>
        <v>335.3</v>
      </c>
      <c r="O44">
        <f>Data!C39</f>
        <v>323.25</v>
      </c>
      <c r="P44">
        <f>$B$11*Таблица1[[#This Row],[GAZP]]+$C$11*Таблица1[[#This Row],[SBER]]</f>
        <v>328.92487893489266</v>
      </c>
      <c r="Q44">
        <f>$B$22*Таблица1[[#This Row],[GAZP]]+$C$22*Таблица1[[#This Row],[SBER]]</f>
        <v>334.31587743766568</v>
      </c>
      <c r="R44">
        <f>$B$34*Таблица1[[#This Row],[GAZP]]+$C$34*Таблица1[[#This Row],[SBER]]</f>
        <v>331.40958675224192</v>
      </c>
    </row>
    <row r="45" spans="1:18" x14ac:dyDescent="0.25">
      <c r="M45" t="str">
        <f>Data!A40</f>
        <v>22.сен</v>
      </c>
      <c r="N45">
        <f>Data!B40</f>
        <v>340.59</v>
      </c>
      <c r="O45">
        <f>Data!C40</f>
        <v>327.8</v>
      </c>
      <c r="P45">
        <f>$B$11*Таблица1[[#This Row],[GAZP]]+$C$11*Таблица1[[#This Row],[SBER]]</f>
        <v>333.82337772425535</v>
      </c>
      <c r="Q45">
        <f>$B$22*Таблица1[[#This Row],[GAZP]]+$C$22*Таблица1[[#This Row],[SBER]]</f>
        <v>339.54544169524843</v>
      </c>
      <c r="R45">
        <f>$B$34*Таблица1[[#This Row],[GAZP]]+$C$34*Таблица1[[#This Row],[SBER]]</f>
        <v>336.46067340756628</v>
      </c>
    </row>
    <row r="46" spans="1:18" x14ac:dyDescent="0.25">
      <c r="M46" t="str">
        <f>Data!A41</f>
        <v>23.сен</v>
      </c>
      <c r="N46">
        <f>Data!B41</f>
        <v>343.47</v>
      </c>
      <c r="O46">
        <f>Data!C41</f>
        <v>327.02</v>
      </c>
      <c r="P46">
        <f>$B$11*Таблица1[[#This Row],[GAZP]]+$C$11*Таблица1[[#This Row],[SBER]]</f>
        <v>334.76703389867089</v>
      </c>
      <c r="Q46">
        <f>$B$22*Таблица1[[#This Row],[GAZP]]+$C$22*Таблица1[[#This Row],[SBER]]</f>
        <v>342.12652978004985</v>
      </c>
      <c r="R46">
        <f>$B$34*Таблица1[[#This Row],[GAZP]]+$C$34*Таблица1[[#This Row],[SBER]]</f>
        <v>338.15902091903564</v>
      </c>
    </row>
    <row r="47" spans="1:18" x14ac:dyDescent="0.25">
      <c r="M47" t="str">
        <f>Data!A42</f>
        <v>24.сен</v>
      </c>
      <c r="N47">
        <f>Data!B42</f>
        <v>344.29</v>
      </c>
      <c r="O47">
        <f>Data!C42</f>
        <v>325.44</v>
      </c>
      <c r="P47">
        <f>$B$11*Таблица1[[#This Row],[GAZP]]+$C$11*Таблица1[[#This Row],[SBER]]</f>
        <v>334.31730024254995</v>
      </c>
      <c r="Q47">
        <f>$B$22*Таблица1[[#This Row],[GAZP]]+$C$22*Таблица1[[#This Row],[SBER]]</f>
        <v>342.75052196680485</v>
      </c>
      <c r="R47">
        <f>$B$34*Таблица1[[#This Row],[GAZP]]+$C$34*Таблица1[[#This Row],[SBER]]</f>
        <v>338.20416682819587</v>
      </c>
    </row>
    <row r="48" spans="1:18" x14ac:dyDescent="0.25">
      <c r="M48" t="str">
        <f>Data!A43</f>
        <v>27.сен</v>
      </c>
      <c r="N48">
        <f>Data!B43</f>
        <v>355.19</v>
      </c>
      <c r="O48">
        <f>Data!C43</f>
        <v>331.68</v>
      </c>
      <c r="P48">
        <f>$B$11*Таблица1[[#This Row],[GAZP]]+$C$11*Таблица1[[#This Row],[SBER]]</f>
        <v>342.7519007269151</v>
      </c>
      <c r="Q48">
        <f>$B$22*Таблица1[[#This Row],[GAZP]]+$C$22*Таблица1[[#This Row],[SBER]]</f>
        <v>353.26994012942077</v>
      </c>
      <c r="R48">
        <f>$B$34*Таблица1[[#This Row],[GAZP]]+$C$34*Таблица1[[#This Row],[SBER]]</f>
        <v>347.59965846848189</v>
      </c>
    </row>
    <row r="49" spans="13:18" x14ac:dyDescent="0.25">
      <c r="M49" t="str">
        <f>Data!A44</f>
        <v>28.сен</v>
      </c>
      <c r="N49">
        <f>Data!B44</f>
        <v>354.07</v>
      </c>
      <c r="O49">
        <f>Data!C44</f>
        <v>329.3</v>
      </c>
      <c r="P49">
        <f>$B$11*Таблица1[[#This Row],[GAZP]]+$C$11*Таблица1[[#This Row],[SBER]]</f>
        <v>340.96529055745157</v>
      </c>
      <c r="Q49">
        <f>$B$22*Таблица1[[#This Row],[GAZP]]+$C$22*Таблица1[[#This Row],[SBER]]</f>
        <v>352.04703602746713</v>
      </c>
      <c r="R49">
        <f>$B$34*Таблица1[[#This Row],[GAZP]]+$C$34*Таблица1[[#This Row],[SBER]]</f>
        <v>346.07286007079102</v>
      </c>
    </row>
    <row r="50" spans="13:18" x14ac:dyDescent="0.25">
      <c r="M50" t="str">
        <f>Data!A45</f>
        <v>29.сен</v>
      </c>
      <c r="N50">
        <f>Data!B45</f>
        <v>360.88</v>
      </c>
      <c r="O50">
        <f>Data!C45</f>
        <v>328.43</v>
      </c>
      <c r="P50">
        <f>$B$11*Таблица1[[#This Row],[GAZP]]+$C$11*Таблица1[[#This Row],[SBER]]</f>
        <v>343.71214285786448</v>
      </c>
      <c r="Q50">
        <f>$B$22*Таблица1[[#This Row],[GAZP]]+$C$22*Таблица1[[#This Row],[SBER]]</f>
        <v>358.22981102508305</v>
      </c>
      <c r="R50">
        <f>$B$34*Таблица1[[#This Row],[GAZP]]+$C$34*Таблица1[[#This Row],[SBER]]</f>
        <v>350.40332698010366</v>
      </c>
    </row>
    <row r="51" spans="13:18" x14ac:dyDescent="0.25">
      <c r="M51" t="str">
        <f>Data!A46</f>
        <v>30.сен</v>
      </c>
      <c r="N51">
        <f>Data!B46</f>
        <v>360.8</v>
      </c>
      <c r="O51">
        <f>Data!C46</f>
        <v>340.99</v>
      </c>
      <c r="P51">
        <f>$B$11*Таблица1[[#This Row],[GAZP]]+$C$11*Таблица1[[#This Row],[SBER]]</f>
        <v>350.31940678010159</v>
      </c>
      <c r="Q51">
        <f>$B$22*Таблица1[[#This Row],[GAZP]]+$C$22*Таблица1[[#This Row],[SBER]]</f>
        <v>359.18211884150685</v>
      </c>
      <c r="R51">
        <f>$B$34*Таблица1[[#This Row],[GAZP]]+$C$34*Таблица1[[#This Row],[SBER]]</f>
        <v>354.40422519185995</v>
      </c>
    </row>
    <row r="52" spans="13:18" x14ac:dyDescent="0.25">
      <c r="M52" t="str">
        <f>Data!A47</f>
        <v>01.окт</v>
      </c>
      <c r="N52">
        <f>Data!B47</f>
        <v>363.25</v>
      </c>
      <c r="O52">
        <f>Data!C47</f>
        <v>338.48</v>
      </c>
      <c r="P52">
        <f>$B$11*Таблица1[[#This Row],[GAZP]]+$C$11*Таблица1[[#This Row],[SBER]]</f>
        <v>350.14529055745157</v>
      </c>
      <c r="Q52">
        <f>$B$22*Таблица1[[#This Row],[GAZP]]+$C$22*Таблица1[[#This Row],[SBER]]</f>
        <v>361.22703602746714</v>
      </c>
      <c r="R52">
        <f>$B$34*Таблица1[[#This Row],[GAZP]]+$C$34*Таблица1[[#This Row],[SBER]]</f>
        <v>355.25286007079103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E77-1C0E-4FC4-A7D4-CB514BD3238E}">
  <dimension ref="A1:X47"/>
  <sheetViews>
    <sheetView zoomScale="110" zoomScaleNormal="110" workbookViewId="0">
      <selection activeCell="R8" sqref="R8"/>
    </sheetView>
  </sheetViews>
  <sheetFormatPr defaultRowHeight="15" x14ac:dyDescent="0.25"/>
  <cols>
    <col min="1" max="1" width="13.85546875" customWidth="1"/>
    <col min="2" max="6" width="8.7109375" customWidth="1"/>
    <col min="7" max="7" width="8.28515625" customWidth="1"/>
    <col min="8" max="8" width="8.140625" customWidth="1"/>
  </cols>
  <sheetData>
    <row r="1" spans="1:21" x14ac:dyDescent="0.25">
      <c r="A1" s="39" t="s">
        <v>108</v>
      </c>
      <c r="B1" s="39" t="s">
        <v>105</v>
      </c>
    </row>
    <row r="2" spans="1:21" x14ac:dyDescent="0.25">
      <c r="A2" s="39" t="s">
        <v>59</v>
      </c>
      <c r="B2" t="s">
        <v>106</v>
      </c>
      <c r="C2" t="s">
        <v>107</v>
      </c>
      <c r="D2" t="s">
        <v>114</v>
      </c>
      <c r="E2" t="s">
        <v>117</v>
      </c>
    </row>
    <row r="3" spans="1:21" x14ac:dyDescent="0.25">
      <c r="A3" s="40" t="s">
        <v>60</v>
      </c>
      <c r="B3" s="41">
        <v>286.75</v>
      </c>
      <c r="C3" s="41">
        <v>306.51</v>
      </c>
      <c r="D3" s="41">
        <v>43.77</v>
      </c>
      <c r="E3" s="41">
        <v>6052</v>
      </c>
      <c r="F3" s="41"/>
      <c r="G3" s="41"/>
      <c r="I3" s="42" t="str">
        <f>B2</f>
        <v>GAZP</v>
      </c>
      <c r="J3" s="42" t="str">
        <f>C2</f>
        <v>SBER</v>
      </c>
      <c r="K3" s="42" t="str">
        <f>D2</f>
        <v>SELG</v>
      </c>
      <c r="L3" s="42" t="str">
        <f>E2</f>
        <v>AKRN</v>
      </c>
      <c r="M3" s="42" t="s">
        <v>115</v>
      </c>
      <c r="N3" s="42"/>
      <c r="R3" s="42" t="str">
        <f>I3</f>
        <v>GAZP</v>
      </c>
      <c r="S3" s="42" t="str">
        <f>J3</f>
        <v>SBER</v>
      </c>
      <c r="T3" s="42" t="str">
        <f>K3</f>
        <v>SELG</v>
      </c>
      <c r="U3" s="42" t="str">
        <f>L3</f>
        <v>AKRN</v>
      </c>
    </row>
    <row r="4" spans="1:21" x14ac:dyDescent="0.25">
      <c r="A4" s="40" t="s">
        <v>61</v>
      </c>
      <c r="B4" s="41">
        <v>287.08999999999997</v>
      </c>
      <c r="C4" s="41">
        <v>309.89</v>
      </c>
      <c r="D4" s="41">
        <v>43.79</v>
      </c>
      <c r="E4" s="41">
        <v>6008</v>
      </c>
      <c r="F4" s="41"/>
      <c r="G4" s="41"/>
      <c r="I4" s="43">
        <f>(B4-B3)/B3</f>
        <v>1.1857018308630339E-3</v>
      </c>
      <c r="J4" s="43">
        <f>(C4-C3)/C3</f>
        <v>1.1027372679521046E-2</v>
      </c>
      <c r="K4" s="43">
        <f>(D4-D3)/D3</f>
        <v>4.5693397304080464E-4</v>
      </c>
      <c r="L4" s="43">
        <f>(E4-E3)/E3</f>
        <v>-7.2703238598810314E-3</v>
      </c>
      <c r="M4" s="43">
        <f>$R$14*I4+$S$14*J4+$T$14*K4</f>
        <v>3.4648791389220667E-3</v>
      </c>
      <c r="N4" s="43"/>
      <c r="Q4" t="s">
        <v>109</v>
      </c>
      <c r="R4" s="43">
        <f>AVERAGE(I4:I47)*COUNT(B3:B47)</f>
        <v>0.24633258859900181</v>
      </c>
      <c r="S4" s="43">
        <f>AVERAGE(J4:J47)*COUNT(C3:C47)</f>
        <v>0.10511499843391411</v>
      </c>
      <c r="T4" s="43">
        <f>AVERAGE(K4:K47)*COUNT(D3:D47)</f>
        <v>3.4793809146010414E-2</v>
      </c>
      <c r="U4" s="43">
        <f>AVERAGE(L4:L47)*COUNT(E3:E47)</f>
        <v>0.18708025433394515</v>
      </c>
    </row>
    <row r="5" spans="1:21" x14ac:dyDescent="0.25">
      <c r="A5" s="40" t="s">
        <v>62</v>
      </c>
      <c r="B5" s="41">
        <v>287.94</v>
      </c>
      <c r="C5" s="41">
        <v>311.10000000000002</v>
      </c>
      <c r="D5" s="41">
        <v>43.86</v>
      </c>
      <c r="E5" s="41">
        <v>5946</v>
      </c>
      <c r="F5" s="41"/>
      <c r="G5" s="41"/>
      <c r="I5" s="43">
        <f t="shared" ref="I5:I47" si="0">(B5-B4)/B4</f>
        <v>2.9607440175555499E-3</v>
      </c>
      <c r="J5" s="43">
        <f t="shared" ref="J5:J47" si="1">(C5-C4)/C4</f>
        <v>3.9046113136920729E-3</v>
      </c>
      <c r="K5" s="43">
        <f t="shared" ref="K5:K47" si="2">(D5-D4)/D4</f>
        <v>1.5985384791048249E-3</v>
      </c>
      <c r="L5" s="43">
        <f t="shared" ref="L5:L47" si="3">(E5-E4)/E4</f>
        <v>-1.0319573901464714E-2</v>
      </c>
      <c r="M5" s="43">
        <f t="shared" ref="M5:M47" si="4">$R$14*I5+$S$14*J5+$T$14*K5</f>
        <v>2.3617367152906805E-3</v>
      </c>
      <c r="N5" s="43"/>
      <c r="Q5" t="s">
        <v>110</v>
      </c>
      <c r="R5" s="43">
        <f>_xlfn.STDEV.S(I4:I47)*SQRT(COUNT(B3:B47))</f>
        <v>8.8770068976103983E-2</v>
      </c>
      <c r="S5" s="43">
        <f>_xlfn.STDEV.S(J4:J47)*SQRT(COUNT(C3:C47))</f>
        <v>8.5250326526060669E-2</v>
      </c>
      <c r="T5" s="43">
        <f>_xlfn.STDEV.S(K4:K47)*SQRT(COUNT(D3:D47))</f>
        <v>5.8688670882493486E-2</v>
      </c>
      <c r="U5" s="43">
        <f>_xlfn.STDEV.S(L4:L47)*SQRT(COUNT(E3:E47))</f>
        <v>0.16851373251731383</v>
      </c>
    </row>
    <row r="6" spans="1:21" x14ac:dyDescent="0.25">
      <c r="A6" s="40" t="s">
        <v>63</v>
      </c>
      <c r="B6" s="41">
        <v>285.95</v>
      </c>
      <c r="C6" s="41">
        <v>315.82</v>
      </c>
      <c r="D6" s="41">
        <v>44.17</v>
      </c>
      <c r="E6" s="41">
        <v>5994</v>
      </c>
      <c r="F6" s="41"/>
      <c r="G6" s="41"/>
      <c r="I6" s="43">
        <f t="shared" si="0"/>
        <v>-6.9111620476488477E-3</v>
      </c>
      <c r="J6" s="43">
        <f t="shared" si="1"/>
        <v>1.5171970427515172E-2</v>
      </c>
      <c r="K6" s="43">
        <f t="shared" si="2"/>
        <v>7.0679434564524003E-3</v>
      </c>
      <c r="L6" s="43">
        <f t="shared" si="3"/>
        <v>8.0726538849646822E-3</v>
      </c>
      <c r="M6" s="43">
        <f t="shared" si="4"/>
        <v>8.0814874754247881E-3</v>
      </c>
      <c r="N6" s="43"/>
    </row>
    <row r="7" spans="1:21" x14ac:dyDescent="0.25">
      <c r="A7" s="40" t="s">
        <v>64</v>
      </c>
      <c r="B7" s="41">
        <v>282.27</v>
      </c>
      <c r="C7" s="41">
        <v>319.14999999999998</v>
      </c>
      <c r="D7" s="41">
        <v>43.91</v>
      </c>
      <c r="E7" s="41">
        <v>5980</v>
      </c>
      <c r="F7" s="41"/>
      <c r="G7" s="41"/>
      <c r="I7" s="43">
        <f t="shared" si="0"/>
        <v>-1.2869382759223665E-2</v>
      </c>
      <c r="J7" s="43">
        <f t="shared" si="1"/>
        <v>1.0543980748527592E-2</v>
      </c>
      <c r="K7" s="43">
        <f t="shared" si="2"/>
        <v>-5.8863482001359543E-3</v>
      </c>
      <c r="L7" s="43">
        <f t="shared" si="3"/>
        <v>-2.3356690023356688E-3</v>
      </c>
      <c r="M7" s="43">
        <f t="shared" si="4"/>
        <v>-1.9324748245456707E-3</v>
      </c>
      <c r="N7" s="43"/>
    </row>
    <row r="8" spans="1:21" x14ac:dyDescent="0.25">
      <c r="A8" s="40" t="s">
        <v>65</v>
      </c>
      <c r="B8" s="41">
        <v>286.68</v>
      </c>
      <c r="C8" s="41">
        <v>326.91000000000003</v>
      </c>
      <c r="D8" s="41">
        <v>43.72</v>
      </c>
      <c r="E8" s="41">
        <v>5980</v>
      </c>
      <c r="F8" s="41"/>
      <c r="G8" s="41"/>
      <c r="I8" s="43">
        <f t="shared" si="0"/>
        <v>1.5623339355935895E-2</v>
      </c>
      <c r="J8" s="43">
        <f t="shared" si="1"/>
        <v>2.4314585618048092E-2</v>
      </c>
      <c r="K8" s="43">
        <f t="shared" si="2"/>
        <v>-4.3270325666134764E-3</v>
      </c>
      <c r="L8" s="43">
        <f t="shared" si="3"/>
        <v>0</v>
      </c>
      <c r="M8" s="43">
        <f t="shared" si="4"/>
        <v>5.4214981878946246E-3</v>
      </c>
      <c r="N8" s="43"/>
      <c r="P8" s="44" t="s">
        <v>111</v>
      </c>
      <c r="Q8" s="44" t="s">
        <v>112</v>
      </c>
      <c r="R8">
        <v>0.47094430994959902</v>
      </c>
      <c r="S8">
        <f>1-R8</f>
        <v>0.52905569005040098</v>
      </c>
    </row>
    <row r="9" spans="1:21" x14ac:dyDescent="0.25">
      <c r="A9" s="40" t="s">
        <v>66</v>
      </c>
      <c r="B9" s="41">
        <v>288.61</v>
      </c>
      <c r="C9" s="41">
        <v>330.11</v>
      </c>
      <c r="D9" s="41">
        <v>43.54</v>
      </c>
      <c r="E9" s="41">
        <v>5972</v>
      </c>
      <c r="F9" s="41"/>
      <c r="G9" s="41"/>
      <c r="I9" s="43">
        <f t="shared" si="0"/>
        <v>6.7322450118599371E-3</v>
      </c>
      <c r="J9" s="43">
        <f t="shared" si="1"/>
        <v>9.78862683919118E-3</v>
      </c>
      <c r="K9" s="43">
        <f t="shared" si="2"/>
        <v>-4.1171088746569011E-3</v>
      </c>
      <c r="L9" s="43">
        <f t="shared" si="3"/>
        <v>-1.3377926421404682E-3</v>
      </c>
      <c r="M9" s="43">
        <f t="shared" si="4"/>
        <v>7.1930872715625328E-4</v>
      </c>
      <c r="N9" s="43"/>
      <c r="Q9" s="44" t="s">
        <v>113</v>
      </c>
      <c r="R9">
        <f>SUMPRODUCT(R8:S8,R4:S4)</f>
        <v>0.17162061898695663</v>
      </c>
    </row>
    <row r="10" spans="1:21" x14ac:dyDescent="0.25">
      <c r="A10" s="40" t="s">
        <v>67</v>
      </c>
      <c r="B10" s="41">
        <v>290.35000000000002</v>
      </c>
      <c r="C10" s="41">
        <v>329.9</v>
      </c>
      <c r="D10" s="41">
        <v>43.64</v>
      </c>
      <c r="E10" s="41">
        <v>6000</v>
      </c>
      <c r="F10" s="41"/>
      <c r="G10" s="41"/>
      <c r="I10" s="43">
        <f t="shared" si="0"/>
        <v>6.0288971276116869E-3</v>
      </c>
      <c r="J10" s="43">
        <f t="shared" si="1"/>
        <v>-6.3615158583513491E-4</v>
      </c>
      <c r="K10" s="43">
        <f t="shared" si="2"/>
        <v>2.2967386311438086E-3</v>
      </c>
      <c r="L10" s="43">
        <f t="shared" si="3"/>
        <v>4.6885465505693237E-3</v>
      </c>
      <c r="M10" s="43">
        <f t="shared" si="4"/>
        <v>1.8119525959929413E-3</v>
      </c>
      <c r="N10" s="43"/>
      <c r="Q10" s="44" t="s">
        <v>11</v>
      </c>
      <c r="R10">
        <f>SQRT(R8^2*R5^2+S8^2*S5^2+2*R8*S8*R5*S5*CORREL(I4:I47,J4:J47))</f>
        <v>7.0213369271254239E-2</v>
      </c>
    </row>
    <row r="11" spans="1:21" x14ac:dyDescent="0.25">
      <c r="A11" s="40" t="s">
        <v>68</v>
      </c>
      <c r="B11" s="41">
        <v>293.23</v>
      </c>
      <c r="C11" s="41">
        <v>328.57</v>
      </c>
      <c r="D11" s="41">
        <v>43.79</v>
      </c>
      <c r="E11" s="41">
        <v>5928</v>
      </c>
      <c r="F11" s="41"/>
      <c r="G11" s="41"/>
      <c r="I11" s="43">
        <f t="shared" si="0"/>
        <v>9.9190631995866897E-3</v>
      </c>
      <c r="J11" s="43">
        <f t="shared" si="1"/>
        <v>-4.0315247044558477E-3</v>
      </c>
      <c r="K11" s="43">
        <f t="shared" si="2"/>
        <v>3.4372135655361727E-3</v>
      </c>
      <c r="L11" s="43">
        <f t="shared" si="3"/>
        <v>-1.2E-2</v>
      </c>
      <c r="M11" s="43">
        <f t="shared" si="4"/>
        <v>1.9339755283003012E-3</v>
      </c>
      <c r="N11" s="43"/>
    </row>
    <row r="12" spans="1:21" x14ac:dyDescent="0.25">
      <c r="A12" s="40" t="s">
        <v>69</v>
      </c>
      <c r="B12" s="41">
        <v>292.7</v>
      </c>
      <c r="C12" s="41">
        <v>328.68</v>
      </c>
      <c r="D12" s="41">
        <v>43.8</v>
      </c>
      <c r="E12" s="41">
        <v>5900</v>
      </c>
      <c r="F12" s="41"/>
      <c r="G12" s="41"/>
      <c r="I12" s="43">
        <f t="shared" si="0"/>
        <v>-1.807454898884935E-3</v>
      </c>
      <c r="J12" s="43">
        <f t="shared" si="1"/>
        <v>3.3478406427858189E-4</v>
      </c>
      <c r="K12" s="43">
        <f t="shared" si="2"/>
        <v>2.283626398720715E-4</v>
      </c>
      <c r="L12" s="43">
        <f t="shared" si="3"/>
        <v>-4.7233468286099868E-3</v>
      </c>
      <c r="M12" s="43">
        <f t="shared" si="4"/>
        <v>7.6989862640203916E-5</v>
      </c>
      <c r="N12" s="43"/>
    </row>
    <row r="13" spans="1:21" x14ac:dyDescent="0.25">
      <c r="A13" s="40" t="s">
        <v>70</v>
      </c>
      <c r="B13" s="41">
        <v>295.10000000000002</v>
      </c>
      <c r="C13" s="41">
        <v>329.36</v>
      </c>
      <c r="D13" s="41">
        <v>43.77</v>
      </c>
      <c r="E13" s="41">
        <v>5916</v>
      </c>
      <c r="F13" s="41"/>
      <c r="G13" s="41"/>
      <c r="I13" s="43">
        <f t="shared" si="0"/>
        <v>8.199521694567934E-3</v>
      </c>
      <c r="J13" s="43">
        <f t="shared" si="1"/>
        <v>2.0688815869538968E-3</v>
      </c>
      <c r="K13" s="43">
        <f t="shared" si="2"/>
        <v>-6.849315068491789E-4</v>
      </c>
      <c r="L13" s="43">
        <f t="shared" si="3"/>
        <v>2.7118644067796612E-3</v>
      </c>
      <c r="M13" s="43">
        <f t="shared" si="4"/>
        <v>8.7173284663756307E-4</v>
      </c>
      <c r="N13" s="43"/>
    </row>
    <row r="14" spans="1:21" x14ac:dyDescent="0.25">
      <c r="A14" s="40" t="s">
        <v>71</v>
      </c>
      <c r="B14" s="41">
        <v>298.32</v>
      </c>
      <c r="C14" s="41">
        <v>334.5</v>
      </c>
      <c r="D14" s="41">
        <v>44.24</v>
      </c>
      <c r="E14" s="41">
        <v>5908</v>
      </c>
      <c r="F14" s="41"/>
      <c r="G14" s="41"/>
      <c r="I14" s="43">
        <f t="shared" si="0"/>
        <v>1.0911555404947374E-2</v>
      </c>
      <c r="J14" s="43">
        <f t="shared" si="1"/>
        <v>1.5606023803740546E-2</v>
      </c>
      <c r="K14" s="43">
        <f t="shared" si="2"/>
        <v>1.073794836646102E-2</v>
      </c>
      <c r="L14" s="43">
        <f t="shared" si="3"/>
        <v>-1.3522650439486139E-3</v>
      </c>
      <c r="M14" s="43">
        <f t="shared" si="4"/>
        <v>1.2108812648473254E-2</v>
      </c>
      <c r="N14" s="43"/>
      <c r="P14" s="44" t="s">
        <v>115</v>
      </c>
      <c r="Q14" s="44" t="s">
        <v>112</v>
      </c>
      <c r="R14">
        <v>8.8909700740790895E-2</v>
      </c>
      <c r="S14">
        <v>0.27843221260615691</v>
      </c>
      <c r="T14">
        <v>0.6326580789270414</v>
      </c>
    </row>
    <row r="15" spans="1:21" x14ac:dyDescent="0.25">
      <c r="A15" s="40" t="s">
        <v>72</v>
      </c>
      <c r="B15" s="41">
        <v>295.05</v>
      </c>
      <c r="C15" s="41">
        <v>334.9</v>
      </c>
      <c r="D15" s="41">
        <v>44.08</v>
      </c>
      <c r="E15" s="41">
        <v>5924</v>
      </c>
      <c r="F15" s="41"/>
      <c r="G15" s="41"/>
      <c r="I15" s="43">
        <f t="shared" si="0"/>
        <v>-1.0961383748994307E-2</v>
      </c>
      <c r="J15" s="43">
        <f t="shared" si="1"/>
        <v>1.1958146487293789E-3</v>
      </c>
      <c r="K15" s="43">
        <f t="shared" si="2"/>
        <v>-3.6166365280290162E-3</v>
      </c>
      <c r="L15" s="43">
        <f t="shared" si="3"/>
        <v>2.7081922816519972E-3</v>
      </c>
      <c r="M15" s="43">
        <f t="shared" si="4"/>
        <v>-2.9297143483156792E-3</v>
      </c>
      <c r="N15" s="43"/>
      <c r="Q15" s="44" t="s">
        <v>113</v>
      </c>
      <c r="R15">
        <f>SUMPRODUCT(R14:T14,R4:T4)</f>
        <v>7.3181342779958108E-2</v>
      </c>
    </row>
    <row r="16" spans="1:21" x14ac:dyDescent="0.25">
      <c r="A16" s="40" t="s">
        <v>73</v>
      </c>
      <c r="B16" s="41">
        <v>293.68</v>
      </c>
      <c r="C16" s="41">
        <v>332.69</v>
      </c>
      <c r="D16" s="41">
        <v>44.02</v>
      </c>
      <c r="E16" s="41">
        <v>5948</v>
      </c>
      <c r="F16" s="41"/>
      <c r="G16" s="41"/>
      <c r="I16" s="43">
        <f t="shared" si="0"/>
        <v>-4.6432807998644451E-3</v>
      </c>
      <c r="J16" s="43">
        <f t="shared" si="1"/>
        <v>-6.5989847715735434E-3</v>
      </c>
      <c r="K16" s="43">
        <f t="shared" si="2"/>
        <v>-1.3611615245007979E-3</v>
      </c>
      <c r="L16" s="43">
        <f t="shared" si="3"/>
        <v>4.0513166779203242E-3</v>
      </c>
      <c r="M16" s="43">
        <f t="shared" si="4"/>
        <v>-3.1113524724750426E-3</v>
      </c>
      <c r="N16" s="43"/>
      <c r="Q16" s="44" t="s">
        <v>11</v>
      </c>
      <c r="R16">
        <f>SQRT(R14^2*R5^2+S14^2*S5^2+T14^2*T5^2+2*R14*S14*R5*S5*CORREL(I4:I47,J4:J47)+2*R14*R5*T14*T5*CORREL(I4:I47,K4:K47)+2*S14*S5*T14*T5*CORREL(J4:J47,K4:K47))</f>
        <v>4.9070389193908139E-2</v>
      </c>
    </row>
    <row r="17" spans="1:24" x14ac:dyDescent="0.25">
      <c r="A17" s="40" t="s">
        <v>74</v>
      </c>
      <c r="B17" s="41">
        <v>292.57</v>
      </c>
      <c r="C17" s="41">
        <v>325.67</v>
      </c>
      <c r="D17" s="41">
        <v>43.87</v>
      </c>
      <c r="E17" s="41">
        <v>5972</v>
      </c>
      <c r="F17" s="41"/>
      <c r="G17" s="41"/>
      <c r="I17" s="43">
        <f t="shared" si="0"/>
        <v>-3.7796240806320268E-3</v>
      </c>
      <c r="J17" s="43">
        <f t="shared" si="1"/>
        <v>-2.1100724398088255E-2</v>
      </c>
      <c r="K17" s="43">
        <f t="shared" si="2"/>
        <v>-3.407542026351787E-3</v>
      </c>
      <c r="L17" s="43">
        <f t="shared" si="3"/>
        <v>4.0349697377269674E-3</v>
      </c>
      <c r="M17" s="43">
        <f t="shared" si="4"/>
        <v>-8.3669756199289923E-3</v>
      </c>
      <c r="N17" s="43"/>
      <c r="Q17" s="44" t="s">
        <v>116</v>
      </c>
      <c r="R17">
        <f>SUM(R14:T14)</f>
        <v>0.99999999227398928</v>
      </c>
    </row>
    <row r="18" spans="1:24" x14ac:dyDescent="0.25">
      <c r="A18" s="40" t="s">
        <v>75</v>
      </c>
      <c r="B18" s="41">
        <v>297.69</v>
      </c>
      <c r="C18" s="41">
        <v>329.22</v>
      </c>
      <c r="D18" s="41">
        <v>43.99</v>
      </c>
      <c r="E18" s="41">
        <v>6026</v>
      </c>
      <c r="F18" s="41"/>
      <c r="G18" s="41"/>
      <c r="I18" s="43">
        <f t="shared" si="0"/>
        <v>1.7500085449636001E-2</v>
      </c>
      <c r="J18" s="43">
        <f t="shared" si="1"/>
        <v>1.0900604906807538E-2</v>
      </c>
      <c r="K18" s="43">
        <f t="shared" si="2"/>
        <v>2.7353544563484054E-3</v>
      </c>
      <c r="L18" s="43">
        <f t="shared" si="3"/>
        <v>9.0421969189551244E-3</v>
      </c>
      <c r="M18" s="43">
        <f t="shared" si="4"/>
        <v>6.3215509987512635E-3</v>
      </c>
      <c r="N18" s="43"/>
    </row>
    <row r="19" spans="1:24" x14ac:dyDescent="0.25">
      <c r="A19" s="40" t="s">
        <v>76</v>
      </c>
      <c r="B19" s="41">
        <v>298.7</v>
      </c>
      <c r="C19" s="41">
        <v>324.83</v>
      </c>
      <c r="D19" s="41">
        <v>44.26</v>
      </c>
      <c r="E19" s="41">
        <v>6090</v>
      </c>
      <c r="F19" s="41"/>
      <c r="G19" s="41"/>
      <c r="I19" s="43">
        <f t="shared" si="0"/>
        <v>3.3927911585877623E-3</v>
      </c>
      <c r="J19" s="43">
        <f t="shared" si="1"/>
        <v>-1.3334548326347253E-2</v>
      </c>
      <c r="K19" s="43">
        <f t="shared" si="2"/>
        <v>6.1377585814957041E-3</v>
      </c>
      <c r="L19" s="43">
        <f t="shared" si="3"/>
        <v>1.0620643876535016E-2</v>
      </c>
      <c r="M19" s="43">
        <f t="shared" si="4"/>
        <v>4.7198680506448185E-4</v>
      </c>
      <c r="N19" s="43"/>
    </row>
    <row r="20" spans="1:24" x14ac:dyDescent="0.25">
      <c r="A20" s="40" t="s">
        <v>77</v>
      </c>
      <c r="B20" s="41">
        <v>296.7</v>
      </c>
      <c r="C20" s="41">
        <v>324.57</v>
      </c>
      <c r="D20" s="41">
        <v>44</v>
      </c>
      <c r="E20" s="41">
        <v>6508</v>
      </c>
      <c r="F20" s="41"/>
      <c r="G20" s="41"/>
      <c r="I20" s="43">
        <f t="shared" si="0"/>
        <v>-6.6956812855708068E-3</v>
      </c>
      <c r="J20" s="43">
        <f t="shared" si="1"/>
        <v>-8.0041868054056249E-4</v>
      </c>
      <c r="K20" s="43">
        <f t="shared" si="2"/>
        <v>-5.8743786714866254E-3</v>
      </c>
      <c r="L20" s="43">
        <f t="shared" si="3"/>
        <v>6.8637110016420366E-2</v>
      </c>
      <c r="M20" s="43">
        <f t="shared" si="4"/>
        <v>-4.5346464887827381E-3</v>
      </c>
      <c r="N20" s="43"/>
      <c r="R20" s="45" t="s">
        <v>115</v>
      </c>
      <c r="S20" s="45" t="s">
        <v>117</v>
      </c>
      <c r="U20" s="44" t="s">
        <v>119</v>
      </c>
      <c r="V20" s="44" t="s">
        <v>120</v>
      </c>
      <c r="W20" s="44" t="s">
        <v>113</v>
      </c>
      <c r="X20" s="44" t="s">
        <v>11</v>
      </c>
    </row>
    <row r="21" spans="1:24" x14ac:dyDescent="0.25">
      <c r="A21" s="40" t="s">
        <v>78</v>
      </c>
      <c r="B21" s="41">
        <v>294.33999999999997</v>
      </c>
      <c r="C21" s="41">
        <v>322.54000000000002</v>
      </c>
      <c r="D21" s="41">
        <v>43.29</v>
      </c>
      <c r="E21" s="41">
        <v>6422</v>
      </c>
      <c r="F21" s="41"/>
      <c r="G21" s="41"/>
      <c r="I21" s="43">
        <f t="shared" si="0"/>
        <v>-7.9541624536569391E-3</v>
      </c>
      <c r="J21" s="43">
        <f t="shared" si="1"/>
        <v>-6.2544289367469971E-3</v>
      </c>
      <c r="K21" s="43">
        <f t="shared" si="2"/>
        <v>-1.6136363636363657E-2</v>
      </c>
      <c r="L21" s="43">
        <f t="shared" si="3"/>
        <v>-1.3214505224339274E-2</v>
      </c>
      <c r="M21" s="43">
        <f t="shared" si="4"/>
        <v>-1.2657437509894712E-2</v>
      </c>
      <c r="N21" s="43"/>
      <c r="P21" s="44" t="s">
        <v>118</v>
      </c>
      <c r="Q21" s="44" t="s">
        <v>112</v>
      </c>
      <c r="R21">
        <v>1</v>
      </c>
      <c r="S21">
        <f>1-R21</f>
        <v>0</v>
      </c>
      <c r="U21">
        <v>1</v>
      </c>
      <c r="V21">
        <f>1-U21</f>
        <v>0</v>
      </c>
      <c r="W21">
        <f>U21*$R$15+V21*$U$4</f>
        <v>7.3181342779958108E-2</v>
      </c>
      <c r="X21">
        <f>SQRT(U21^2*$R$16^2+V21^2*$U$5^2+2*U21*V21*$R$16*$U$5*CORREL(L4:L47,M4:M47))</f>
        <v>4.9070389193908139E-2</v>
      </c>
    </row>
    <row r="22" spans="1:24" x14ac:dyDescent="0.25">
      <c r="A22" s="40" t="s">
        <v>79</v>
      </c>
      <c r="B22" s="41">
        <v>299.66000000000003</v>
      </c>
      <c r="C22" s="41">
        <v>327.41000000000003</v>
      </c>
      <c r="D22" s="41">
        <v>43.61</v>
      </c>
      <c r="E22" s="41">
        <v>6534</v>
      </c>
      <c r="F22" s="41"/>
      <c r="G22" s="41"/>
      <c r="I22" s="43">
        <f t="shared" si="0"/>
        <v>1.8074335802133759E-2</v>
      </c>
      <c r="J22" s="43">
        <f t="shared" si="1"/>
        <v>1.5098902461710188E-2</v>
      </c>
      <c r="K22" s="43">
        <f t="shared" si="2"/>
        <v>7.3920073920073987E-3</v>
      </c>
      <c r="L22" s="43">
        <f t="shared" si="3"/>
        <v>1.7440049828713795E-2</v>
      </c>
      <c r="M22" s="43">
        <f t="shared" si="4"/>
        <v>1.0487617803636683E-2</v>
      </c>
      <c r="N22" s="43"/>
      <c r="Q22" s="44" t="s">
        <v>113</v>
      </c>
      <c r="R22">
        <f>R21*R15+S21*U4</f>
        <v>7.3181342779958108E-2</v>
      </c>
      <c r="U22">
        <v>0.9</v>
      </c>
      <c r="V22">
        <f t="shared" ref="V22:V31" si="5">1-U22</f>
        <v>9.9999999999999978E-2</v>
      </c>
      <c r="W22">
        <f t="shared" ref="W22:W31" si="6">U22*$R$15+V22*$U$4</f>
        <v>8.4571233935356815E-2</v>
      </c>
      <c r="X22">
        <f t="shared" ref="X22:X31" si="7">SQRT(U22^2*$R$16^2+V22^2*$U$5^2+2*U22*V22*$R$16*$U$5*CORREL(L5:L48,M5:M48))</f>
        <v>5.2590292880055685E-2</v>
      </c>
    </row>
    <row r="23" spans="1:24" x14ac:dyDescent="0.25">
      <c r="A23" s="40" t="s">
        <v>80</v>
      </c>
      <c r="B23" s="41">
        <v>305.17</v>
      </c>
      <c r="C23" s="41">
        <v>328.28</v>
      </c>
      <c r="D23" s="41">
        <v>43.14</v>
      </c>
      <c r="E23" s="41">
        <v>6466</v>
      </c>
      <c r="F23" s="41"/>
      <c r="G23" s="41"/>
      <c r="I23" s="43">
        <f t="shared" si="0"/>
        <v>1.8387505839951912E-2</v>
      </c>
      <c r="J23" s="43">
        <f t="shared" si="1"/>
        <v>2.6572187776792025E-3</v>
      </c>
      <c r="K23" s="43">
        <f t="shared" si="2"/>
        <v>-1.0777344645723433E-2</v>
      </c>
      <c r="L23" s="43">
        <f t="shared" si="3"/>
        <v>-1.0407101316192225E-2</v>
      </c>
      <c r="M23" s="43">
        <f t="shared" si="4"/>
        <v>-4.443691214250505E-3</v>
      </c>
      <c r="N23" s="43"/>
      <c r="Q23" s="44" t="s">
        <v>11</v>
      </c>
      <c r="R23">
        <f>SQRT(R21^2*R16^2+S21^2*U5^2+2*R21*S21*R16*U5*CORREL(L4:L47,M4:M47))</f>
        <v>4.9070389193908139E-2</v>
      </c>
      <c r="U23">
        <v>0.8</v>
      </c>
      <c r="V23">
        <f t="shared" si="5"/>
        <v>0.19999999999999996</v>
      </c>
      <c r="W23">
        <f t="shared" si="6"/>
        <v>9.5961125090755509E-2</v>
      </c>
      <c r="X23">
        <f t="shared" si="7"/>
        <v>6.0246132992122586E-2</v>
      </c>
    </row>
    <row r="24" spans="1:24" x14ac:dyDescent="0.25">
      <c r="A24" s="40" t="s">
        <v>81</v>
      </c>
      <c r="B24" s="41">
        <v>305.64999999999998</v>
      </c>
      <c r="C24" s="41">
        <v>327.94</v>
      </c>
      <c r="D24" s="41">
        <v>43.62</v>
      </c>
      <c r="E24" s="41">
        <v>6562</v>
      </c>
      <c r="F24" s="41"/>
      <c r="G24" s="41"/>
      <c r="I24" s="43">
        <f t="shared" si="0"/>
        <v>1.5728937968999617E-3</v>
      </c>
      <c r="J24" s="43">
        <f t="shared" si="1"/>
        <v>-1.0357012306566804E-3</v>
      </c>
      <c r="K24" s="43">
        <f t="shared" si="2"/>
        <v>1.1126564673157089E-2</v>
      </c>
      <c r="L24" s="43">
        <f t="shared" si="3"/>
        <v>1.4846891432106402E-2</v>
      </c>
      <c r="M24" s="43">
        <f t="shared" si="4"/>
        <v>6.8907839627058111E-3</v>
      </c>
      <c r="N24" s="43"/>
      <c r="U24">
        <v>0.7</v>
      </c>
      <c r="V24">
        <f t="shared" si="5"/>
        <v>0.30000000000000004</v>
      </c>
      <c r="W24">
        <f t="shared" si="6"/>
        <v>0.10735101624615423</v>
      </c>
      <c r="X24">
        <f t="shared" si="7"/>
        <v>7.0628535725392266E-2</v>
      </c>
    </row>
    <row r="25" spans="1:24" x14ac:dyDescent="0.25">
      <c r="A25" s="40" t="s">
        <v>82</v>
      </c>
      <c r="B25" s="41">
        <v>312.89</v>
      </c>
      <c r="C25" s="41">
        <v>334.57</v>
      </c>
      <c r="D25" s="41">
        <v>43.65</v>
      </c>
      <c r="E25" s="41">
        <v>6536</v>
      </c>
      <c r="F25" s="41"/>
      <c r="G25" s="41"/>
      <c r="I25" s="43">
        <f t="shared" si="0"/>
        <v>2.3687223948961261E-2</v>
      </c>
      <c r="J25" s="43">
        <f t="shared" si="1"/>
        <v>2.0217112886503616E-2</v>
      </c>
      <c r="K25" s="43">
        <f t="shared" si="2"/>
        <v>6.8775790921598212E-4</v>
      </c>
      <c r="L25" s="43">
        <f t="shared" si="3"/>
        <v>-3.9622066443157572E-3</v>
      </c>
      <c r="M25" s="43">
        <f t="shared" si="4"/>
        <v>8.1702350637913521E-3</v>
      </c>
      <c r="N25" s="43"/>
      <c r="U25">
        <v>0.6</v>
      </c>
      <c r="V25">
        <f t="shared" si="5"/>
        <v>0.4</v>
      </c>
      <c r="W25">
        <f t="shared" si="6"/>
        <v>0.11874090740155292</v>
      </c>
      <c r="X25">
        <f t="shared" si="7"/>
        <v>8.2672742085647843E-2</v>
      </c>
    </row>
    <row r="26" spans="1:24" x14ac:dyDescent="0.25">
      <c r="A26" s="40" t="s">
        <v>83</v>
      </c>
      <c r="B26" s="41">
        <v>312.3</v>
      </c>
      <c r="C26" s="41">
        <v>329</v>
      </c>
      <c r="D26" s="41">
        <v>43.72</v>
      </c>
      <c r="E26" s="41">
        <v>6688</v>
      </c>
      <c r="F26" s="41"/>
      <c r="G26" s="41"/>
      <c r="I26" s="43">
        <f t="shared" si="0"/>
        <v>-1.8856467129022181E-3</v>
      </c>
      <c r="J26" s="43">
        <f t="shared" si="1"/>
        <v>-1.6648235047972002E-2</v>
      </c>
      <c r="K26" s="43">
        <f t="shared" si="2"/>
        <v>1.603665521191301E-3</v>
      </c>
      <c r="L26" s="43">
        <f t="shared" si="3"/>
        <v>2.3255813953488372E-2</v>
      </c>
      <c r="M26" s="43">
        <f t="shared" si="4"/>
        <v>-3.788485257462784E-3</v>
      </c>
      <c r="N26" s="43"/>
      <c r="U26">
        <v>0.5</v>
      </c>
      <c r="V26">
        <f t="shared" si="5"/>
        <v>0.5</v>
      </c>
      <c r="W26">
        <f t="shared" si="6"/>
        <v>0.13013079855695164</v>
      </c>
      <c r="X26">
        <f t="shared" si="7"/>
        <v>9.5924293845462416E-2</v>
      </c>
    </row>
    <row r="27" spans="1:24" x14ac:dyDescent="0.25">
      <c r="A27" s="40" t="s">
        <v>84</v>
      </c>
      <c r="B27" s="41">
        <v>317.94</v>
      </c>
      <c r="C27" s="41">
        <v>329.71</v>
      </c>
      <c r="D27" s="41">
        <v>44</v>
      </c>
      <c r="E27" s="41">
        <v>6780</v>
      </c>
      <c r="F27" s="41"/>
      <c r="G27" s="41"/>
      <c r="I27" s="43">
        <f t="shared" si="0"/>
        <v>1.8059558117194962E-2</v>
      </c>
      <c r="J27" s="43">
        <f t="shared" si="1"/>
        <v>2.1580547112461383E-3</v>
      </c>
      <c r="K27" s="43">
        <f t="shared" si="2"/>
        <v>6.4043915827996598E-3</v>
      </c>
      <c r="L27" s="43">
        <f t="shared" si="3"/>
        <v>1.375598086124402E-2</v>
      </c>
      <c r="M27" s="43">
        <f t="shared" si="4"/>
        <v>6.2583319313586749E-3</v>
      </c>
      <c r="N27" s="43"/>
      <c r="U27">
        <v>0.4</v>
      </c>
      <c r="V27">
        <f t="shared" si="5"/>
        <v>0.6</v>
      </c>
      <c r="W27">
        <f t="shared" si="6"/>
        <v>0.14152068971235032</v>
      </c>
      <c r="X27">
        <f t="shared" si="7"/>
        <v>0.10976075348775749</v>
      </c>
    </row>
    <row r="28" spans="1:24" x14ac:dyDescent="0.25">
      <c r="A28" s="40" t="s">
        <v>85</v>
      </c>
      <c r="B28" s="41">
        <v>328.93</v>
      </c>
      <c r="C28" s="41">
        <v>329.37</v>
      </c>
      <c r="D28" s="41">
        <v>45</v>
      </c>
      <c r="E28" s="41">
        <v>6942</v>
      </c>
      <c r="F28" s="41"/>
      <c r="G28" s="41"/>
      <c r="I28" s="43">
        <f t="shared" si="0"/>
        <v>3.456627036547779E-2</v>
      </c>
      <c r="J28" s="43">
        <f t="shared" si="1"/>
        <v>-1.0312092444875042E-3</v>
      </c>
      <c r="K28" s="43">
        <f t="shared" si="2"/>
        <v>2.2727272727272728E-2</v>
      </c>
      <c r="L28" s="43">
        <f t="shared" si="3"/>
        <v>2.3893805309734513E-2</v>
      </c>
      <c r="M28" s="43">
        <f t="shared" si="4"/>
        <v>1.7164747585204625E-2</v>
      </c>
      <c r="N28" s="43"/>
      <c r="U28">
        <v>0.3</v>
      </c>
      <c r="V28">
        <f t="shared" si="5"/>
        <v>0.7</v>
      </c>
      <c r="W28">
        <f t="shared" si="6"/>
        <v>0.15291058086774906</v>
      </c>
      <c r="X28">
        <f t="shared" si="7"/>
        <v>0.12405924237253364</v>
      </c>
    </row>
    <row r="29" spans="1:24" x14ac:dyDescent="0.25">
      <c r="A29" s="40" t="s">
        <v>86</v>
      </c>
      <c r="B29" s="41">
        <v>327.73</v>
      </c>
      <c r="C29" s="41">
        <v>325.95999999999998</v>
      </c>
      <c r="D29" s="41">
        <v>44.52</v>
      </c>
      <c r="E29" s="41">
        <v>6460</v>
      </c>
      <c r="F29" s="41"/>
      <c r="G29" s="41"/>
      <c r="I29" s="43">
        <f t="shared" si="0"/>
        <v>-3.6481926245705426E-3</v>
      </c>
      <c r="J29" s="43">
        <f t="shared" si="1"/>
        <v>-1.0353098339253802E-2</v>
      </c>
      <c r="K29" s="43">
        <f t="shared" si="2"/>
        <v>-1.0666666666666597E-2</v>
      </c>
      <c r="L29" s="43">
        <f t="shared" si="3"/>
        <v>-6.9432440218957073E-2</v>
      </c>
      <c r="M29" s="43">
        <f t="shared" si="4"/>
        <v>-9.9553486343112903E-3</v>
      </c>
      <c r="N29" s="43"/>
      <c r="U29">
        <v>0.2</v>
      </c>
      <c r="V29">
        <f t="shared" si="5"/>
        <v>0.8</v>
      </c>
      <c r="W29">
        <f t="shared" si="6"/>
        <v>0.16430047202314774</v>
      </c>
      <c r="X29">
        <f t="shared" si="7"/>
        <v>0.13870401083230333</v>
      </c>
    </row>
    <row r="30" spans="1:24" x14ac:dyDescent="0.25">
      <c r="A30" s="40" t="s">
        <v>87</v>
      </c>
      <c r="B30" s="41">
        <v>327.60000000000002</v>
      </c>
      <c r="C30" s="41">
        <v>331.7</v>
      </c>
      <c r="D30" s="41">
        <v>44.88</v>
      </c>
      <c r="E30" s="41">
        <v>6702</v>
      </c>
      <c r="F30" s="41"/>
      <c r="G30" s="41"/>
      <c r="I30" s="43">
        <f t="shared" si="0"/>
        <v>-3.9666798889328244E-4</v>
      </c>
      <c r="J30" s="43">
        <f t="shared" si="1"/>
        <v>1.7609522640814852E-2</v>
      </c>
      <c r="K30" s="43">
        <f t="shared" si="2"/>
        <v>8.0862533692722238E-3</v>
      </c>
      <c r="L30" s="43">
        <f t="shared" si="3"/>
        <v>3.7461300309597524E-2</v>
      </c>
      <c r="M30" s="43">
        <f t="shared" si="4"/>
        <v>9.9836242419554209E-3</v>
      </c>
      <c r="N30" s="43"/>
      <c r="U30">
        <v>0.1</v>
      </c>
      <c r="V30">
        <f t="shared" si="5"/>
        <v>0.9</v>
      </c>
      <c r="W30">
        <f t="shared" si="6"/>
        <v>0.17569036317854647</v>
      </c>
      <c r="X30">
        <f t="shared" si="7"/>
        <v>0.15352190399533519</v>
      </c>
    </row>
    <row r="31" spans="1:24" x14ac:dyDescent="0.25">
      <c r="A31" s="40" t="s">
        <v>88</v>
      </c>
      <c r="B31" s="41">
        <v>324.57</v>
      </c>
      <c r="C31" s="41">
        <v>326.01</v>
      </c>
      <c r="D31" s="41">
        <v>44.49</v>
      </c>
      <c r="E31" s="41">
        <v>6524</v>
      </c>
      <c r="F31" s="41"/>
      <c r="G31" s="41"/>
      <c r="I31" s="43">
        <f t="shared" si="0"/>
        <v>-9.2490842490843394E-3</v>
      </c>
      <c r="J31" s="43">
        <f t="shared" si="1"/>
        <v>-1.7154054868857394E-2</v>
      </c>
      <c r="K31" s="43">
        <f t="shared" si="2"/>
        <v>-8.6898395721925255E-3</v>
      </c>
      <c r="L31" s="43">
        <f t="shared" si="3"/>
        <v>-2.6559236048940615E-2</v>
      </c>
      <c r="M31" s="43">
        <f t="shared" si="4"/>
        <v>-1.1096271974943339E-2</v>
      </c>
      <c r="N31" s="43"/>
      <c r="U31">
        <v>0</v>
      </c>
      <c r="V31">
        <f t="shared" si="5"/>
        <v>1</v>
      </c>
      <c r="W31">
        <f t="shared" si="6"/>
        <v>0.18708025433394515</v>
      </c>
      <c r="X31">
        <f t="shared" si="7"/>
        <v>0.16851373251731383</v>
      </c>
    </row>
    <row r="32" spans="1:24" x14ac:dyDescent="0.25">
      <c r="A32" s="40" t="s">
        <v>89</v>
      </c>
      <c r="B32" s="41">
        <v>326.43</v>
      </c>
      <c r="C32" s="41">
        <v>326.25</v>
      </c>
      <c r="D32" s="41">
        <v>45.5</v>
      </c>
      <c r="E32" s="41">
        <v>6658</v>
      </c>
      <c r="F32" s="41"/>
      <c r="G32" s="41"/>
      <c r="I32" s="43">
        <f t="shared" si="0"/>
        <v>5.7306590257880079E-3</v>
      </c>
      <c r="J32" s="43">
        <f t="shared" si="1"/>
        <v>7.3617373700196034E-4</v>
      </c>
      <c r="K32" s="43">
        <f t="shared" si="2"/>
        <v>2.2701730726005797E-2</v>
      </c>
      <c r="L32" s="43">
        <f t="shared" si="3"/>
        <v>2.0539546290619253E-2</v>
      </c>
      <c r="M32" s="43">
        <f t="shared" si="4"/>
        <v>1.5076919010920139E-2</v>
      </c>
      <c r="N32" s="43"/>
    </row>
    <row r="33" spans="1:14" x14ac:dyDescent="0.25">
      <c r="A33" s="40" t="s">
        <v>90</v>
      </c>
      <c r="B33" s="41">
        <v>332.75</v>
      </c>
      <c r="C33" s="41">
        <v>327.41000000000003</v>
      </c>
      <c r="D33" s="41">
        <v>45.01</v>
      </c>
      <c r="E33" s="41">
        <v>6740</v>
      </c>
      <c r="F33" s="41"/>
      <c r="G33" s="41"/>
      <c r="I33" s="43">
        <f t="shared" si="0"/>
        <v>1.9360965597524715E-2</v>
      </c>
      <c r="J33" s="43">
        <f t="shared" si="1"/>
        <v>3.5555555555556321E-3</v>
      </c>
      <c r="K33" s="43">
        <f t="shared" si="2"/>
        <v>-1.0769230769230812E-2</v>
      </c>
      <c r="L33" s="43">
        <f t="shared" si="3"/>
        <v>1.2316010814058276E-2</v>
      </c>
      <c r="M33" s="43">
        <f t="shared" si="4"/>
        <v>-4.1018819922774112E-3</v>
      </c>
      <c r="N33" s="43"/>
    </row>
    <row r="34" spans="1:14" x14ac:dyDescent="0.25">
      <c r="A34" s="40" t="s">
        <v>91</v>
      </c>
      <c r="B34" s="41">
        <v>338.98</v>
      </c>
      <c r="C34" s="41">
        <v>326.48</v>
      </c>
      <c r="D34" s="41">
        <v>44.79</v>
      </c>
      <c r="E34" s="41">
        <v>6828</v>
      </c>
      <c r="F34" s="41"/>
      <c r="G34" s="41"/>
      <c r="I34" s="43">
        <f t="shared" si="0"/>
        <v>1.8722764838467371E-2</v>
      </c>
      <c r="J34" s="43">
        <f t="shared" si="1"/>
        <v>-2.840475245105546E-3</v>
      </c>
      <c r="K34" s="43">
        <f t="shared" si="2"/>
        <v>-4.8878027105087509E-3</v>
      </c>
      <c r="L34" s="43">
        <f t="shared" si="3"/>
        <v>1.3056379821958458E-2</v>
      </c>
      <c r="M34" s="43">
        <f t="shared" si="4"/>
        <v>-2.2185522615242692E-3</v>
      </c>
      <c r="N34" s="43"/>
    </row>
    <row r="35" spans="1:14" x14ac:dyDescent="0.25">
      <c r="A35" s="40" t="s">
        <v>92</v>
      </c>
      <c r="B35" s="41">
        <v>343.34</v>
      </c>
      <c r="C35" s="41">
        <v>333.51</v>
      </c>
      <c r="D35" s="41">
        <v>44.66</v>
      </c>
      <c r="E35" s="41">
        <v>6806</v>
      </c>
      <c r="F35" s="41"/>
      <c r="G35" s="41"/>
      <c r="I35" s="43">
        <f t="shared" si="0"/>
        <v>1.2862115759041703E-2</v>
      </c>
      <c r="J35" s="43">
        <f t="shared" si="1"/>
        <v>2.1532712570448333E-2</v>
      </c>
      <c r="K35" s="43">
        <f t="shared" si="2"/>
        <v>-2.9024335789239243E-3</v>
      </c>
      <c r="L35" s="43">
        <f t="shared" si="3"/>
        <v>-3.2220269478617459E-3</v>
      </c>
      <c r="M35" s="43">
        <f t="shared" si="4"/>
        <v>5.3027196151767993E-3</v>
      </c>
      <c r="N35" s="43"/>
    </row>
    <row r="36" spans="1:14" x14ac:dyDescent="0.25">
      <c r="A36" s="40" t="s">
        <v>93</v>
      </c>
      <c r="B36" s="41">
        <v>338.5</v>
      </c>
      <c r="C36" s="41">
        <v>326.99</v>
      </c>
      <c r="D36" s="41">
        <v>44.51</v>
      </c>
      <c r="E36" s="41">
        <v>6730</v>
      </c>
      <c r="F36" s="41"/>
      <c r="G36" s="41"/>
      <c r="I36" s="43">
        <f t="shared" si="0"/>
        <v>-1.4096813654103733E-2</v>
      </c>
      <c r="J36" s="43">
        <f t="shared" si="1"/>
        <v>-1.9549638691493454E-2</v>
      </c>
      <c r="K36" s="43">
        <f t="shared" si="2"/>
        <v>-3.3587102552619479E-3</v>
      </c>
      <c r="L36" s="43">
        <f t="shared" si="3"/>
        <v>-1.1166617690273288E-2</v>
      </c>
      <c r="M36" s="43">
        <f t="shared" si="4"/>
        <v>-8.8215078176750918E-3</v>
      </c>
      <c r="N36" s="43"/>
    </row>
    <row r="37" spans="1:14" x14ac:dyDescent="0.25">
      <c r="A37" s="40" t="s">
        <v>94</v>
      </c>
      <c r="B37" s="41">
        <v>334.5</v>
      </c>
      <c r="C37" s="41">
        <v>329.56</v>
      </c>
      <c r="D37" s="41">
        <v>44</v>
      </c>
      <c r="E37" s="41">
        <v>6678</v>
      </c>
      <c r="F37" s="41"/>
      <c r="G37" s="41"/>
      <c r="I37" s="43">
        <f t="shared" si="0"/>
        <v>-1.1816838995568686E-2</v>
      </c>
      <c r="J37" s="43">
        <f t="shared" si="1"/>
        <v>7.8595675708737055E-3</v>
      </c>
      <c r="K37" s="43">
        <f t="shared" si="2"/>
        <v>-1.1458099303527253E-2</v>
      </c>
      <c r="L37" s="43">
        <f t="shared" si="3"/>
        <v>-7.7265973254086184E-3</v>
      </c>
      <c r="M37" s="43">
        <f t="shared" si="4"/>
        <v>-6.1113339234369788E-3</v>
      </c>
      <c r="N37" s="43"/>
    </row>
    <row r="38" spans="1:14" x14ac:dyDescent="0.25">
      <c r="A38" s="40" t="s">
        <v>95</v>
      </c>
      <c r="B38" s="41">
        <v>325.7</v>
      </c>
      <c r="C38" s="41">
        <v>326.92</v>
      </c>
      <c r="D38" s="41">
        <v>43.68</v>
      </c>
      <c r="E38" s="41">
        <v>6410</v>
      </c>
      <c r="F38" s="41"/>
      <c r="G38" s="41"/>
      <c r="I38" s="43">
        <f t="shared" si="0"/>
        <v>-2.6307922272047868E-2</v>
      </c>
      <c r="J38" s="43">
        <f t="shared" si="1"/>
        <v>-8.0106809078771286E-3</v>
      </c>
      <c r="K38" s="43">
        <f t="shared" si="2"/>
        <v>-7.2727272727272788E-3</v>
      </c>
      <c r="L38" s="43">
        <f t="shared" si="3"/>
        <v>-4.0131775980832583E-2</v>
      </c>
      <c r="M38" s="43">
        <f t="shared" si="4"/>
        <v>-9.1706107709058314E-3</v>
      </c>
      <c r="N38" s="43"/>
    </row>
    <row r="39" spans="1:14" x14ac:dyDescent="0.25">
      <c r="A39" s="40" t="s">
        <v>96</v>
      </c>
      <c r="B39" s="41">
        <v>335.3</v>
      </c>
      <c r="C39" s="41">
        <v>323.25</v>
      </c>
      <c r="D39" s="41">
        <v>44</v>
      </c>
      <c r="E39" s="41">
        <v>7020</v>
      </c>
      <c r="F39" s="41"/>
      <c r="G39" s="41"/>
      <c r="I39" s="43">
        <f t="shared" si="0"/>
        <v>2.9474976972674313E-2</v>
      </c>
      <c r="J39" s="43">
        <f t="shared" si="1"/>
        <v>-1.1225988009298958E-2</v>
      </c>
      <c r="K39" s="43">
        <f t="shared" si="2"/>
        <v>7.3260073260073329E-3</v>
      </c>
      <c r="L39" s="43">
        <f t="shared" si="3"/>
        <v>9.5163806552262087E-2</v>
      </c>
      <c r="M39" s="43">
        <f t="shared" si="4"/>
        <v>4.1297924229401111E-3</v>
      </c>
      <c r="N39" s="43"/>
    </row>
    <row r="40" spans="1:14" x14ac:dyDescent="0.25">
      <c r="A40" s="40" t="s">
        <v>97</v>
      </c>
      <c r="B40" s="41">
        <v>340.59</v>
      </c>
      <c r="C40" s="41">
        <v>327.8</v>
      </c>
      <c r="D40" s="41">
        <v>43.85</v>
      </c>
      <c r="E40" s="41">
        <v>7018</v>
      </c>
      <c r="F40" s="41"/>
      <c r="G40" s="41"/>
      <c r="I40" s="43">
        <f t="shared" si="0"/>
        <v>1.5776916194452619E-2</v>
      </c>
      <c r="J40" s="43">
        <f t="shared" si="1"/>
        <v>1.4075792730085109E-2</v>
      </c>
      <c r="K40" s="43">
        <f t="shared" si="2"/>
        <v>-3.4090909090908768E-3</v>
      </c>
      <c r="L40" s="43">
        <f t="shared" si="3"/>
        <v>-2.8490028490028488E-4</v>
      </c>
      <c r="M40" s="43">
        <f t="shared" si="4"/>
        <v>3.1650861060514997E-3</v>
      </c>
      <c r="N40" s="43"/>
    </row>
    <row r="41" spans="1:14" x14ac:dyDescent="0.25">
      <c r="A41" s="40" t="s">
        <v>98</v>
      </c>
      <c r="B41" s="41">
        <v>343.47</v>
      </c>
      <c r="C41" s="41">
        <v>327.02</v>
      </c>
      <c r="D41" s="41">
        <v>44.5</v>
      </c>
      <c r="E41" s="41">
        <v>7132</v>
      </c>
      <c r="F41" s="41"/>
      <c r="G41" s="41"/>
      <c r="I41" s="43">
        <f t="shared" si="0"/>
        <v>8.4559147361932315E-3</v>
      </c>
      <c r="J41" s="43">
        <f t="shared" si="1"/>
        <v>-2.3794996949360265E-3</v>
      </c>
      <c r="K41" s="43">
        <f t="shared" si="2"/>
        <v>1.4823261117445806E-2</v>
      </c>
      <c r="L41" s="43">
        <f t="shared" si="3"/>
        <v>1.6243944143630663E-2</v>
      </c>
      <c r="M41" s="43">
        <f t="shared" si="4"/>
        <v>9.4673393857250439E-3</v>
      </c>
      <c r="N41" s="43"/>
    </row>
    <row r="42" spans="1:14" x14ac:dyDescent="0.25">
      <c r="A42" s="40" t="s">
        <v>99</v>
      </c>
      <c r="B42" s="41">
        <v>344.29</v>
      </c>
      <c r="C42" s="41">
        <v>325.44</v>
      </c>
      <c r="D42" s="41">
        <v>45.02</v>
      </c>
      <c r="E42" s="41">
        <v>7074</v>
      </c>
      <c r="F42" s="41"/>
      <c r="G42" s="41"/>
      <c r="I42" s="43">
        <f t="shared" si="0"/>
        <v>2.3873991906134249E-3</v>
      </c>
      <c r="J42" s="43">
        <f t="shared" si="1"/>
        <v>-4.8315087762215896E-3</v>
      </c>
      <c r="K42" s="43">
        <f t="shared" si="2"/>
        <v>1.1685393258427037E-2</v>
      </c>
      <c r="L42" s="43">
        <f t="shared" si="3"/>
        <v>-8.1323611890072919E-3</v>
      </c>
      <c r="M42" s="43">
        <f t="shared" si="4"/>
        <v>6.2598737191802527E-3</v>
      </c>
      <c r="N42" s="43"/>
    </row>
    <row r="43" spans="1:14" x14ac:dyDescent="0.25">
      <c r="A43" s="40" t="s">
        <v>100</v>
      </c>
      <c r="B43" s="41">
        <v>355.19</v>
      </c>
      <c r="C43" s="41">
        <v>331.68</v>
      </c>
      <c r="D43" s="41">
        <v>45.15</v>
      </c>
      <c r="E43" s="41">
        <v>7064</v>
      </c>
      <c r="F43" s="41"/>
      <c r="G43" s="41"/>
      <c r="I43" s="43">
        <f t="shared" si="0"/>
        <v>3.1659356937465438E-2</v>
      </c>
      <c r="J43" s="43">
        <f t="shared" si="1"/>
        <v>1.9174041297935131E-2</v>
      </c>
      <c r="K43" s="43">
        <f t="shared" si="2"/>
        <v>2.8876055086627154E-3</v>
      </c>
      <c r="L43" s="43">
        <f t="shared" si="3"/>
        <v>-1.4136273678258412E-3</v>
      </c>
      <c r="M43" s="43">
        <f t="shared" si="4"/>
        <v>9.980361647951538E-3</v>
      </c>
      <c r="N43" s="43"/>
    </row>
    <row r="44" spans="1:14" x14ac:dyDescent="0.25">
      <c r="A44" s="40" t="s">
        <v>101</v>
      </c>
      <c r="B44" s="41">
        <v>354.07</v>
      </c>
      <c r="C44" s="41">
        <v>329.3</v>
      </c>
      <c r="D44" s="41">
        <v>45.8</v>
      </c>
      <c r="E44" s="41">
        <v>6970</v>
      </c>
      <c r="F44" s="41"/>
      <c r="G44" s="41"/>
      <c r="I44" s="43">
        <f t="shared" si="0"/>
        <v>-3.1532419268560617E-3</v>
      </c>
      <c r="J44" s="43">
        <f t="shared" si="1"/>
        <v>-7.1755909310178348E-3</v>
      </c>
      <c r="K44" s="43">
        <f t="shared" si="2"/>
        <v>1.4396456256921342E-2</v>
      </c>
      <c r="L44" s="43">
        <f t="shared" si="3"/>
        <v>-1.3306908267270668E-2</v>
      </c>
      <c r="M44" s="43">
        <f t="shared" si="4"/>
        <v>6.8297649031009841E-3</v>
      </c>
      <c r="N44" s="43"/>
    </row>
    <row r="45" spans="1:14" x14ac:dyDescent="0.25">
      <c r="A45" s="40" t="s">
        <v>102</v>
      </c>
      <c r="B45" s="41">
        <v>360.88</v>
      </c>
      <c r="C45" s="41">
        <v>328.43</v>
      </c>
      <c r="D45" s="41">
        <v>45.69</v>
      </c>
      <c r="E45" s="41">
        <v>6850</v>
      </c>
      <c r="F45" s="41"/>
      <c r="G45" s="41"/>
      <c r="I45" s="43">
        <f t="shared" si="0"/>
        <v>1.9233484904115011E-2</v>
      </c>
      <c r="J45" s="43">
        <f t="shared" si="1"/>
        <v>-2.64196781050715E-3</v>
      </c>
      <c r="K45" s="43">
        <f t="shared" si="2"/>
        <v>-2.4017467248908173E-3</v>
      </c>
      <c r="L45" s="43">
        <f t="shared" si="3"/>
        <v>-1.721664275466284E-2</v>
      </c>
      <c r="M45" s="43">
        <f t="shared" si="4"/>
        <v>-5.4505002512510278E-4</v>
      </c>
      <c r="N45" s="43"/>
    </row>
    <row r="46" spans="1:14" x14ac:dyDescent="0.25">
      <c r="A46" s="40" t="s">
        <v>103</v>
      </c>
      <c r="B46" s="41">
        <v>360.8</v>
      </c>
      <c r="C46" s="41">
        <v>340.99</v>
      </c>
      <c r="D46" s="41">
        <v>45.62</v>
      </c>
      <c r="E46" s="41">
        <v>7000</v>
      </c>
      <c r="F46" s="41"/>
      <c r="G46" s="41"/>
      <c r="I46" s="43">
        <f t="shared" si="0"/>
        <v>-2.2168033695406806E-4</v>
      </c>
      <c r="J46" s="43">
        <f t="shared" si="1"/>
        <v>3.8242547879304575E-2</v>
      </c>
      <c r="K46" s="43">
        <f t="shared" si="2"/>
        <v>-1.5320639089516368E-3</v>
      </c>
      <c r="L46" s="43">
        <f t="shared" si="3"/>
        <v>2.1897810218978103E-2</v>
      </c>
      <c r="M46" s="43">
        <f t="shared" si="4"/>
        <v>9.6589750798821671E-3</v>
      </c>
      <c r="N46" s="43"/>
    </row>
    <row r="47" spans="1:14" x14ac:dyDescent="0.25">
      <c r="A47" s="40" t="s">
        <v>104</v>
      </c>
      <c r="B47" s="41">
        <v>363.25</v>
      </c>
      <c r="C47" s="41">
        <v>338.48</v>
      </c>
      <c r="D47" s="41">
        <v>45.21</v>
      </c>
      <c r="E47" s="41">
        <v>7168</v>
      </c>
      <c r="F47" s="41"/>
      <c r="G47" s="41"/>
      <c r="I47" s="43">
        <f t="shared" si="0"/>
        <v>6.7904656319290151E-3</v>
      </c>
      <c r="J47" s="43">
        <f t="shared" si="1"/>
        <v>-7.360919675063758E-3</v>
      </c>
      <c r="K47" s="43">
        <f t="shared" si="2"/>
        <v>-8.9872862779481946E-3</v>
      </c>
      <c r="L47" s="43">
        <f t="shared" si="3"/>
        <v>2.4E-2</v>
      </c>
      <c r="M47" s="43">
        <f t="shared" si="4"/>
        <v>-7.131658156092827E-3</v>
      </c>
      <c r="N47" s="4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zoomScaleNormal="100" workbookViewId="0">
      <selection activeCell="E39" sqref="E39"/>
    </sheetView>
  </sheetViews>
  <sheetFormatPr defaultColWidth="9.140625"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49" t="s">
        <v>13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1"/>
    </row>
    <row r="2" spans="1:22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4"/>
    </row>
    <row r="3" spans="1:22" x14ac:dyDescent="0.25">
      <c r="A3" s="46" t="s">
        <v>14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/>
    </row>
    <row r="4" spans="1:22" x14ac:dyDescent="0.25">
      <c r="A4" s="46" t="s">
        <v>15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</row>
    <row r="5" spans="1:22" ht="18.75" x14ac:dyDescent="0.3">
      <c r="A5" s="55" t="s">
        <v>16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/>
    </row>
    <row r="6" spans="1:22" ht="15.75" thickBot="1" x14ac:dyDescent="0.3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/>
    </row>
    <row r="7" spans="1:22" x14ac:dyDescent="0.25">
      <c r="A7" s="61" t="s">
        <v>17</v>
      </c>
      <c r="B7" s="62"/>
      <c r="C7" s="62"/>
      <c r="D7" s="62"/>
      <c r="E7" s="62"/>
      <c r="F7" s="62"/>
      <c r="G7" s="62"/>
      <c r="H7" s="62"/>
      <c r="I7" s="62"/>
      <c r="J7" s="62"/>
      <c r="K7" s="16" t="s">
        <v>18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63"/>
      <c r="B8" s="64"/>
      <c r="C8" s="64"/>
      <c r="D8" s="64"/>
      <c r="E8" s="64"/>
      <c r="F8" s="64"/>
      <c r="G8" s="64"/>
      <c r="H8" s="64"/>
      <c r="I8" s="64"/>
      <c r="J8" s="64"/>
      <c r="K8" s="18" t="s">
        <v>19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46" t="s">
        <v>20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8"/>
    </row>
    <row r="11" spans="1:22" ht="18.75" x14ac:dyDescent="0.3">
      <c r="A11" s="55" t="s">
        <v>21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/>
    </row>
    <row r="12" spans="1:22" ht="18.75" x14ac:dyDescent="0.3">
      <c r="A12" s="55" t="s">
        <v>22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/>
    </row>
    <row r="13" spans="1:22" ht="16.5" thickBot="1" x14ac:dyDescent="0.3">
      <c r="A13" s="65" t="s">
        <v>23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68" t="s">
        <v>24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/>
    </row>
    <row r="16" spans="1:22" x14ac:dyDescent="0.25">
      <c r="A16" s="46" t="s">
        <v>25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/>
    </row>
    <row r="17" spans="1:26" ht="15.75" thickBot="1" x14ac:dyDescent="0.3">
      <c r="A17" s="83" t="s">
        <v>26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5"/>
    </row>
    <row r="18" spans="1:26" x14ac:dyDescent="0.25">
      <c r="A18" s="86"/>
      <c r="B18" s="87"/>
      <c r="C18" s="87"/>
      <c r="D18" s="87"/>
      <c r="E18" s="87"/>
      <c r="F18" s="87"/>
      <c r="G18" s="87"/>
      <c r="H18" s="21"/>
      <c r="I18" s="5" t="s">
        <v>1</v>
      </c>
      <c r="J18" s="6" t="s">
        <v>27</v>
      </c>
      <c r="K18" s="21"/>
      <c r="L18" s="21"/>
      <c r="M18" s="5" t="s">
        <v>28</v>
      </c>
      <c r="N18" s="6" t="s">
        <v>29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88"/>
      <c r="B19" s="89"/>
      <c r="C19" s="89"/>
      <c r="D19" s="89"/>
      <c r="E19" s="89"/>
      <c r="F19" s="89"/>
      <c r="G19" s="89"/>
      <c r="H19" s="23" t="s">
        <v>0</v>
      </c>
      <c r="I19" s="10" t="s">
        <v>30</v>
      </c>
      <c r="J19" s="3" t="s">
        <v>31</v>
      </c>
      <c r="K19" s="9"/>
      <c r="L19" s="9"/>
      <c r="M19" s="10" t="s">
        <v>32</v>
      </c>
      <c r="N19" s="3" t="s">
        <v>33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83"/>
      <c r="B20" s="84"/>
      <c r="C20" s="84"/>
      <c r="D20" s="84"/>
      <c r="E20" s="84"/>
      <c r="F20" s="84"/>
      <c r="G20" s="84"/>
      <c r="H20" s="25"/>
      <c r="I20" s="11" t="s">
        <v>34</v>
      </c>
      <c r="J20" s="12" t="s">
        <v>35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80" t="s">
        <v>36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2"/>
    </row>
    <row r="22" spans="1:26" x14ac:dyDescent="0.25">
      <c r="A22" s="27" t="s">
        <v>37</v>
      </c>
      <c r="C22" s="1" t="s">
        <v>38</v>
      </c>
      <c r="I22" s="1" t="s">
        <v>39</v>
      </c>
      <c r="K22" s="1" t="s">
        <v>38</v>
      </c>
      <c r="P22" s="1" t="s">
        <v>40</v>
      </c>
      <c r="R22" s="1" t="s">
        <v>38</v>
      </c>
      <c r="V22" s="28"/>
    </row>
    <row r="23" spans="1:26" ht="15.75" thickBot="1" x14ac:dyDescent="0.3">
      <c r="A23" s="27" t="s">
        <v>41</v>
      </c>
      <c r="C23" s="1" t="s">
        <v>42</v>
      </c>
      <c r="I23" s="1" t="s">
        <v>41</v>
      </c>
      <c r="K23" s="1" t="s">
        <v>43</v>
      </c>
      <c r="P23" s="1" t="s">
        <v>41</v>
      </c>
      <c r="R23" s="1" t="s">
        <v>44</v>
      </c>
      <c r="V23" s="28"/>
    </row>
    <row r="24" spans="1:26" x14ac:dyDescent="0.25">
      <c r="A24" s="90" t="s">
        <v>45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</row>
    <row r="25" spans="1:26" x14ac:dyDescent="0.25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5"/>
    </row>
    <row r="26" spans="1:26" x14ac:dyDescent="0.25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5"/>
      <c r="Z26" s="29"/>
    </row>
    <row r="27" spans="1:26" ht="15.75" thickBot="1" x14ac:dyDescent="0.3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8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68" t="s">
        <v>24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70"/>
    </row>
    <row r="30" spans="1:26" x14ac:dyDescent="0.25">
      <c r="A30" s="46" t="s">
        <v>46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</row>
    <row r="31" spans="1:26" ht="15.75" thickBot="1" x14ac:dyDescent="0.3">
      <c r="A31" s="71" t="s">
        <v>47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3"/>
    </row>
    <row r="32" spans="1:26" x14ac:dyDescent="0.25">
      <c r="A32" s="74" t="s">
        <v>48</v>
      </c>
      <c r="B32" s="75"/>
      <c r="C32" s="75"/>
      <c r="D32" s="75"/>
      <c r="E32" s="75"/>
      <c r="F32" s="75"/>
      <c r="G32" s="75"/>
      <c r="H32" s="6"/>
      <c r="I32" s="30" t="s">
        <v>3</v>
      </c>
      <c r="J32" s="6" t="s">
        <v>49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76"/>
      <c r="B33" s="77"/>
      <c r="C33" s="77"/>
      <c r="D33" s="77"/>
      <c r="E33" s="77"/>
      <c r="F33" s="77"/>
      <c r="G33" s="77"/>
      <c r="H33" s="31" t="s">
        <v>0</v>
      </c>
      <c r="I33" s="8" t="s">
        <v>50</v>
      </c>
      <c r="J33" s="3" t="s">
        <v>51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78"/>
      <c r="B34" s="79"/>
      <c r="C34" s="79"/>
      <c r="D34" s="79"/>
      <c r="E34" s="79"/>
      <c r="F34" s="79"/>
      <c r="G34" s="79"/>
      <c r="H34" s="12"/>
      <c r="I34" s="11" t="s">
        <v>32</v>
      </c>
      <c r="J34" s="12" t="s">
        <v>33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80" t="s">
        <v>36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2"/>
    </row>
    <row r="36" spans="1:22" ht="15.75" thickBot="1" x14ac:dyDescent="0.3">
      <c r="A36" s="27" t="s">
        <v>52</v>
      </c>
      <c r="H36" s="1" t="s">
        <v>53</v>
      </c>
      <c r="P36" s="1" t="s">
        <v>54</v>
      </c>
      <c r="V36" s="28"/>
    </row>
    <row r="37" spans="1:22" x14ac:dyDescent="0.25">
      <c r="A37" s="32" t="s">
        <v>55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topLeftCell="A7" zoomScale="140" zoomScaleNormal="140" workbookViewId="0">
      <selection activeCell="L11" sqref="L11"/>
    </sheetView>
  </sheetViews>
  <sheetFormatPr defaultColWidth="9.140625" defaultRowHeight="15" x14ac:dyDescent="0.25"/>
  <cols>
    <col min="1" max="16384" width="9.140625" style="1"/>
  </cols>
  <sheetData>
    <row r="1" spans="1:15" ht="15.75" thickBot="1" x14ac:dyDescent="0.3">
      <c r="A1" s="99">
        <v>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1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102" t="s">
        <v>0</v>
      </c>
      <c r="J14" s="5" t="s">
        <v>1</v>
      </c>
      <c r="K14" s="6" t="s">
        <v>2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103"/>
      <c r="J15" s="8" t="s">
        <v>3</v>
      </c>
      <c r="K15" s="3" t="s">
        <v>4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103"/>
      <c r="J16" s="10" t="s">
        <v>5</v>
      </c>
      <c r="K16" s="3" t="s">
        <v>6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103"/>
      <c r="J17" s="10" t="s">
        <v>7</v>
      </c>
      <c r="K17" s="3" t="s">
        <v>8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103"/>
      <c r="J18" s="10" t="s">
        <v>9</v>
      </c>
      <c r="K18" s="3" t="s">
        <v>10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104"/>
      <c r="J19" s="11" t="s">
        <v>11</v>
      </c>
      <c r="K19" s="12" t="s">
        <v>12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A3" sqref="A3"/>
    </sheetView>
  </sheetViews>
  <sheetFormatPr defaultRowHeight="15" x14ac:dyDescent="0.25"/>
  <cols>
    <col min="1" max="1" width="11.85546875" customWidth="1"/>
    <col min="2" max="2" width="50.2851562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tr" cm="1">
        <f t="array" aca="1" ref="B2" ca="1">LEFT(CELL("имяфайла"),FIND("\[", CELL("имяфайла") )) &amp; "Data"</f>
        <v>D:\FinU\2021-2022\Д_Excel\Тема 5 Порфель\Data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Data</vt:lpstr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2021-11-22T15:51:08Z</dcterms:modified>
</cp:coreProperties>
</file>