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yfri\Downloads\Д_Excel.Edited\Тема 3 Выбросы и пропуски\"/>
    </mc:Choice>
  </mc:AlternateContent>
  <xr:revisionPtr revIDLastSave="0" documentId="13_ncr:1_{71628090-0266-495C-80E7-EDBB430D6B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Выбросы" sheetId="1" r:id="rId1"/>
    <sheet name="Пропуски" sheetId="2" r:id="rId2"/>
    <sheet name="Импутация" sheetId="3" r:id="rId3"/>
    <sheet name="Шовене" sheetId="4" r:id="rId4"/>
    <sheet name="Шовене (1)" sheetId="5" r:id="rId5"/>
    <sheet name="Шовене (2)" sheetId="6" r:id="rId6"/>
    <sheet name="Диксон" sheetId="7" r:id="rId7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adj" localSheetId="2" hidden="1">Импутация!$O$21:$O$26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Импутация!$Q$26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M5" i="7"/>
  <c r="C5" i="7"/>
  <c r="O5" i="7" s="1"/>
  <c r="B5" i="7"/>
  <c r="N5" i="7" s="1"/>
  <c r="C4" i="7"/>
  <c r="B4" i="7"/>
  <c r="Q3" i="7"/>
  <c r="P3" i="7"/>
  <c r="C3" i="7"/>
  <c r="B3" i="7"/>
  <c r="I20" i="6"/>
  <c r="H20" i="6"/>
  <c r="G20" i="6"/>
  <c r="C15" i="6" s="1"/>
  <c r="F20" i="6"/>
  <c r="C14" i="6" s="1"/>
  <c r="E20" i="6"/>
  <c r="I20" i="5"/>
  <c r="G23" i="5" s="1"/>
  <c r="G24" i="5" s="1"/>
  <c r="G25" i="5" s="1"/>
  <c r="G26" i="5" s="1"/>
  <c r="H20" i="5"/>
  <c r="F23" i="5" s="1"/>
  <c r="F24" i="5" s="1"/>
  <c r="F25" i="5" s="1"/>
  <c r="F26" i="5" s="1"/>
  <c r="G20" i="5"/>
  <c r="F20" i="5"/>
  <c r="E20" i="5"/>
  <c r="M47" i="3"/>
  <c r="M43" i="3"/>
  <c r="M42" i="3"/>
  <c r="M40" i="3"/>
  <c r="M32" i="3"/>
  <c r="M25" i="3"/>
  <c r="C9" i="6" l="1"/>
  <c r="C13" i="6"/>
  <c r="C17" i="6"/>
  <c r="C7" i="6"/>
  <c r="C11" i="6"/>
  <c r="J20" i="6"/>
  <c r="C8" i="6"/>
  <c r="C12" i="6"/>
  <c r="C16" i="6"/>
  <c r="K20" i="6"/>
  <c r="C10" i="6"/>
  <c r="M20" i="6" l="1"/>
  <c r="G23" i="6"/>
  <c r="G24" i="6" s="1"/>
  <c r="G25" i="6" s="1"/>
  <c r="G26" i="6" s="1"/>
  <c r="F23" i="6"/>
  <c r="F24" i="6" s="1"/>
  <c r="F25" i="6" s="1"/>
  <c r="F26" i="6" s="1"/>
  <c r="L20" i="6"/>
  <c r="L21" i="3" l="1"/>
  <c r="J21" i="2"/>
  <c r="B14" i="4"/>
  <c r="B13" i="4"/>
  <c r="B12" i="4"/>
  <c r="B15" i="4" s="1"/>
  <c r="B16" i="4" s="1"/>
  <c r="B18" i="4" s="1"/>
  <c r="J25" i="3"/>
  <c r="L25" i="3"/>
  <c r="L24" i="3"/>
  <c r="L23" i="3"/>
  <c r="L22" i="3"/>
  <c r="J32" i="3"/>
  <c r="J40" i="3"/>
  <c r="J42" i="3"/>
  <c r="J43" i="3"/>
  <c r="J47" i="3"/>
  <c r="I22" i="3"/>
  <c r="I23" i="3"/>
  <c r="I24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1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1" i="3"/>
  <c r="G60" i="3"/>
  <c r="C60" i="3"/>
  <c r="B60" i="3"/>
  <c r="G59" i="3"/>
  <c r="C59" i="3"/>
  <c r="B59" i="3"/>
  <c r="G58" i="3"/>
  <c r="C58" i="3"/>
  <c r="B58" i="3"/>
  <c r="G57" i="3"/>
  <c r="C57" i="3"/>
  <c r="B57" i="3"/>
  <c r="G56" i="3"/>
  <c r="C56" i="3"/>
  <c r="B56" i="3"/>
  <c r="G55" i="3"/>
  <c r="C55" i="3"/>
  <c r="B55" i="3"/>
  <c r="G54" i="3"/>
  <c r="C54" i="3"/>
  <c r="B54" i="3"/>
  <c r="G53" i="3"/>
  <c r="C53" i="3"/>
  <c r="B53" i="3"/>
  <c r="G52" i="3"/>
  <c r="C52" i="3"/>
  <c r="B52" i="3"/>
  <c r="G51" i="3"/>
  <c r="C51" i="3"/>
  <c r="B51" i="3"/>
  <c r="G50" i="3"/>
  <c r="C50" i="3"/>
  <c r="B50" i="3"/>
  <c r="G49" i="3"/>
  <c r="C49" i="3"/>
  <c r="B49" i="3"/>
  <c r="G48" i="3"/>
  <c r="C48" i="3"/>
  <c r="B48" i="3"/>
  <c r="G47" i="3"/>
  <c r="C47" i="3"/>
  <c r="B47" i="3"/>
  <c r="G46" i="3"/>
  <c r="C46" i="3"/>
  <c r="B46" i="3"/>
  <c r="G45" i="3"/>
  <c r="C45" i="3"/>
  <c r="B45" i="3"/>
  <c r="G44" i="3"/>
  <c r="C44" i="3"/>
  <c r="B44" i="3"/>
  <c r="G43" i="3"/>
  <c r="C43" i="3"/>
  <c r="B43" i="3"/>
  <c r="G42" i="3"/>
  <c r="C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G26" i="3"/>
  <c r="C26" i="3"/>
  <c r="B26" i="3"/>
  <c r="G25" i="3"/>
  <c r="F25" i="3"/>
  <c r="C25" i="3"/>
  <c r="B25" i="3"/>
  <c r="G24" i="3"/>
  <c r="F24" i="3"/>
  <c r="C24" i="3"/>
  <c r="B24" i="3"/>
  <c r="G23" i="3"/>
  <c r="F23" i="3"/>
  <c r="C23" i="3"/>
  <c r="B23" i="3"/>
  <c r="G22" i="3"/>
  <c r="F22" i="3"/>
  <c r="C22" i="3"/>
  <c r="B22" i="3"/>
  <c r="G21" i="3"/>
  <c r="F21" i="3"/>
  <c r="C21" i="3"/>
  <c r="B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L26" i="3" l="1"/>
  <c r="F27" i="3"/>
  <c r="F30" i="3" s="1"/>
  <c r="F29" i="3" l="1"/>
  <c r="D60" i="3" l="1"/>
  <c r="D52" i="3"/>
  <c r="D44" i="3"/>
  <c r="D36" i="3"/>
  <c r="D28" i="3"/>
  <c r="D58" i="3"/>
  <c r="D50" i="3"/>
  <c r="D42" i="3"/>
  <c r="D34" i="3"/>
  <c r="D25" i="3"/>
  <c r="D26" i="3"/>
  <c r="D35" i="3"/>
  <c r="D43" i="3"/>
  <c r="D51" i="3"/>
  <c r="D59" i="3"/>
  <c r="D31" i="3"/>
  <c r="D47" i="3"/>
  <c r="D30" i="3"/>
  <c r="D45" i="3"/>
  <c r="D29" i="3"/>
  <c r="D24" i="3"/>
  <c r="D27" i="3"/>
  <c r="D57" i="3"/>
  <c r="D49" i="3"/>
  <c r="D41" i="3"/>
  <c r="D33" i="3"/>
  <c r="D39" i="3"/>
  <c r="D55" i="3"/>
  <c r="D53" i="3"/>
  <c r="D37" i="3"/>
  <c r="D21" i="3"/>
  <c r="D56" i="3"/>
  <c r="D48" i="3"/>
  <c r="D40" i="3"/>
  <c r="D32" i="3"/>
  <c r="D23" i="3"/>
  <c r="D54" i="3"/>
  <c r="D46" i="3"/>
  <c r="D38" i="3"/>
  <c r="D22" i="3"/>
  <c r="H54" i="3" l="1"/>
  <c r="H41" i="3"/>
  <c r="H47" i="3"/>
  <c r="H44" i="3"/>
  <c r="H48" i="3"/>
  <c r="H53" i="3"/>
  <c r="H49" i="3"/>
  <c r="H24" i="3"/>
  <c r="H30" i="3"/>
  <c r="H31" i="3"/>
  <c r="H35" i="3"/>
  <c r="H34" i="3"/>
  <c r="H52" i="3"/>
  <c r="H40" i="3"/>
  <c r="H39" i="3"/>
  <c r="H58" i="3"/>
  <c r="H38" i="3"/>
  <c r="H23" i="3"/>
  <c r="H56" i="3"/>
  <c r="H57" i="3"/>
  <c r="H59" i="3"/>
  <c r="H26" i="3"/>
  <c r="H42" i="3"/>
  <c r="H28" i="3"/>
  <c r="H60" i="3"/>
  <c r="H37" i="3"/>
  <c r="H45" i="3"/>
  <c r="H43" i="3"/>
  <c r="H22" i="3"/>
  <c r="H46" i="3"/>
  <c r="H32" i="3"/>
  <c r="H21" i="3"/>
  <c r="H55" i="3"/>
  <c r="H33" i="3"/>
  <c r="H27" i="3"/>
  <c r="H29" i="3"/>
  <c r="H51" i="3"/>
  <c r="H25" i="3"/>
  <c r="H50" i="3"/>
  <c r="H36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1" i="1"/>
  <c r="D24" i="1" s="1"/>
  <c r="O23" i="1" l="1"/>
  <c r="P23" i="1"/>
  <c r="F21" i="1"/>
  <c r="F24" i="1" s="1"/>
  <c r="G21" i="1"/>
  <c r="G24" i="1" s="1"/>
  <c r="M21" i="1"/>
  <c r="M24" i="1" s="1"/>
  <c r="C21" i="1"/>
  <c r="C23" i="1" s="1"/>
  <c r="I21" i="1"/>
  <c r="I24" i="1" s="1"/>
  <c r="D23" i="1"/>
  <c r="L21" i="1"/>
  <c r="L24" i="1" s="1"/>
  <c r="J23" i="1"/>
  <c r="I23" i="1" l="1"/>
  <c r="C24" i="1"/>
  <c r="L23" i="1"/>
  <c r="G23" i="1"/>
  <c r="F23" i="1"/>
  <c r="M23" i="1"/>
  <c r="Q23" i="3" l="1"/>
  <c r="Q22" i="3"/>
  <c r="Q24" i="3"/>
  <c r="Q25" i="3"/>
  <c r="Q21" i="3"/>
  <c r="Q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<sst xmlns="http://schemas.openxmlformats.org/spreadsheetml/2006/main" count="705" uniqueCount="141">
  <si>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</si>
  <si>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</si>
  <si>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</si>
  <si>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</si>
  <si>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</si>
  <si>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</si>
  <si>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</si>
  <si>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</si>
  <si>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</si>
  <si>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</si>
  <si>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</si>
  <si>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</si>
  <si>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</si>
  <si>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</si>
  <si>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</si>
  <si>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</si>
  <si>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</si>
  <si>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</si>
  <si>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</si>
  <si>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</si>
  <si>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</si>
  <si>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</si>
  <si>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</si>
  <si>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</si>
  <si>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</si>
  <si>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</si>
  <si>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</si>
  <si>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</si>
  <si>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</si>
  <si>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</si>
  <si>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</si>
  <si>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</si>
  <si>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</si>
  <si>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</si>
  <si>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</si>
  <si>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</si>
  <si>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</si>
  <si>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</si>
  <si>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</si>
  <si>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</si>
  <si>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</si>
  <si>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</si>
  <si>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</si>
  <si>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</si>
  <si>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</si>
  <si>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</si>
  <si>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</si>
  <si>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</si>
  <si>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</si>
  <si>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</si>
  <si>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</si>
  <si>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</si>
  <si>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</si>
  <si>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</si>
  <si>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</si>
  <si>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</si>
  <si>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</si>
  <si>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</si>
  <si>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</si>
  <si>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</si>
  <si>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</si>
  <si>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</si>
  <si>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</si>
  <si>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</si>
  <si>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</si>
  <si>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</si>
  <si>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</si>
  <si>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</si>
  <si>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</si>
  <si>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</si>
  <si>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</si>
  <si>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</si>
  <si>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</si>
  <si>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</si>
  <si>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</si>
  <si>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</si>
  <si>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Изм</t>
  </si>
  <si>
    <t>СКО</t>
  </si>
  <si>
    <t>x сомнительное</t>
  </si>
  <si>
    <t>x сомнительное отличается от среднего в СКО</t>
  </si>
  <si>
    <t>В нашем случае одно значение из шести отклоняется на это значение.</t>
  </si>
  <si>
    <t>n - число ожидаемых результатов</t>
  </si>
  <si>
    <t>Критерий Шовене</t>
  </si>
  <si>
    <t>№</t>
  </si>
  <si>
    <t>Вероятность отклонения от СКО на такую же величину, что и x сомнительное состалвяет 4%</t>
  </si>
  <si>
    <t>Пример.</t>
  </si>
  <si>
    <t>Так как n&lt;0,5, то сомнительный результат должен быть исключен из выборки</t>
  </si>
  <si>
    <t>применяется для отбрасывания грубых погрешностей при нормальном распределении контролируемого параметра</t>
  </si>
  <si>
    <t>По критерию Шовене отбрасывают одно сомнительное значение.</t>
  </si>
  <si>
    <t>Вероятность получения значения, отклоняющегося от среднего значения выборки больше, чем сомнительное значение</t>
  </si>
  <si>
    <t>i</t>
  </si>
  <si>
    <t>X</t>
  </si>
  <si>
    <t>Для максимального значения</t>
  </si>
  <si>
    <t>Для минимального значения</t>
  </si>
  <si>
    <t xml:space="preserve">где </t>
  </si>
  <si>
    <t xml:space="preserve"> - интеграяльная функция нормального распределения вероятности случайной величины</t>
  </si>
  <si>
    <t>Критерий Шовене (ожидаемое число результатов, отклоняющихся от средного больше, чем сомнительное значение)</t>
  </si>
  <si>
    <t xml:space="preserve"> - объем выборки</t>
  </si>
  <si>
    <t xml:space="preserve">Сомнительное значение считается выбросом, если </t>
  </si>
  <si>
    <t>n</t>
  </si>
  <si>
    <t>x ср</t>
  </si>
  <si>
    <t>σ</t>
  </si>
  <si>
    <t>x макс</t>
  </si>
  <si>
    <t>x мин</t>
  </si>
  <si>
    <t>F(x)</t>
  </si>
  <si>
    <t>P</t>
  </si>
  <si>
    <t>K</t>
  </si>
  <si>
    <t>F(X)</t>
  </si>
  <si>
    <t xml:space="preserve"> - интегральная функция нормального распределения вероятности случайной величины</t>
  </si>
  <si>
    <t>Ожидаемое число результатов, отклоняющихся от среднего больше, чем сомнительное значение</t>
  </si>
  <si>
    <t>t макс</t>
  </si>
  <si>
    <t>t мин</t>
  </si>
  <si>
    <t>F(t макс)</t>
  </si>
  <si>
    <t>F(t мин)</t>
  </si>
  <si>
    <t>F(t)</t>
  </si>
  <si>
    <t>P прев</t>
  </si>
  <si>
    <t>K&lt;0,5?</t>
  </si>
  <si>
    <t>Рассчетный коэффициент Диксона</t>
  </si>
  <si>
    <t>для наименьшего выброса</t>
  </si>
  <si>
    <t>для наибольшего выброса</t>
  </si>
  <si>
    <t>Доверительная вероятность</t>
  </si>
  <si>
    <t>Обозначение коэффициента Диксона</t>
  </si>
  <si>
    <t>Критерий Диксона табличный</t>
  </si>
  <si>
    <t>Критерий Диксона расчётный</t>
  </si>
  <si>
    <t xml:space="preserve">Минимум вариационного ряда = </t>
  </si>
  <si>
    <t xml:space="preserve">Максимум вариационного ряда = </t>
  </si>
  <si>
    <t>r10</t>
  </si>
  <si>
    <t>Для минимума</t>
  </si>
  <si>
    <t>Для максимума</t>
  </si>
  <si>
    <t>r11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</si>
  <si>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10</t>
    </r>
  </si>
  <si>
    <t>r21</t>
  </si>
  <si>
    <t>Не ошибка</t>
  </si>
  <si>
    <t>Гр. ошибка</t>
  </si>
  <si>
    <t>r22</t>
  </si>
  <si>
    <t>r20</t>
  </si>
  <si>
    <t>x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</si>
  <si>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</si>
  <si>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20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</si>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</sst>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5" borderId="5" xfId="0" applyNumberFormat="1" applyFill="1" applyBorder="1"/>
    <xf numFmtId="0" fontId="8" fillId="0" borderId="0" xfId="0" applyFont="1"/>
    <xf numFmtId="0" fontId="12" fillId="7" borderId="19" xfId="0" applyFont="1" applyFill="1" applyBorder="1"/>
    <xf numFmtId="0" fontId="0" fillId="8" borderId="19" xfId="0" applyFont="1" applyFill="1" applyBorder="1"/>
    <xf numFmtId="0" fontId="0" fillId="0" borderId="19" xfId="0" applyFont="1" applyBorder="1"/>
    <xf numFmtId="0" fontId="0" fillId="0" borderId="20" xfId="0" applyFont="1" applyBorder="1"/>
    <xf numFmtId="167" fontId="0" fillId="9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13" fillId="0" borderId="0" xfId="0" applyFont="1"/>
    <xf numFmtId="0" fontId="4" fillId="10" borderId="1" xfId="0" applyFont="1" applyFill="1" applyBorder="1"/>
    <xf numFmtId="1" fontId="0" fillId="0" borderId="5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quotePrefix="1"/>
    <xf numFmtId="0" fontId="14" fillId="10" borderId="1" xfId="0" applyFont="1" applyFill="1" applyBorder="1"/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0" fontId="0" fillId="0" borderId="8" xfId="0" applyBorder="1"/>
    <xf numFmtId="1" fontId="0" fillId="0" borderId="6" xfId="0" applyNumberFormat="1" applyBorder="1"/>
    <xf numFmtId="0" fontId="0" fillId="0" borderId="6" xfId="0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4" fillId="10" borderId="5" xfId="0" applyFont="1" applyFill="1" applyBorder="1"/>
    <xf numFmtId="169" fontId="0" fillId="0" borderId="1" xfId="0" applyNumberFormat="1" applyBorder="1"/>
    <xf numFmtId="0" fontId="4" fillId="0" borderId="1" xfId="0" applyFont="1" applyBorder="1" applyAlignment="1">
      <alignment wrapText="1"/>
    </xf>
    <xf numFmtId="0" fontId="0" fillId="0" borderId="21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6" borderId="1" xfId="0" applyFill="1" applyBorder="1"/>
    <xf numFmtId="166" fontId="0" fillId="6" borderId="1" xfId="0" applyNumberFormat="1" applyFill="1" applyBorder="1"/>
    <xf numFmtId="166" fontId="0" fillId="0" borderId="26" xfId="0" applyNumberFormat="1" applyBorder="1" applyAlignment="1">
      <alignment horizontal="center" vertical="center" wrapText="1"/>
    </xf>
    <xf numFmtId="0" fontId="11" fillId="7" borderId="19" xfId="0" applyFont="1" applyFill="1" applyBorder="1"/>
    <xf numFmtId="0" fontId="11" fillId="7" borderId="28" xfId="0" applyFont="1" applyFill="1" applyBorder="1"/>
    <xf numFmtId="0" fontId="0" fillId="8" borderId="19" xfId="0" applyFill="1" applyBorder="1"/>
    <xf numFmtId="0" fontId="0" fillId="8" borderId="28" xfId="0" applyFill="1" applyBorder="1"/>
    <xf numFmtId="0" fontId="0" fillId="0" borderId="19" xfId="0" applyBorder="1"/>
    <xf numFmtId="0" fontId="0" fillId="0" borderId="28" xfId="0" applyBorder="1"/>
    <xf numFmtId="0" fontId="0" fillId="0" borderId="20" xfId="0" applyBorder="1"/>
    <xf numFmtId="0" fontId="0" fillId="0" borderId="29" xfId="0" applyBorder="1"/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D-4AA2-8C42-1CD028B3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96920"/>
        <c:axId val="178959408"/>
      </c:scatterChart>
      <c:valAx>
        <c:axId val="5389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59408"/>
        <c:crosses val="autoZero"/>
        <c:crossBetween val="midCat"/>
      </c:valAx>
      <c:valAx>
        <c:axId val="178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'Шовене (2)'!$C$6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xVal>
          <c:yVal>
            <c:numRef>
              <c:f>'Шовене (2)'!$C$7:$C$17</c:f>
              <c:numCache>
                <c:formatCode>0.000</c:formatCode>
                <c:ptCount val="11"/>
                <c:pt idx="0">
                  <c:v>0.10036116004689595</c:v>
                </c:pt>
                <c:pt idx="1">
                  <c:v>0.17494164123657599</c:v>
                </c:pt>
                <c:pt idx="2">
                  <c:v>0.24039621674010037</c:v>
                </c:pt>
                <c:pt idx="3">
                  <c:v>0.31730742320889715</c:v>
                </c:pt>
                <c:pt idx="4">
                  <c:v>0.38098258624311354</c:v>
                </c:pt>
                <c:pt idx="5">
                  <c:v>0.42543533552247342</c:v>
                </c:pt>
                <c:pt idx="6">
                  <c:v>0.49374990635563498</c:v>
                </c:pt>
                <c:pt idx="7">
                  <c:v>0.6070223483108601</c:v>
                </c:pt>
                <c:pt idx="8">
                  <c:v>0.67144505247639108</c:v>
                </c:pt>
                <c:pt idx="9">
                  <c:v>0.78482344603204046</c:v>
                </c:pt>
                <c:pt idx="10">
                  <c:v>0.99173723181997253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B-4E1A-81A2-4CB0D450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8448"/>
        <c:axId val="156980048"/>
      </c:scatterChart>
      <c:valAx>
        <c:axId val="1569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80048"/>
        <c:crosses val="autoZero"/>
        <c:crossBetween val="midCat"/>
      </c:valAx>
      <c:valAx>
        <c:axId val="156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Диксон!$B$9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Диксон!$B$10:$B$20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9-4396-8C7E-D9B2E7EE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8208"/>
        <c:axId val="566487568"/>
      </c:lineChart>
      <c:catAx>
        <c:axId val="5664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7568"/>
        <c:crosses val="autoZero"/>
        <c:auto val="1"/>
        <c:lblAlgn val="ctr"/>
        <c:lblOffset val="100"/>
        <c:noMultiLvlLbl val="0"/>
      </c:catAx>
      <c:valAx>
        <c:axId val="566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935690" cy="19050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935690" cy="1905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Русгидро, Роснефть, Сбербанк, Сургутнефтегаз за период с 01.09.2011 по 31.08.2020. Найдите на сайте </a:t>
          </a:r>
          <a:r>
            <a:rPr lang="en-US" sz="1200" baseline="0"/>
            <a:t>finam.ru </a:t>
          </a:r>
          <a:r>
            <a:rPr lang="ru-RU" sz="1200" baseline="0"/>
            <a:t>и добавьте данные о еженедельной цене акций Аэрофлота</a:t>
          </a:r>
          <a:r>
            <a:rPr lang="en-US" sz="1200" baseline="0"/>
            <a:t> (</a:t>
          </a:r>
          <a:r>
            <a:rPr lang="ru-RU" sz="1200" baseline="0"/>
            <a:t>столбцы даты, цены и объема) за тот же период.</a:t>
          </a:r>
        </a:p>
        <a:p>
          <a:r>
            <a:rPr lang="ru-RU" sz="1200" baseline="0"/>
            <a:t>2. Рассчитайте по каждому активу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межквартильное расстояние.</a:t>
          </a:r>
        </a:p>
        <a:p>
          <a:r>
            <a:rPr lang="ru-RU" sz="1200" baseline="0"/>
            <a:t>4. Определите верхнюю и нижнюю границу выброса.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  <xdr:twoCellAnchor editAs="oneCell">
    <xdr:from>
      <xdr:col>13</xdr:col>
      <xdr:colOff>292100</xdr:colOff>
      <xdr:row>27</xdr:row>
      <xdr:rowOff>101600</xdr:rowOff>
    </xdr:from>
    <xdr:to>
      <xdr:col>22</xdr:col>
      <xdr:colOff>46700</xdr:colOff>
      <xdr:row>44</xdr:row>
      <xdr:rowOff>49797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73BA491-F2BA-4C27-9944-5A01CED0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5822950"/>
          <a:ext cx="5444200" cy="30787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3981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852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287481</xdr:colOff>
      <xdr:row>16</xdr:row>
      <xdr:rowOff>10390</xdr:rowOff>
    </xdr:from>
    <xdr:ext cx="54976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3200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27111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025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39831</xdr:colOff>
      <xdr:row>16</xdr:row>
      <xdr:rowOff>10390</xdr:rowOff>
    </xdr:from>
    <xdr:ext cx="54976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2997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𝐹(𝑡)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6350</xdr:colOff>
      <xdr:row>9</xdr:row>
      <xdr:rowOff>44450</xdr:rowOff>
    </xdr:from>
    <xdr:ext cx="746358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𝑡=|𝑥_𝑐−𝑥 ̅ |/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431800</xdr:colOff>
      <xdr:row>3</xdr:row>
      <xdr:rowOff>12700</xdr:rowOff>
    </xdr:from>
    <xdr:to>
      <xdr:col>21</xdr:col>
      <xdr:colOff>127000</xdr:colOff>
      <xdr:row>17</xdr:row>
      <xdr:rowOff>177800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30CCA59-9B90-48FF-982B-EC5B53A6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22</xdr:row>
      <xdr:rowOff>158750</xdr:rowOff>
    </xdr:from>
    <xdr:to>
      <xdr:col>17</xdr:col>
      <xdr:colOff>476250</xdr:colOff>
      <xdr:row>37</xdr:row>
      <xdr:rowOff>139700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126945E-F31F-4647-99AF-67CA089F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9</xdr:row>
      <xdr:rowOff>15240</xdr:rowOff>
    </xdr:from>
    <xdr:to>
      <xdr:col>18</xdr:col>
      <xdr:colOff>53340</xdr:colOff>
      <xdr:row>24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3E480-7D10-4DF1-B9D5-ADBCF19E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14"/>
    <tableColumn id="2" xr3:uid="{D4767EFA-4664-4814-8BC5-7985F1E367E7}" uniqueName="2" name="&lt;DATE&gt;" queryTableFieldId="2" dataDxfId="13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12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11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10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9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6C159D-E3ED-407E-9EEF-47EF1DCFCBF6}" name="Таблица7" displayName="Таблица7" ref="A4:B10" totalsRowShown="0" tableBorderDxfId="1">
  <autoFilter ref="A4:B10" xr:uid="{276C159D-E3ED-407E-9EEF-47EF1DCFCBF6}"/>
  <tableColumns count="2">
    <tableColumn id="1" xr3:uid="{0B908070-287D-4E07-9F07-5C8D26063412}" name="№"/>
    <tableColumn id="2" xr3:uid="{ED9C94F9-56A4-422E-8FA4-61C22632B1F2}" name="Из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110" zoomScaleNormal="110" workbookViewId="0">
      <selection activeCell="A13" sqref="A13"/>
    </sheetView>
  </sheetViews>
  <sheetFormatPr defaultRowHeight="14.4" x14ac:dyDescent="0.3"/>
  <cols>
    <col min="1" max="1" width="8.44140625" bestFit="1" customWidth="1"/>
    <col min="2" max="2" width="10.109375" bestFit="1" customWidth="1"/>
    <col min="3" max="3" width="14.33203125" customWidth="1"/>
    <col min="4" max="4" width="14.44140625" customWidth="1"/>
    <col min="5" max="5" width="10.109375" bestFit="1" customWidth="1"/>
    <col min="6" max="6" width="15.33203125" customWidth="1"/>
    <col min="7" max="7" width="14.44140625" bestFit="1" customWidth="1"/>
    <col min="8" max="8" width="10.109375" bestFit="1" customWidth="1"/>
    <col min="9" max="9" width="15.88671875" bestFit="1" customWidth="1"/>
    <col min="10" max="10" width="13.88671875" bestFit="1" customWidth="1"/>
    <col min="11" max="11" width="10.109375" bestFit="1" customWidth="1"/>
    <col min="12" max="12" width="16.33203125" bestFit="1" customWidth="1"/>
    <col min="13" max="13" width="14.33203125" bestFit="1" customWidth="1"/>
    <col min="14" max="14" width="10.109375" bestFit="1" customWidth="1"/>
    <col min="15" max="15" width="15.6640625" bestFit="1" customWidth="1"/>
    <col min="16" max="16" width="13.6640625" bestFit="1" customWidth="1"/>
    <col min="17" max="17" width="10.88671875" customWidth="1"/>
    <col min="39" max="42" width="9.33203125" customWidth="1"/>
    <col min="44" max="44" width="11.44140625" customWidth="1"/>
    <col min="46" max="46" width="10.6640625" customWidth="1"/>
  </cols>
  <sheetData>
    <row r="1" spans="1:17" ht="18" x14ac:dyDescent="0.35">
      <c r="A1" s="3" t="s">
        <v>58</v>
      </c>
    </row>
    <row r="2" spans="1:17" ht="14.4" customHeight="1" x14ac:dyDescent="0.3">
      <c r="A2" s="7"/>
    </row>
    <row r="3" spans="1:17" ht="14.4" customHeight="1" x14ac:dyDescent="0.3">
      <c r="A3" s="7"/>
    </row>
    <row r="4" spans="1:17" ht="14.4" customHeight="1" x14ac:dyDescent="0.3">
      <c r="A4" s="7"/>
    </row>
    <row r="5" spans="1:17" ht="14.4" customHeight="1" x14ac:dyDescent="0.3">
      <c r="A5" s="7"/>
    </row>
    <row r="6" spans="1:17" ht="14.4" customHeight="1" x14ac:dyDescent="0.3">
      <c r="A6" s="7"/>
    </row>
    <row r="7" spans="1:17" ht="14.4" customHeight="1" x14ac:dyDescent="0.3">
      <c r="A7" s="7"/>
    </row>
    <row r="8" spans="1:17" ht="14.4" customHeight="1" x14ac:dyDescent="0.3">
      <c r="A8" s="7"/>
    </row>
    <row r="9" spans="1:17" ht="14.4" customHeight="1" x14ac:dyDescent="0.3">
      <c r="A9" s="7"/>
    </row>
    <row r="10" spans="1:17" ht="14.4" customHeight="1" x14ac:dyDescent="0.3">
      <c r="A10" s="7"/>
    </row>
    <row r="11" spans="1:17" ht="14.4" customHeight="1" x14ac:dyDescent="0.3">
      <c r="A11" s="7"/>
    </row>
    <row r="12" spans="1:17" ht="14.4" customHeight="1" x14ac:dyDescent="0.3">
      <c r="A12" s="7"/>
    </row>
    <row r="13" spans="1:17" x14ac:dyDescent="0.3">
      <c r="A13" s="7"/>
    </row>
    <row r="14" spans="1:17" x14ac:dyDescent="0.3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</row>
    <row r="15" spans="1:17" x14ac:dyDescent="0.3">
      <c r="B15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f>MAX(P27:P495)</f>
        <v>0</v>
      </c>
    </row>
    <row r="16" spans="1:17" x14ac:dyDescent="0.3">
      <c r="B16">
        <v>3</v>
      </c>
      <c r="D16" s="10"/>
      <c r="G16" s="10"/>
      <c r="J16" s="10"/>
      <c r="Q16" s="8"/>
    </row>
    <row r="17" spans="1:48" x14ac:dyDescent="0.3">
      <c r="B17">
        <v>2</v>
      </c>
      <c r="D17" s="10"/>
      <c r="G17" s="10"/>
      <c r="J17" s="10"/>
      <c r="Q17" s="8" t="e">
        <f>MEDIAN(P27:P495)</f>
        <v>#NUM!</v>
      </c>
    </row>
    <row r="18" spans="1:48" x14ac:dyDescent="0.3">
      <c r="B18">
        <v>1</v>
      </c>
      <c r="D18" s="10"/>
      <c r="G18" s="10"/>
      <c r="J18" s="10"/>
      <c r="Q18" s="8"/>
    </row>
    <row r="19" spans="1:48" x14ac:dyDescent="0.3">
      <c r="B19">
        <v>0</v>
      </c>
      <c r="C19" s="15"/>
      <c r="D19" s="10"/>
      <c r="F19" s="10"/>
      <c r="G19" s="10"/>
      <c r="I19" s="12"/>
      <c r="J19" s="10"/>
      <c r="L19" s="12"/>
      <c r="M19" s="10"/>
      <c r="O19" s="12"/>
      <c r="P19" s="10"/>
      <c r="Q19" s="8">
        <f>MIN(P27:P495)</f>
        <v>0</v>
      </c>
    </row>
    <row r="20" spans="1:48" x14ac:dyDescent="0.3">
      <c r="D20" s="10"/>
      <c r="G20" s="10"/>
      <c r="Q20" s="8"/>
    </row>
    <row r="21" spans="1:48" x14ac:dyDescent="0.3">
      <c r="A21" s="4" t="s">
        <v>3</v>
      </c>
      <c r="C21">
        <f>C16-C18</f>
        <v>0</v>
      </c>
      <c r="D21" s="10">
        <f>D16-D18</f>
        <v>0</v>
      </c>
      <c r="F21">
        <f>F16-F18</f>
        <v>0</v>
      </c>
      <c r="G21" s="10">
        <f>G16-G18</f>
        <v>0</v>
      </c>
      <c r="I21">
        <f>I16-I18</f>
        <v>0</v>
      </c>
      <c r="J21" s="10">
        <f>J16-J18</f>
        <v>0</v>
      </c>
      <c r="L21">
        <f>L16-L18</f>
        <v>0</v>
      </c>
      <c r="M21">
        <f>M16-M18</f>
        <v>0</v>
      </c>
      <c r="O21">
        <f>O16-O18</f>
        <v>0</v>
      </c>
      <c r="P21">
        <f>P16-P18</f>
        <v>0</v>
      </c>
    </row>
    <row r="23" spans="1:48" x14ac:dyDescent="0.3">
      <c r="A23" s="4" t="s">
        <v>16</v>
      </c>
      <c r="C23" s="13">
        <f>C16+1.5*C21</f>
        <v>0</v>
      </c>
      <c r="D23" s="10">
        <f>D16+1.5*D21</f>
        <v>0</v>
      </c>
      <c r="F23">
        <f>F16+1.5*F21</f>
        <v>0</v>
      </c>
      <c r="G23" s="14">
        <f>G16+1.5*G21</f>
        <v>0</v>
      </c>
      <c r="I23">
        <f>I16+1.5*I21</f>
        <v>0</v>
      </c>
      <c r="J23" s="14">
        <f>J16+1.5*J21</f>
        <v>0</v>
      </c>
      <c r="L23">
        <f>L16+1.5*L21</f>
        <v>0</v>
      </c>
      <c r="M23" s="10">
        <f>M16+1.5*M21</f>
        <v>0</v>
      </c>
      <c r="O23">
        <f>O16+1.5*O21</f>
        <v>0</v>
      </c>
      <c r="P23" s="10">
        <f>P16+1.5*P21</f>
        <v>0</v>
      </c>
      <c r="R23" t="s">
        <v>24</v>
      </c>
    </row>
    <row r="24" spans="1:48" x14ac:dyDescent="0.3">
      <c r="A24" s="4" t="s">
        <v>15</v>
      </c>
      <c r="C24">
        <f>C18-1.5*C21</f>
        <v>0</v>
      </c>
      <c r="D24" s="10">
        <f>D18-1.5*D21</f>
        <v>0</v>
      </c>
      <c r="F24">
        <f>F18-1.5*F21</f>
        <v>0</v>
      </c>
      <c r="G24" s="10">
        <f>G18-1.5*G21</f>
        <v>0</v>
      </c>
      <c r="I24">
        <f>I18-1.5*I21</f>
        <v>0</v>
      </c>
      <c r="J24">
        <f>J18-1.5*J21</f>
        <v>0</v>
      </c>
      <c r="L24">
        <f>L18-1.5*L21</f>
        <v>0</v>
      </c>
      <c r="M24">
        <f>M18-1.5*M21</f>
        <v>0</v>
      </c>
      <c r="O24">
        <f>O18-1.5*O21</f>
        <v>0</v>
      </c>
      <c r="P24" s="10">
        <f>P18-1.5*P21</f>
        <v>0</v>
      </c>
      <c r="R24" s="108" t="s">
        <v>21</v>
      </c>
      <c r="S24" s="109"/>
      <c r="T24" s="109"/>
      <c r="U24" s="110"/>
      <c r="V24" s="108" t="s">
        <v>25</v>
      </c>
      <c r="W24" s="109"/>
      <c r="X24" s="109"/>
      <c r="Y24" s="110"/>
      <c r="Z24" s="108" t="s">
        <v>26</v>
      </c>
      <c r="AA24" s="109"/>
      <c r="AB24" s="109"/>
      <c r="AC24" s="110"/>
      <c r="AD24" s="108" t="s">
        <v>27</v>
      </c>
      <c r="AE24" s="109"/>
      <c r="AF24" s="109"/>
      <c r="AG24" s="110"/>
      <c r="AH24" s="108" t="s">
        <v>28</v>
      </c>
      <c r="AI24" s="109"/>
      <c r="AJ24" s="109"/>
      <c r="AK24" s="110"/>
      <c r="AM24" s="9" t="s">
        <v>31</v>
      </c>
    </row>
    <row r="25" spans="1:48" x14ac:dyDescent="0.3">
      <c r="D25" s="6"/>
      <c r="R25" s="106" t="s">
        <v>30</v>
      </c>
      <c r="S25" s="107"/>
      <c r="T25" s="106" t="s">
        <v>29</v>
      </c>
      <c r="U25" s="107"/>
      <c r="V25" s="106" t="s">
        <v>30</v>
      </c>
      <c r="W25" s="107"/>
      <c r="X25" s="106" t="s">
        <v>29</v>
      </c>
      <c r="Y25" s="107"/>
      <c r="Z25" s="106" t="s">
        <v>30</v>
      </c>
      <c r="AA25" s="107"/>
      <c r="AB25" s="106" t="s">
        <v>29</v>
      </c>
      <c r="AC25" s="107"/>
      <c r="AD25" s="106" t="s">
        <v>30</v>
      </c>
      <c r="AE25" s="107"/>
      <c r="AF25" s="106" t="s">
        <v>29</v>
      </c>
      <c r="AG25" s="107"/>
      <c r="AH25" s="106" t="s">
        <v>30</v>
      </c>
      <c r="AI25" s="107"/>
      <c r="AJ25" s="106" t="s">
        <v>29</v>
      </c>
      <c r="AK25" s="107"/>
      <c r="AM25" s="105" t="s">
        <v>21</v>
      </c>
      <c r="AN25" s="105"/>
      <c r="AO25" s="105" t="s">
        <v>25</v>
      </c>
      <c r="AP25" s="105"/>
      <c r="AQ25" s="105" t="s">
        <v>32</v>
      </c>
      <c r="AR25" s="105"/>
      <c r="AS25" s="105" t="s">
        <v>33</v>
      </c>
      <c r="AT25" s="105"/>
      <c r="AU25" s="105" t="s">
        <v>28</v>
      </c>
      <c r="AV25" s="105"/>
    </row>
    <row r="26" spans="1:48" x14ac:dyDescent="0.3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11" t="s">
        <v>22</v>
      </c>
      <c r="S26" s="11" t="s">
        <v>23</v>
      </c>
      <c r="T26" s="11" t="s">
        <v>22</v>
      </c>
      <c r="U26" s="11" t="s">
        <v>23</v>
      </c>
      <c r="V26" s="11" t="s">
        <v>22</v>
      </c>
      <c r="W26" s="11" t="s">
        <v>23</v>
      </c>
      <c r="X26" s="11" t="s">
        <v>22</v>
      </c>
      <c r="Y26" s="11" t="s">
        <v>23</v>
      </c>
      <c r="Z26" s="11" t="s">
        <v>22</v>
      </c>
      <c r="AA26" s="11" t="s">
        <v>23</v>
      </c>
      <c r="AB26" s="11" t="s">
        <v>22</v>
      </c>
      <c r="AC26" s="11" t="s">
        <v>23</v>
      </c>
      <c r="AD26" s="11" t="s">
        <v>22</v>
      </c>
      <c r="AE26" s="11" t="s">
        <v>23</v>
      </c>
      <c r="AF26" s="11" t="s">
        <v>22</v>
      </c>
      <c r="AG26" s="11" t="s">
        <v>23</v>
      </c>
      <c r="AH26" s="11" t="s">
        <v>22</v>
      </c>
      <c r="AI26" s="11" t="s">
        <v>23</v>
      </c>
      <c r="AJ26" s="11" t="s">
        <v>22</v>
      </c>
      <c r="AK26" s="11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3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</row>
    <row r="28" spans="1:48" x14ac:dyDescent="0.3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</row>
    <row r="29" spans="1:48" x14ac:dyDescent="0.3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</row>
    <row r="30" spans="1:48" x14ac:dyDescent="0.3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</row>
    <row r="31" spans="1:48" x14ac:dyDescent="0.3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</row>
    <row r="32" spans="1:48" x14ac:dyDescent="0.3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</row>
    <row r="33" spans="1:14" x14ac:dyDescent="0.3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</row>
    <row r="34" spans="1:14" x14ac:dyDescent="0.3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</row>
    <row r="35" spans="1:14" x14ac:dyDescent="0.3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</row>
    <row r="36" spans="1:14" x14ac:dyDescent="0.3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</row>
    <row r="37" spans="1:14" x14ac:dyDescent="0.3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</row>
    <row r="38" spans="1:14" x14ac:dyDescent="0.3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</row>
    <row r="39" spans="1:14" x14ac:dyDescent="0.3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</row>
    <row r="40" spans="1:14" x14ac:dyDescent="0.3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</row>
    <row r="41" spans="1:14" x14ac:dyDescent="0.3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</row>
    <row r="42" spans="1:14" x14ac:dyDescent="0.3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</row>
    <row r="43" spans="1:14" x14ac:dyDescent="0.3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</row>
    <row r="44" spans="1:14" x14ac:dyDescent="0.3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</row>
    <row r="45" spans="1:14" x14ac:dyDescent="0.3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</row>
    <row r="46" spans="1:14" x14ac:dyDescent="0.3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</row>
    <row r="47" spans="1:14" x14ac:dyDescent="0.3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</row>
    <row r="48" spans="1:14" x14ac:dyDescent="0.3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</row>
    <row r="49" spans="1:14" x14ac:dyDescent="0.3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</row>
    <row r="50" spans="1:14" x14ac:dyDescent="0.3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</row>
    <row r="51" spans="1:14" x14ac:dyDescent="0.3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</row>
    <row r="52" spans="1:14" x14ac:dyDescent="0.3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</row>
    <row r="53" spans="1:14" x14ac:dyDescent="0.3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</row>
    <row r="54" spans="1:14" x14ac:dyDescent="0.3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</row>
    <row r="55" spans="1:14" x14ac:dyDescent="0.3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</row>
    <row r="56" spans="1:14" x14ac:dyDescent="0.3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</row>
    <row r="57" spans="1:14" x14ac:dyDescent="0.3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</row>
    <row r="58" spans="1:14" x14ac:dyDescent="0.3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</row>
    <row r="59" spans="1:14" x14ac:dyDescent="0.3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</row>
    <row r="60" spans="1:14" x14ac:dyDescent="0.3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</row>
    <row r="61" spans="1:14" x14ac:dyDescent="0.3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</row>
    <row r="62" spans="1:14" x14ac:dyDescent="0.3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</row>
    <row r="63" spans="1:14" x14ac:dyDescent="0.3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</row>
    <row r="64" spans="1:14" x14ac:dyDescent="0.3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</row>
    <row r="65" spans="1:14" x14ac:dyDescent="0.3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</row>
    <row r="66" spans="1:14" x14ac:dyDescent="0.3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</row>
    <row r="67" spans="1:14" x14ac:dyDescent="0.3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</row>
    <row r="68" spans="1:14" x14ac:dyDescent="0.3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</row>
    <row r="69" spans="1:14" x14ac:dyDescent="0.3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</row>
    <row r="70" spans="1:14" x14ac:dyDescent="0.3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</row>
    <row r="71" spans="1:14" x14ac:dyDescent="0.3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</row>
    <row r="72" spans="1:14" x14ac:dyDescent="0.3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</row>
    <row r="73" spans="1:14" x14ac:dyDescent="0.3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</row>
    <row r="74" spans="1:14" x14ac:dyDescent="0.3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</row>
    <row r="75" spans="1:14" x14ac:dyDescent="0.3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</row>
    <row r="76" spans="1:14" x14ac:dyDescent="0.3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</row>
    <row r="77" spans="1:14" x14ac:dyDescent="0.3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</row>
    <row r="78" spans="1:14" x14ac:dyDescent="0.3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</row>
    <row r="79" spans="1:14" x14ac:dyDescent="0.3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</row>
    <row r="80" spans="1:14" x14ac:dyDescent="0.3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</row>
    <row r="81" spans="1:14" x14ac:dyDescent="0.3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</row>
    <row r="82" spans="1:14" x14ac:dyDescent="0.3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</row>
    <row r="83" spans="1:14" x14ac:dyDescent="0.3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</row>
    <row r="84" spans="1:14" x14ac:dyDescent="0.3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</row>
    <row r="85" spans="1:14" x14ac:dyDescent="0.3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</row>
    <row r="86" spans="1:14" x14ac:dyDescent="0.3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</row>
    <row r="87" spans="1:14" x14ac:dyDescent="0.3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</row>
    <row r="88" spans="1:14" x14ac:dyDescent="0.3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</row>
    <row r="89" spans="1:14" x14ac:dyDescent="0.3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</row>
    <row r="90" spans="1:14" x14ac:dyDescent="0.3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</row>
    <row r="91" spans="1:14" x14ac:dyDescent="0.3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</row>
    <row r="92" spans="1:14" x14ac:dyDescent="0.3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</row>
    <row r="93" spans="1:14" x14ac:dyDescent="0.3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</row>
    <row r="94" spans="1:14" x14ac:dyDescent="0.3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</row>
    <row r="95" spans="1:14" x14ac:dyDescent="0.3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</row>
    <row r="96" spans="1:14" x14ac:dyDescent="0.3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</row>
    <row r="97" spans="1:14" x14ac:dyDescent="0.3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</row>
    <row r="98" spans="1:14" x14ac:dyDescent="0.3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</row>
    <row r="99" spans="1:14" x14ac:dyDescent="0.3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</row>
    <row r="100" spans="1:14" x14ac:dyDescent="0.3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</row>
    <row r="101" spans="1:14" x14ac:dyDescent="0.3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</row>
    <row r="102" spans="1:14" x14ac:dyDescent="0.3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</row>
    <row r="103" spans="1:14" x14ac:dyDescent="0.3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</row>
    <row r="104" spans="1:14" x14ac:dyDescent="0.3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</row>
    <row r="105" spans="1:14" x14ac:dyDescent="0.3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</row>
    <row r="106" spans="1:14" x14ac:dyDescent="0.3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</row>
    <row r="107" spans="1:14" x14ac:dyDescent="0.3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</row>
    <row r="108" spans="1:14" x14ac:dyDescent="0.3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</row>
    <row r="109" spans="1:14" x14ac:dyDescent="0.3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</row>
    <row r="110" spans="1:14" x14ac:dyDescent="0.3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</row>
    <row r="111" spans="1:14" x14ac:dyDescent="0.3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</row>
    <row r="112" spans="1:14" x14ac:dyDescent="0.3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</row>
    <row r="113" spans="1:14" x14ac:dyDescent="0.3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</row>
    <row r="114" spans="1:14" x14ac:dyDescent="0.3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</row>
    <row r="115" spans="1:14" x14ac:dyDescent="0.3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</row>
    <row r="116" spans="1:14" x14ac:dyDescent="0.3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</row>
    <row r="117" spans="1:14" x14ac:dyDescent="0.3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</row>
    <row r="118" spans="1:14" x14ac:dyDescent="0.3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</row>
    <row r="119" spans="1:14" x14ac:dyDescent="0.3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</row>
    <row r="120" spans="1:14" x14ac:dyDescent="0.3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</row>
    <row r="121" spans="1:14" x14ac:dyDescent="0.3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</row>
    <row r="122" spans="1:14" x14ac:dyDescent="0.3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</row>
    <row r="123" spans="1:14" x14ac:dyDescent="0.3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</row>
    <row r="124" spans="1:14" x14ac:dyDescent="0.3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</row>
    <row r="125" spans="1:14" x14ac:dyDescent="0.3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</row>
    <row r="126" spans="1:14" x14ac:dyDescent="0.3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</row>
    <row r="127" spans="1:14" x14ac:dyDescent="0.3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</row>
    <row r="128" spans="1:14" x14ac:dyDescent="0.3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</row>
    <row r="129" spans="1:14" x14ac:dyDescent="0.3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</row>
    <row r="130" spans="1:14" x14ac:dyDescent="0.3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</row>
    <row r="131" spans="1:14" x14ac:dyDescent="0.3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</row>
    <row r="132" spans="1:14" x14ac:dyDescent="0.3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</row>
    <row r="133" spans="1:14" x14ac:dyDescent="0.3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</row>
    <row r="134" spans="1:14" x14ac:dyDescent="0.3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</row>
    <row r="135" spans="1:14" x14ac:dyDescent="0.3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</row>
    <row r="136" spans="1:14" x14ac:dyDescent="0.3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</row>
    <row r="137" spans="1:14" x14ac:dyDescent="0.3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</row>
    <row r="138" spans="1:14" x14ac:dyDescent="0.3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</row>
    <row r="139" spans="1:14" x14ac:dyDescent="0.3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</row>
    <row r="140" spans="1:14" x14ac:dyDescent="0.3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</row>
    <row r="141" spans="1:14" x14ac:dyDescent="0.3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</row>
    <row r="142" spans="1:14" x14ac:dyDescent="0.3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</row>
    <row r="143" spans="1:14" x14ac:dyDescent="0.3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</row>
    <row r="144" spans="1:14" x14ac:dyDescent="0.3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</row>
    <row r="145" spans="1:14" x14ac:dyDescent="0.3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</row>
    <row r="146" spans="1:14" x14ac:dyDescent="0.3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</row>
    <row r="147" spans="1:14" x14ac:dyDescent="0.3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</row>
    <row r="148" spans="1:14" x14ac:dyDescent="0.3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</row>
    <row r="149" spans="1:14" x14ac:dyDescent="0.3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</row>
    <row r="150" spans="1:14" x14ac:dyDescent="0.3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</row>
    <row r="151" spans="1:14" x14ac:dyDescent="0.3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</row>
    <row r="152" spans="1:14" x14ac:dyDescent="0.3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</row>
    <row r="153" spans="1:14" x14ac:dyDescent="0.3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</row>
    <row r="154" spans="1:14" x14ac:dyDescent="0.3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</row>
    <row r="155" spans="1:14" x14ac:dyDescent="0.3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</row>
    <row r="156" spans="1:14" x14ac:dyDescent="0.3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</row>
    <row r="157" spans="1:14" x14ac:dyDescent="0.3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</row>
    <row r="158" spans="1:14" x14ac:dyDescent="0.3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</row>
    <row r="159" spans="1:14" x14ac:dyDescent="0.3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</row>
    <row r="160" spans="1:14" x14ac:dyDescent="0.3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</row>
    <row r="161" spans="1:14" x14ac:dyDescent="0.3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</row>
    <row r="162" spans="1:14" x14ac:dyDescent="0.3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</row>
    <row r="163" spans="1:14" x14ac:dyDescent="0.3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</row>
    <row r="164" spans="1:14" x14ac:dyDescent="0.3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</row>
    <row r="165" spans="1:14" x14ac:dyDescent="0.3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</row>
    <row r="166" spans="1:14" x14ac:dyDescent="0.3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</row>
    <row r="167" spans="1:14" x14ac:dyDescent="0.3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</row>
    <row r="168" spans="1:14" x14ac:dyDescent="0.3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</row>
    <row r="169" spans="1:14" x14ac:dyDescent="0.3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</row>
    <row r="170" spans="1:14" x14ac:dyDescent="0.3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</row>
    <row r="171" spans="1:14" x14ac:dyDescent="0.3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</row>
    <row r="172" spans="1:14" x14ac:dyDescent="0.3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</row>
    <row r="173" spans="1:14" x14ac:dyDescent="0.3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</row>
    <row r="174" spans="1:14" x14ac:dyDescent="0.3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</row>
    <row r="175" spans="1:14" x14ac:dyDescent="0.3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</row>
    <row r="176" spans="1:14" x14ac:dyDescent="0.3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</row>
    <row r="177" spans="1:14" x14ac:dyDescent="0.3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</row>
    <row r="178" spans="1:14" x14ac:dyDescent="0.3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</row>
    <row r="179" spans="1:14" x14ac:dyDescent="0.3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</row>
    <row r="180" spans="1:14" x14ac:dyDescent="0.3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</row>
    <row r="181" spans="1:14" x14ac:dyDescent="0.3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</row>
    <row r="182" spans="1:14" x14ac:dyDescent="0.3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</row>
    <row r="183" spans="1:14" x14ac:dyDescent="0.3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</row>
    <row r="184" spans="1:14" x14ac:dyDescent="0.3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</row>
    <row r="185" spans="1:14" x14ac:dyDescent="0.3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</row>
    <row r="186" spans="1:14" x14ac:dyDescent="0.3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</row>
    <row r="187" spans="1:14" x14ac:dyDescent="0.3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</row>
    <row r="188" spans="1:14" x14ac:dyDescent="0.3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</row>
    <row r="189" spans="1:14" x14ac:dyDescent="0.3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</row>
    <row r="190" spans="1:14" x14ac:dyDescent="0.3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</row>
    <row r="191" spans="1:14" x14ac:dyDescent="0.3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</row>
    <row r="192" spans="1:14" x14ac:dyDescent="0.3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</row>
    <row r="193" spans="1:14" x14ac:dyDescent="0.3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</row>
    <row r="194" spans="1:14" x14ac:dyDescent="0.3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</row>
    <row r="195" spans="1:14" x14ac:dyDescent="0.3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</row>
    <row r="196" spans="1:14" x14ac:dyDescent="0.3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</row>
    <row r="197" spans="1:14" x14ac:dyDescent="0.3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</row>
    <row r="198" spans="1:14" x14ac:dyDescent="0.3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</row>
    <row r="199" spans="1:14" x14ac:dyDescent="0.3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</row>
    <row r="200" spans="1:14" x14ac:dyDescent="0.3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</row>
    <row r="201" spans="1:14" x14ac:dyDescent="0.3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</row>
    <row r="202" spans="1:14" x14ac:dyDescent="0.3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</row>
    <row r="203" spans="1:14" x14ac:dyDescent="0.3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</row>
    <row r="204" spans="1:14" x14ac:dyDescent="0.3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</row>
    <row r="205" spans="1:14" x14ac:dyDescent="0.3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</row>
    <row r="206" spans="1:14" x14ac:dyDescent="0.3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</row>
    <row r="207" spans="1:14" x14ac:dyDescent="0.3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</row>
    <row r="208" spans="1:14" x14ac:dyDescent="0.3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</row>
    <row r="209" spans="1:14" x14ac:dyDescent="0.3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</row>
    <row r="210" spans="1:14" x14ac:dyDescent="0.3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</row>
    <row r="211" spans="1:14" x14ac:dyDescent="0.3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</row>
    <row r="212" spans="1:14" x14ac:dyDescent="0.3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</row>
    <row r="213" spans="1:14" x14ac:dyDescent="0.3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</row>
    <row r="214" spans="1:14" x14ac:dyDescent="0.3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</row>
    <row r="215" spans="1:14" x14ac:dyDescent="0.3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</row>
    <row r="216" spans="1:14" x14ac:dyDescent="0.3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</row>
    <row r="217" spans="1:14" x14ac:dyDescent="0.3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</row>
    <row r="218" spans="1:14" x14ac:dyDescent="0.3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</row>
    <row r="219" spans="1:14" x14ac:dyDescent="0.3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</row>
    <row r="220" spans="1:14" x14ac:dyDescent="0.3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</row>
    <row r="221" spans="1:14" x14ac:dyDescent="0.3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</row>
    <row r="222" spans="1:14" x14ac:dyDescent="0.3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</row>
    <row r="223" spans="1:14" x14ac:dyDescent="0.3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</row>
    <row r="224" spans="1:14" x14ac:dyDescent="0.3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</row>
    <row r="225" spans="1:14" x14ac:dyDescent="0.3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</row>
    <row r="226" spans="1:14" x14ac:dyDescent="0.3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</row>
    <row r="227" spans="1:14" x14ac:dyDescent="0.3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</row>
    <row r="228" spans="1:14" x14ac:dyDescent="0.3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</row>
    <row r="229" spans="1:14" x14ac:dyDescent="0.3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</row>
    <row r="230" spans="1:14" x14ac:dyDescent="0.3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</row>
    <row r="231" spans="1:14" x14ac:dyDescent="0.3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</row>
    <row r="232" spans="1:14" x14ac:dyDescent="0.3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</row>
    <row r="233" spans="1:14" x14ac:dyDescent="0.3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</row>
    <row r="234" spans="1:14" x14ac:dyDescent="0.3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</row>
    <row r="235" spans="1:14" x14ac:dyDescent="0.3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</row>
    <row r="236" spans="1:14" x14ac:dyDescent="0.3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</row>
    <row r="237" spans="1:14" x14ac:dyDescent="0.3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</row>
    <row r="238" spans="1:14" x14ac:dyDescent="0.3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</row>
    <row r="239" spans="1:14" x14ac:dyDescent="0.3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</row>
    <row r="240" spans="1:14" x14ac:dyDescent="0.3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</row>
    <row r="241" spans="1:14" x14ac:dyDescent="0.3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</row>
    <row r="242" spans="1:14" x14ac:dyDescent="0.3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</row>
    <row r="243" spans="1:14" x14ac:dyDescent="0.3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</row>
    <row r="244" spans="1:14" x14ac:dyDescent="0.3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</row>
    <row r="245" spans="1:14" x14ac:dyDescent="0.3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</row>
    <row r="246" spans="1:14" x14ac:dyDescent="0.3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</row>
    <row r="247" spans="1:14" x14ac:dyDescent="0.3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</row>
    <row r="248" spans="1:14" x14ac:dyDescent="0.3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</row>
    <row r="249" spans="1:14" x14ac:dyDescent="0.3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</row>
    <row r="250" spans="1:14" x14ac:dyDescent="0.3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</row>
    <row r="251" spans="1:14" x14ac:dyDescent="0.3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</row>
    <row r="252" spans="1:14" x14ac:dyDescent="0.3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</row>
    <row r="253" spans="1:14" x14ac:dyDescent="0.3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</row>
    <row r="254" spans="1:14" x14ac:dyDescent="0.3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</row>
    <row r="255" spans="1:14" x14ac:dyDescent="0.3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</row>
    <row r="256" spans="1:14" x14ac:dyDescent="0.3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</row>
    <row r="257" spans="1:14" x14ac:dyDescent="0.3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</row>
    <row r="258" spans="1:14" x14ac:dyDescent="0.3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</row>
    <row r="259" spans="1:14" x14ac:dyDescent="0.3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</row>
    <row r="260" spans="1:14" x14ac:dyDescent="0.3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</row>
    <row r="261" spans="1:14" x14ac:dyDescent="0.3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</row>
    <row r="262" spans="1:14" x14ac:dyDescent="0.3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</row>
    <row r="263" spans="1:14" x14ac:dyDescent="0.3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</row>
    <row r="264" spans="1:14" x14ac:dyDescent="0.3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</row>
    <row r="265" spans="1:14" x14ac:dyDescent="0.3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</row>
    <row r="266" spans="1:14" x14ac:dyDescent="0.3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</row>
    <row r="267" spans="1:14" x14ac:dyDescent="0.3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</row>
    <row r="268" spans="1:14" x14ac:dyDescent="0.3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</row>
    <row r="269" spans="1:14" x14ac:dyDescent="0.3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</row>
    <row r="270" spans="1:14" x14ac:dyDescent="0.3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</row>
    <row r="271" spans="1:14" x14ac:dyDescent="0.3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</row>
    <row r="272" spans="1:14" x14ac:dyDescent="0.3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</row>
    <row r="273" spans="1:14" x14ac:dyDescent="0.3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</row>
    <row r="274" spans="1:14" x14ac:dyDescent="0.3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</row>
    <row r="275" spans="1:14" x14ac:dyDescent="0.3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</row>
    <row r="276" spans="1:14" x14ac:dyDescent="0.3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</row>
    <row r="277" spans="1:14" x14ac:dyDescent="0.3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</row>
    <row r="278" spans="1:14" x14ac:dyDescent="0.3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</row>
    <row r="279" spans="1:14" x14ac:dyDescent="0.3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</row>
    <row r="280" spans="1:14" x14ac:dyDescent="0.3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</row>
    <row r="281" spans="1:14" x14ac:dyDescent="0.3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</row>
    <row r="282" spans="1:14" x14ac:dyDescent="0.3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</row>
    <row r="283" spans="1:14" x14ac:dyDescent="0.3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</row>
    <row r="284" spans="1:14" x14ac:dyDescent="0.3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</row>
    <row r="285" spans="1:14" x14ac:dyDescent="0.3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</row>
    <row r="286" spans="1:14" x14ac:dyDescent="0.3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</row>
    <row r="287" spans="1:14" x14ac:dyDescent="0.3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</row>
    <row r="288" spans="1:14" x14ac:dyDescent="0.3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</row>
    <row r="289" spans="1:14" x14ac:dyDescent="0.3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</row>
    <row r="290" spans="1:14" x14ac:dyDescent="0.3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</row>
    <row r="291" spans="1:14" x14ac:dyDescent="0.3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</row>
    <row r="292" spans="1:14" x14ac:dyDescent="0.3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</row>
    <row r="293" spans="1:14" x14ac:dyDescent="0.3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</row>
    <row r="294" spans="1:14" x14ac:dyDescent="0.3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</row>
    <row r="295" spans="1:14" x14ac:dyDescent="0.3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</row>
    <row r="296" spans="1:14" x14ac:dyDescent="0.3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</row>
    <row r="297" spans="1:14" x14ac:dyDescent="0.3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</row>
    <row r="298" spans="1:14" x14ac:dyDescent="0.3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</row>
    <row r="299" spans="1:14" x14ac:dyDescent="0.3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</row>
    <row r="300" spans="1:14" x14ac:dyDescent="0.3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</row>
    <row r="301" spans="1:14" x14ac:dyDescent="0.3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</row>
    <row r="302" spans="1:14" x14ac:dyDescent="0.3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</row>
    <row r="303" spans="1:14" x14ac:dyDescent="0.3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</row>
    <row r="304" spans="1:14" x14ac:dyDescent="0.3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</row>
    <row r="305" spans="1:14" x14ac:dyDescent="0.3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</row>
    <row r="306" spans="1:14" x14ac:dyDescent="0.3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</row>
    <row r="307" spans="1:14" x14ac:dyDescent="0.3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</row>
    <row r="308" spans="1:14" x14ac:dyDescent="0.3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</row>
    <row r="309" spans="1:14" x14ac:dyDescent="0.3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</row>
    <row r="310" spans="1:14" x14ac:dyDescent="0.3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</row>
    <row r="311" spans="1:14" x14ac:dyDescent="0.3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</row>
    <row r="312" spans="1:14" x14ac:dyDescent="0.3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</row>
    <row r="313" spans="1:14" x14ac:dyDescent="0.3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</row>
    <row r="314" spans="1:14" x14ac:dyDescent="0.3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</row>
    <row r="315" spans="1:14" x14ac:dyDescent="0.3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</row>
    <row r="316" spans="1:14" x14ac:dyDescent="0.3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</row>
    <row r="317" spans="1:14" x14ac:dyDescent="0.3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</row>
    <row r="318" spans="1:14" x14ac:dyDescent="0.3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</row>
    <row r="319" spans="1:14" x14ac:dyDescent="0.3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</row>
    <row r="320" spans="1:14" x14ac:dyDescent="0.3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</row>
    <row r="321" spans="1:14" x14ac:dyDescent="0.3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</row>
    <row r="322" spans="1:14" x14ac:dyDescent="0.3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</row>
    <row r="323" spans="1:14" x14ac:dyDescent="0.3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</row>
    <row r="324" spans="1:14" x14ac:dyDescent="0.3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</row>
    <row r="325" spans="1:14" x14ac:dyDescent="0.3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</row>
    <row r="326" spans="1:14" x14ac:dyDescent="0.3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</row>
    <row r="327" spans="1:14" x14ac:dyDescent="0.3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</row>
    <row r="328" spans="1:14" x14ac:dyDescent="0.3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</row>
    <row r="329" spans="1:14" x14ac:dyDescent="0.3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</row>
    <row r="330" spans="1:14" x14ac:dyDescent="0.3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</row>
    <row r="331" spans="1:14" x14ac:dyDescent="0.3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</row>
    <row r="332" spans="1:14" x14ac:dyDescent="0.3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</row>
    <row r="333" spans="1:14" x14ac:dyDescent="0.3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</row>
    <row r="334" spans="1:14" x14ac:dyDescent="0.3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</row>
    <row r="335" spans="1:14" x14ac:dyDescent="0.3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</row>
    <row r="336" spans="1:14" x14ac:dyDescent="0.3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</row>
    <row r="337" spans="1:14" x14ac:dyDescent="0.3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</row>
    <row r="338" spans="1:14" x14ac:dyDescent="0.3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</row>
    <row r="339" spans="1:14" x14ac:dyDescent="0.3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</row>
    <row r="340" spans="1:14" x14ac:dyDescent="0.3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</row>
    <row r="341" spans="1:14" x14ac:dyDescent="0.3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</row>
    <row r="342" spans="1:14" x14ac:dyDescent="0.3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</row>
    <row r="343" spans="1:14" x14ac:dyDescent="0.3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</row>
    <row r="344" spans="1:14" x14ac:dyDescent="0.3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</row>
    <row r="345" spans="1:14" x14ac:dyDescent="0.3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</row>
    <row r="346" spans="1:14" x14ac:dyDescent="0.3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</row>
    <row r="347" spans="1:14" x14ac:dyDescent="0.3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</row>
    <row r="348" spans="1:14" x14ac:dyDescent="0.3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</row>
    <row r="349" spans="1:14" x14ac:dyDescent="0.3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</row>
    <row r="350" spans="1:14" x14ac:dyDescent="0.3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</row>
    <row r="351" spans="1:14" x14ac:dyDescent="0.3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</row>
    <row r="352" spans="1:14" x14ac:dyDescent="0.3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</row>
    <row r="353" spans="1:14" x14ac:dyDescent="0.3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</row>
    <row r="354" spans="1:14" x14ac:dyDescent="0.3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</row>
    <row r="355" spans="1:14" x14ac:dyDescent="0.3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</row>
    <row r="356" spans="1:14" x14ac:dyDescent="0.3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</row>
    <row r="357" spans="1:14" x14ac:dyDescent="0.3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</row>
    <row r="358" spans="1:14" x14ac:dyDescent="0.3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</row>
    <row r="359" spans="1:14" x14ac:dyDescent="0.3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</row>
    <row r="360" spans="1:14" x14ac:dyDescent="0.3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</row>
    <row r="361" spans="1:14" x14ac:dyDescent="0.3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</row>
    <row r="362" spans="1:14" x14ac:dyDescent="0.3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</row>
    <row r="363" spans="1:14" x14ac:dyDescent="0.3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</row>
    <row r="364" spans="1:14" x14ac:dyDescent="0.3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</row>
    <row r="365" spans="1:14" x14ac:dyDescent="0.3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</row>
    <row r="366" spans="1:14" x14ac:dyDescent="0.3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</row>
    <row r="367" spans="1:14" x14ac:dyDescent="0.3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</row>
    <row r="368" spans="1:14" x14ac:dyDescent="0.3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</row>
    <row r="369" spans="1:14" x14ac:dyDescent="0.3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</row>
    <row r="370" spans="1:14" x14ac:dyDescent="0.3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</row>
    <row r="371" spans="1:14" x14ac:dyDescent="0.3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</row>
    <row r="372" spans="1:14" x14ac:dyDescent="0.3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</row>
    <row r="373" spans="1:14" x14ac:dyDescent="0.3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</row>
    <row r="374" spans="1:14" x14ac:dyDescent="0.3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</row>
    <row r="375" spans="1:14" x14ac:dyDescent="0.3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</row>
    <row r="376" spans="1:14" x14ac:dyDescent="0.3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</row>
    <row r="377" spans="1:14" x14ac:dyDescent="0.3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</row>
    <row r="378" spans="1:14" x14ac:dyDescent="0.3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</row>
    <row r="379" spans="1:14" x14ac:dyDescent="0.3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</row>
    <row r="380" spans="1:14" x14ac:dyDescent="0.3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</row>
    <row r="381" spans="1:14" x14ac:dyDescent="0.3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</row>
    <row r="382" spans="1:14" x14ac:dyDescent="0.3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</row>
    <row r="383" spans="1:14" x14ac:dyDescent="0.3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</row>
    <row r="384" spans="1:14" x14ac:dyDescent="0.3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</row>
    <row r="385" spans="1:14" x14ac:dyDescent="0.3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</row>
    <row r="386" spans="1:14" x14ac:dyDescent="0.3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</row>
    <row r="387" spans="1:14" x14ac:dyDescent="0.3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</row>
    <row r="388" spans="1:14" x14ac:dyDescent="0.3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</row>
    <row r="389" spans="1:14" x14ac:dyDescent="0.3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</row>
    <row r="390" spans="1:14" x14ac:dyDescent="0.3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</row>
    <row r="391" spans="1:14" x14ac:dyDescent="0.3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</row>
    <row r="392" spans="1:14" x14ac:dyDescent="0.3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</row>
    <row r="393" spans="1:14" x14ac:dyDescent="0.3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</row>
    <row r="394" spans="1:14" x14ac:dyDescent="0.3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</row>
    <row r="395" spans="1:14" x14ac:dyDescent="0.3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</row>
    <row r="396" spans="1:14" x14ac:dyDescent="0.3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</row>
    <row r="397" spans="1:14" x14ac:dyDescent="0.3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</row>
    <row r="398" spans="1:14" x14ac:dyDescent="0.3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</row>
    <row r="399" spans="1:14" x14ac:dyDescent="0.3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</row>
    <row r="400" spans="1:14" x14ac:dyDescent="0.3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</row>
    <row r="401" spans="1:14" x14ac:dyDescent="0.3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</row>
    <row r="402" spans="1:14" x14ac:dyDescent="0.3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</row>
    <row r="403" spans="1:14" x14ac:dyDescent="0.3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</row>
    <row r="404" spans="1:14" x14ac:dyDescent="0.3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</row>
    <row r="405" spans="1:14" x14ac:dyDescent="0.3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</row>
    <row r="406" spans="1:14" x14ac:dyDescent="0.3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</row>
    <row r="407" spans="1:14" x14ac:dyDescent="0.3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</row>
    <row r="408" spans="1:14" x14ac:dyDescent="0.3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</row>
    <row r="409" spans="1:14" x14ac:dyDescent="0.3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</row>
    <row r="410" spans="1:14" x14ac:dyDescent="0.3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</row>
    <row r="411" spans="1:14" x14ac:dyDescent="0.3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</row>
    <row r="412" spans="1:14" x14ac:dyDescent="0.3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</row>
    <row r="413" spans="1:14" x14ac:dyDescent="0.3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</row>
    <row r="414" spans="1:14" x14ac:dyDescent="0.3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</row>
    <row r="415" spans="1:14" x14ac:dyDescent="0.3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</row>
    <row r="416" spans="1:14" x14ac:dyDescent="0.3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</row>
    <row r="417" spans="1:14" x14ac:dyDescent="0.3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</row>
    <row r="418" spans="1:14" x14ac:dyDescent="0.3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</row>
    <row r="419" spans="1:14" x14ac:dyDescent="0.3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</row>
    <row r="420" spans="1:14" x14ac:dyDescent="0.3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</row>
    <row r="421" spans="1:14" x14ac:dyDescent="0.3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</row>
    <row r="422" spans="1:14" x14ac:dyDescent="0.3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</row>
    <row r="423" spans="1:14" x14ac:dyDescent="0.3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</row>
    <row r="424" spans="1:14" x14ac:dyDescent="0.3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</row>
    <row r="425" spans="1:14" x14ac:dyDescent="0.3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</row>
    <row r="426" spans="1:14" x14ac:dyDescent="0.3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</row>
    <row r="427" spans="1:14" x14ac:dyDescent="0.3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</row>
    <row r="428" spans="1:14" x14ac:dyDescent="0.3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</row>
    <row r="429" spans="1:14" x14ac:dyDescent="0.3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</row>
    <row r="430" spans="1:14" x14ac:dyDescent="0.3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</row>
    <row r="431" spans="1:14" x14ac:dyDescent="0.3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</row>
    <row r="432" spans="1:14" x14ac:dyDescent="0.3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</row>
    <row r="433" spans="1:14" x14ac:dyDescent="0.3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</row>
    <row r="434" spans="1:14" x14ac:dyDescent="0.3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</row>
    <row r="435" spans="1:14" x14ac:dyDescent="0.3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</row>
    <row r="436" spans="1:14" x14ac:dyDescent="0.3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</row>
    <row r="437" spans="1:14" x14ac:dyDescent="0.3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</row>
    <row r="438" spans="1:14" x14ac:dyDescent="0.3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</row>
    <row r="439" spans="1:14" x14ac:dyDescent="0.3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</row>
    <row r="440" spans="1:14" x14ac:dyDescent="0.3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</row>
    <row r="441" spans="1:14" x14ac:dyDescent="0.3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</row>
    <row r="442" spans="1:14" x14ac:dyDescent="0.3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</row>
    <row r="443" spans="1:14" x14ac:dyDescent="0.3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</row>
    <row r="444" spans="1:14" x14ac:dyDescent="0.3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</row>
    <row r="445" spans="1:14" x14ac:dyDescent="0.3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</row>
    <row r="446" spans="1:14" x14ac:dyDescent="0.3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</row>
    <row r="447" spans="1:14" x14ac:dyDescent="0.3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</row>
    <row r="448" spans="1:14" x14ac:dyDescent="0.3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</row>
    <row r="449" spans="1:14" x14ac:dyDescent="0.3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</row>
    <row r="450" spans="1:14" x14ac:dyDescent="0.3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</row>
    <row r="451" spans="1:14" x14ac:dyDescent="0.3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</row>
    <row r="452" spans="1:14" x14ac:dyDescent="0.3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</row>
    <row r="453" spans="1:14" x14ac:dyDescent="0.3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</row>
    <row r="454" spans="1:14" x14ac:dyDescent="0.3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</row>
    <row r="455" spans="1:14" x14ac:dyDescent="0.3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</row>
    <row r="456" spans="1:14" x14ac:dyDescent="0.3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</row>
    <row r="457" spans="1:14" x14ac:dyDescent="0.3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</row>
    <row r="458" spans="1:14" x14ac:dyDescent="0.3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</row>
    <row r="459" spans="1:14" x14ac:dyDescent="0.3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</row>
    <row r="460" spans="1:14" x14ac:dyDescent="0.3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</row>
    <row r="461" spans="1:14" x14ac:dyDescent="0.3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</row>
    <row r="462" spans="1:14" x14ac:dyDescent="0.3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</row>
    <row r="463" spans="1:14" x14ac:dyDescent="0.3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</row>
    <row r="464" spans="1:14" x14ac:dyDescent="0.3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</row>
    <row r="465" spans="1:14" x14ac:dyDescent="0.3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</row>
    <row r="466" spans="1:14" x14ac:dyDescent="0.3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</row>
    <row r="467" spans="1:14" x14ac:dyDescent="0.3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</row>
    <row r="468" spans="1:14" x14ac:dyDescent="0.3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</row>
    <row r="469" spans="1:14" x14ac:dyDescent="0.3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</row>
    <row r="470" spans="1:14" x14ac:dyDescent="0.3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</row>
    <row r="471" spans="1:14" x14ac:dyDescent="0.3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</row>
    <row r="472" spans="1:14" x14ac:dyDescent="0.3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</row>
    <row r="473" spans="1:14" x14ac:dyDescent="0.3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</row>
    <row r="474" spans="1:14" x14ac:dyDescent="0.3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</row>
    <row r="475" spans="1:14" x14ac:dyDescent="0.3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</row>
    <row r="476" spans="1:14" x14ac:dyDescent="0.3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</row>
    <row r="477" spans="1:14" x14ac:dyDescent="0.3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</row>
    <row r="478" spans="1:14" x14ac:dyDescent="0.3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</row>
    <row r="479" spans="1:14" x14ac:dyDescent="0.3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</row>
    <row r="480" spans="1:14" x14ac:dyDescent="0.3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</row>
    <row r="481" spans="1:17" x14ac:dyDescent="0.3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</row>
    <row r="482" spans="1:17" x14ac:dyDescent="0.3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</row>
    <row r="483" spans="1:17" x14ac:dyDescent="0.3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</row>
    <row r="484" spans="1:17" x14ac:dyDescent="0.3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</row>
    <row r="485" spans="1:17" x14ac:dyDescent="0.3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</row>
    <row r="486" spans="1:17" x14ac:dyDescent="0.3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</row>
    <row r="487" spans="1:17" x14ac:dyDescent="0.3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</row>
    <row r="488" spans="1:17" x14ac:dyDescent="0.3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</row>
    <row r="489" spans="1:17" x14ac:dyDescent="0.3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</row>
    <row r="490" spans="1:17" x14ac:dyDescent="0.3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</row>
    <row r="491" spans="1:17" x14ac:dyDescent="0.3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</row>
    <row r="492" spans="1:17" x14ac:dyDescent="0.3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</row>
    <row r="493" spans="1:17" x14ac:dyDescent="0.3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</row>
    <row r="494" spans="1:17" x14ac:dyDescent="0.3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</row>
    <row r="495" spans="1:17" x14ac:dyDescent="0.3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</row>
    <row r="496" spans="1:17" x14ac:dyDescent="0.3">
      <c r="Q496" s="5" t="s">
        <v>19</v>
      </c>
    </row>
  </sheetData>
  <mergeCells count="20"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  <mergeCell ref="AU25:AV25"/>
    <mergeCell ref="R25:S25"/>
    <mergeCell ref="V25:W25"/>
    <mergeCell ref="T25:U25"/>
    <mergeCell ref="X25:Y25"/>
    <mergeCell ref="AS25:AT25"/>
  </mergeCells>
  <conditionalFormatting sqref="C15">
    <cfRule type="cellIs" dxfId="30" priority="26" operator="greaterThan">
      <formula>C$23</formula>
    </cfRule>
  </conditionalFormatting>
  <conditionalFormatting sqref="C19">
    <cfRule type="cellIs" dxfId="29" priority="16" operator="lessThan">
      <formula>C$24</formula>
    </cfRule>
  </conditionalFormatting>
  <conditionalFormatting sqref="D15:P15">
    <cfRule type="cellIs" dxfId="28" priority="15" operator="greaterThan">
      <formula>D$23</formula>
    </cfRule>
  </conditionalFormatting>
  <conditionalFormatting sqref="D19">
    <cfRule type="cellIs" dxfId="27" priority="12" operator="lessThan">
      <formula>D$24</formula>
    </cfRule>
  </conditionalFormatting>
  <conditionalFormatting sqref="F19:G19">
    <cfRule type="cellIs" dxfId="26" priority="11" operator="lessThan">
      <formula>F$24</formula>
    </cfRule>
  </conditionalFormatting>
  <conditionalFormatting sqref="I19:J19">
    <cfRule type="cellIs" dxfId="25" priority="10" operator="lessThan">
      <formula>I$24</formula>
    </cfRule>
  </conditionalFormatting>
  <conditionalFormatting sqref="L19:M19">
    <cfRule type="cellIs" dxfId="24" priority="9" operator="lessThan">
      <formula>L$24</formula>
    </cfRule>
  </conditionalFormatting>
  <conditionalFormatting sqref="P19">
    <cfRule type="cellIs" dxfId="23" priority="8" operator="lessThan">
      <formula>P$24</formula>
    </cfRule>
  </conditionalFormatting>
  <conditionalFormatting sqref="O19">
    <cfRule type="cellIs" dxfId="22" priority="7" operator="lessThan">
      <formula>O$24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I17" zoomScale="120" zoomScaleNormal="120" workbookViewId="0">
      <selection activeCell="N25" sqref="N25"/>
    </sheetView>
  </sheetViews>
  <sheetFormatPr defaultColWidth="8.88671875" defaultRowHeight="14.4" x14ac:dyDescent="0.3"/>
  <cols>
    <col min="1" max="1" width="14.109375" style="17" customWidth="1"/>
    <col min="2" max="9" width="8.88671875" style="17"/>
    <col min="10" max="10" width="11.88671875" style="17" customWidth="1"/>
    <col min="11" max="11" width="12.88671875" style="17" customWidth="1"/>
    <col min="12" max="12" width="11.88671875" style="17" customWidth="1"/>
    <col min="13" max="13" width="10.6640625" style="17" customWidth="1"/>
    <col min="14" max="23" width="8.88671875" style="17"/>
    <col min="24" max="27" width="9.33203125" style="17" customWidth="1"/>
    <col min="28" max="16384" width="8.88671875" style="17"/>
  </cols>
  <sheetData>
    <row r="1" spans="1:13" ht="15.6" x14ac:dyDescent="0.3">
      <c r="A1" s="18" t="s">
        <v>57</v>
      </c>
      <c r="B1" s="16"/>
      <c r="C1" s="16"/>
      <c r="D1" s="16"/>
      <c r="E1" s="16"/>
      <c r="F1" s="16"/>
      <c r="G1" s="16"/>
      <c r="H1" s="16"/>
    </row>
    <row r="2" spans="1:13" x14ac:dyDescent="0.3">
      <c r="A2" s="16"/>
      <c r="B2" s="16"/>
      <c r="C2" s="16"/>
      <c r="D2" s="16"/>
      <c r="E2" s="16"/>
      <c r="F2" s="16"/>
      <c r="G2" s="16"/>
      <c r="H2" s="16"/>
    </row>
    <row r="3" spans="1:13" x14ac:dyDescent="0.3">
      <c r="A3" s="16"/>
      <c r="B3" s="16"/>
      <c r="C3" s="16"/>
      <c r="D3" s="16"/>
      <c r="E3" s="16"/>
      <c r="F3" s="16"/>
      <c r="G3" s="16"/>
      <c r="H3" s="16"/>
    </row>
    <row r="4" spans="1:13" x14ac:dyDescent="0.3">
      <c r="A4" s="16"/>
      <c r="B4" s="16"/>
      <c r="C4" s="16"/>
      <c r="D4" s="16"/>
      <c r="E4" s="16"/>
      <c r="F4" s="16"/>
      <c r="G4" s="16"/>
      <c r="H4" s="16"/>
    </row>
    <row r="5" spans="1:13" x14ac:dyDescent="0.3">
      <c r="A5" s="16"/>
      <c r="B5" s="16"/>
      <c r="C5" s="16"/>
      <c r="D5" s="16"/>
      <c r="E5" s="16"/>
      <c r="F5" s="16"/>
      <c r="G5" s="16"/>
      <c r="H5" s="16"/>
    </row>
    <row r="6" spans="1:13" x14ac:dyDescent="0.3">
      <c r="A6" s="16"/>
      <c r="B6" s="16"/>
      <c r="C6" s="16"/>
      <c r="D6" s="16"/>
      <c r="E6" s="16"/>
      <c r="F6" s="16"/>
      <c r="G6" s="16"/>
      <c r="H6" s="16"/>
    </row>
    <row r="7" spans="1:13" x14ac:dyDescent="0.3">
      <c r="A7" s="16"/>
      <c r="B7" s="16"/>
      <c r="C7" s="16"/>
      <c r="D7" s="16"/>
      <c r="E7" s="16"/>
      <c r="F7" s="16"/>
      <c r="G7" s="16"/>
      <c r="H7" s="16"/>
    </row>
    <row r="8" spans="1:13" x14ac:dyDescent="0.3">
      <c r="A8" s="16"/>
      <c r="B8" s="16"/>
      <c r="C8" s="16"/>
      <c r="D8" s="16"/>
      <c r="E8" s="16"/>
      <c r="F8" s="16"/>
      <c r="G8" s="16"/>
      <c r="H8" s="16"/>
    </row>
    <row r="9" spans="1:13" x14ac:dyDescent="0.3">
      <c r="A9" s="16"/>
      <c r="B9" s="16"/>
      <c r="C9" s="16"/>
      <c r="D9" s="16"/>
      <c r="E9" s="16"/>
      <c r="F9" s="16"/>
      <c r="G9" s="16"/>
      <c r="H9" s="16"/>
    </row>
    <row r="10" spans="1:13" x14ac:dyDescent="0.3">
      <c r="A10" s="16"/>
      <c r="B10" s="16"/>
      <c r="C10" s="16"/>
      <c r="D10" s="16"/>
      <c r="E10" s="16"/>
      <c r="F10" s="16"/>
      <c r="G10" s="16"/>
      <c r="H10" s="16"/>
    </row>
    <row r="11" spans="1:13" x14ac:dyDescent="0.3">
      <c r="A11" s="16"/>
      <c r="B11" s="16"/>
      <c r="C11" s="16"/>
      <c r="D11" s="16"/>
      <c r="E11" s="16"/>
      <c r="F11" s="16"/>
      <c r="G11" s="16"/>
      <c r="H11" s="16"/>
    </row>
    <row r="12" spans="1:13" x14ac:dyDescent="0.3">
      <c r="A12" s="16"/>
      <c r="B12" s="16"/>
      <c r="C12" s="16"/>
      <c r="D12" s="16"/>
      <c r="E12" s="16"/>
      <c r="F12" s="16"/>
      <c r="G12" s="16"/>
      <c r="H12" s="16"/>
    </row>
    <row r="13" spans="1:13" x14ac:dyDescent="0.3">
      <c r="A13" s="16"/>
      <c r="B13" s="16"/>
      <c r="C13" s="16"/>
      <c r="D13" s="16"/>
      <c r="E13" s="16"/>
      <c r="F13" s="16"/>
      <c r="G13" s="16"/>
      <c r="H13" s="16"/>
    </row>
    <row r="14" spans="1:13" x14ac:dyDescent="0.3">
      <c r="A14" s="16"/>
      <c r="B14" s="16"/>
      <c r="C14" s="16"/>
      <c r="D14" s="16"/>
      <c r="E14" s="16"/>
      <c r="F14" s="16"/>
      <c r="G14" s="16"/>
      <c r="H14" s="16"/>
    </row>
    <row r="15" spans="1:13" x14ac:dyDescent="0.3">
      <c r="A15" s="16"/>
      <c r="B15" s="16"/>
      <c r="C15" s="16"/>
      <c r="D15" s="16"/>
      <c r="E15" s="16"/>
      <c r="F15" s="16"/>
      <c r="G15" s="16"/>
      <c r="H15" s="16"/>
    </row>
    <row r="16" spans="1:13" x14ac:dyDescent="0.3">
      <c r="I16" s="19"/>
      <c r="J16" s="19"/>
      <c r="K16" s="19"/>
      <c r="L16" s="19"/>
      <c r="M16" s="19"/>
    </row>
    <row r="17" spans="1:27" x14ac:dyDescent="0.3">
      <c r="I17" s="19"/>
      <c r="J17" s="19"/>
      <c r="K17" s="19"/>
      <c r="L17" s="19"/>
      <c r="M17" s="19"/>
    </row>
    <row r="18" spans="1:27" x14ac:dyDescent="0.3">
      <c r="B18" s="17" t="s">
        <v>38</v>
      </c>
      <c r="E18" s="17" t="s">
        <v>41</v>
      </c>
      <c r="X18" s="35" t="s">
        <v>52</v>
      </c>
    </row>
    <row r="20" spans="1:27" ht="43.2" customHeight="1" x14ac:dyDescent="0.3">
      <c r="A20" s="20" t="s">
        <v>37</v>
      </c>
      <c r="B20" s="21" t="s">
        <v>39</v>
      </c>
      <c r="C20" s="21" t="s">
        <v>40</v>
      </c>
      <c r="D20" s="111" t="s">
        <v>42</v>
      </c>
      <c r="E20" s="112"/>
      <c r="F20" s="113"/>
      <c r="G20" s="114" t="s">
        <v>46</v>
      </c>
      <c r="H20" s="115"/>
      <c r="I20" s="116"/>
      <c r="J20" s="36" t="s">
        <v>59</v>
      </c>
      <c r="K20" s="36" t="s">
        <v>60</v>
      </c>
      <c r="L20" s="36" t="s">
        <v>61</v>
      </c>
      <c r="M20" s="117" t="s">
        <v>62</v>
      </c>
      <c r="N20" s="118"/>
      <c r="X20" s="36" t="s">
        <v>53</v>
      </c>
      <c r="Y20" s="36" t="s">
        <v>54</v>
      </c>
      <c r="Z20" s="36" t="s">
        <v>56</v>
      </c>
      <c r="AA20" s="36" t="s">
        <v>55</v>
      </c>
    </row>
    <row r="21" spans="1:27" x14ac:dyDescent="0.3">
      <c r="A21" s="38">
        <v>0.87361752807211857</v>
      </c>
      <c r="B21" s="22" t="str">
        <f>IF(A21="","Пропуск","")</f>
        <v/>
      </c>
      <c r="C21" s="22" t="str">
        <f>IF(IFERROR(ABS(A21)*SIGN(A21),0)=0, "Пропуск", "")</f>
        <v/>
      </c>
      <c r="D21" s="22" t="str">
        <f>IF(AND(ISNUMBER($A21), OR($A21&gt;F$29, $A21&lt;F$30)),"Выброс","")</f>
        <v/>
      </c>
      <c r="E21" s="22">
        <v>4</v>
      </c>
      <c r="F21" s="26">
        <f>_xlfn.QUARTILE.INC(A21:A60,E21)</f>
        <v>15.450173527632581</v>
      </c>
      <c r="G21" s="22" t="str">
        <f t="shared" ref="G21:G60" si="0">IF(AND(ISNUMBER($A21), OR($A21&gt;I$29, $A21&lt;I$30)),"Выброс","")</f>
        <v/>
      </c>
      <c r="H21" s="28" t="s">
        <v>47</v>
      </c>
      <c r="I21" s="31">
        <v>0.3</v>
      </c>
      <c r="J21" s="39">
        <f>A21</f>
        <v>0.87361752807211857</v>
      </c>
      <c r="K21" s="38">
        <v>0.87361752807211857</v>
      </c>
      <c r="L21" s="43">
        <f>IF(OR(D21="Выброс",C21="Пропуск"),$F$23,A21)</f>
        <v>0.87361752807211857</v>
      </c>
      <c r="M21" s="48">
        <f>A21</f>
        <v>0.87361752807211857</v>
      </c>
      <c r="N21" s="49" t="str">
        <f>IF(AND(C21="", D21=""),"","NaN")</f>
        <v/>
      </c>
      <c r="X21" s="37">
        <f>$F$29</f>
        <v>8.0616007434697483</v>
      </c>
      <c r="Y21" s="37">
        <f>$F$30</f>
        <v>-2.2819575821950013</v>
      </c>
      <c r="Z21" s="37">
        <f>$I$29</f>
        <v>7.2086677409975213</v>
      </c>
      <c r="AA21" s="37">
        <f>$I$30</f>
        <v>-1.8810303921513571</v>
      </c>
    </row>
    <row r="22" spans="1:27" x14ac:dyDescent="0.3">
      <c r="A22" s="38">
        <v>0.40211979036867129</v>
      </c>
      <c r="B22" s="22" t="str">
        <f t="shared" ref="B22:B60" si="1">IF(A22="","Пропуск","")</f>
        <v/>
      </c>
      <c r="C22" s="22" t="str">
        <f t="shared" ref="C22:C60" si="2">IF(IFERROR(ABS(A22)*SIGN(A22),0)=0, "Пропуск", "")</f>
        <v/>
      </c>
      <c r="D22" s="22" t="str">
        <f t="shared" ref="D22:D26" si="3">IF(AND(ISNUMBER($A22), OR($A22&gt;F$29, $A22&lt;F$30)),"Выброс","")</f>
        <v/>
      </c>
      <c r="E22" s="22">
        <v>3</v>
      </c>
      <c r="F22" s="26">
        <f t="shared" ref="F22:F25" si="4">_xlfn.QUARTILE.INC(A22:A61,E22)</f>
        <v>4.1827663713454672</v>
      </c>
      <c r="G22" s="22" t="str">
        <f t="shared" si="0"/>
        <v/>
      </c>
      <c r="H22" s="29" t="s">
        <v>48</v>
      </c>
      <c r="I22" s="30">
        <f>_xlfn.STDEV.S(A21:A60)</f>
        <v>4.5448490665744394</v>
      </c>
      <c r="J22" s="39">
        <v>0.40211979036867129</v>
      </c>
      <c r="K22" s="38">
        <v>0.40211979036867129</v>
      </c>
      <c r="L22" s="43">
        <f>IF(OR(D22="Выброс",C22="Пропуск"),$F$23,A22)</f>
        <v>0.40211979036867129</v>
      </c>
      <c r="M22" s="50">
        <f t="shared" ref="M22:M60" si="5">A22</f>
        <v>0.40211979036867129</v>
      </c>
      <c r="N22" s="32" t="str">
        <f t="shared" ref="N22:N60" si="6">IF(AND(C22="", D22=""),"","NaN")</f>
        <v/>
      </c>
      <c r="X22" s="30">
        <f t="shared" ref="X22:X60" si="7">$F$29</f>
        <v>8.0616007434697483</v>
      </c>
      <c r="Y22" s="30">
        <f t="shared" ref="Y22:Y60" si="8">$F$30</f>
        <v>-2.2819575821950013</v>
      </c>
      <c r="Z22" s="30">
        <f t="shared" ref="Z22:Z60" si="9">$I$29</f>
        <v>7.2086677409975213</v>
      </c>
      <c r="AA22" s="30">
        <f t="shared" ref="AA22:AA60" si="10">$I$30</f>
        <v>-1.8810303921513571</v>
      </c>
    </row>
    <row r="23" spans="1:27" x14ac:dyDescent="0.3">
      <c r="A23" s="38">
        <v>0.90927860287996887</v>
      </c>
      <c r="B23" s="22" t="str">
        <f t="shared" si="1"/>
        <v/>
      </c>
      <c r="C23" s="22" t="str">
        <f t="shared" si="2"/>
        <v/>
      </c>
      <c r="D23" s="22" t="str">
        <f t="shared" si="3"/>
        <v/>
      </c>
      <c r="E23" s="22">
        <v>2</v>
      </c>
      <c r="F23" s="26">
        <f t="shared" si="4"/>
        <v>2.643820694211072</v>
      </c>
      <c r="G23" s="22" t="str">
        <f t="shared" si="0"/>
        <v/>
      </c>
      <c r="H23" s="29" t="s">
        <v>49</v>
      </c>
      <c r="I23" s="30">
        <f>TRIMMEAN(A21:A60, I21)</f>
        <v>2.6638186744230823</v>
      </c>
      <c r="J23" s="39">
        <v>0.90927860287996887</v>
      </c>
      <c r="K23" s="38">
        <v>0.90927860287996887</v>
      </c>
      <c r="L23" s="43">
        <f t="shared" ref="L23:L60" si="11">IF(OR(D23="Выброс",C23="Пропуск"),$F$23,A23)</f>
        <v>0.90927860287996887</v>
      </c>
      <c r="M23" s="50">
        <f t="shared" si="5"/>
        <v>0.90927860287996887</v>
      </c>
      <c r="N23" s="32" t="str">
        <f t="shared" si="6"/>
        <v/>
      </c>
      <c r="X23" s="30">
        <f t="shared" si="7"/>
        <v>8.0616007434697483</v>
      </c>
      <c r="Y23" s="30">
        <f t="shared" si="8"/>
        <v>-2.2819575821950013</v>
      </c>
      <c r="Z23" s="30">
        <f t="shared" si="9"/>
        <v>7.2086677409975213</v>
      </c>
      <c r="AA23" s="30">
        <f t="shared" si="10"/>
        <v>-1.8810303921513571</v>
      </c>
    </row>
    <row r="24" spans="1:27" x14ac:dyDescent="0.3">
      <c r="A24" s="38">
        <v>0.72729497677173083</v>
      </c>
      <c r="B24" s="22" t="str">
        <f t="shared" si="1"/>
        <v/>
      </c>
      <c r="C24" s="22" t="str">
        <f t="shared" si="2"/>
        <v/>
      </c>
      <c r="D24" s="22" t="str">
        <f t="shared" si="3"/>
        <v/>
      </c>
      <c r="E24" s="22">
        <v>1</v>
      </c>
      <c r="F24" s="26">
        <f t="shared" si="4"/>
        <v>1.5968767899292797</v>
      </c>
      <c r="G24" s="22" t="str">
        <f t="shared" si="0"/>
        <v/>
      </c>
      <c r="H24" s="32"/>
      <c r="I24" s="32"/>
      <c r="J24" s="39">
        <v>0.72729497677173083</v>
      </c>
      <c r="K24" s="38">
        <v>0.72729497677173083</v>
      </c>
      <c r="L24" s="43">
        <f t="shared" si="11"/>
        <v>0.72729497677173083</v>
      </c>
      <c r="M24" s="50">
        <f t="shared" si="5"/>
        <v>0.72729497677173083</v>
      </c>
      <c r="N24" s="32" t="str">
        <f t="shared" si="6"/>
        <v/>
      </c>
      <c r="X24" s="30">
        <f t="shared" si="7"/>
        <v>8.0616007434697483</v>
      </c>
      <c r="Y24" s="30">
        <f t="shared" si="8"/>
        <v>-2.2819575821950013</v>
      </c>
      <c r="Z24" s="30">
        <f t="shared" si="9"/>
        <v>7.2086677409975213</v>
      </c>
      <c r="AA24" s="30">
        <f t="shared" si="10"/>
        <v>-1.8810303921513571</v>
      </c>
    </row>
    <row r="25" spans="1:27" x14ac:dyDescent="0.3">
      <c r="A25" s="38">
        <v>10.312855016797672</v>
      </c>
      <c r="B25" s="22" t="str">
        <f t="shared" si="1"/>
        <v/>
      </c>
      <c r="C25" s="22" t="str">
        <f t="shared" si="2"/>
        <v/>
      </c>
      <c r="D25" s="22" t="str">
        <f t="shared" si="3"/>
        <v>Выброс</v>
      </c>
      <c r="E25" s="22">
        <v>0</v>
      </c>
      <c r="F25" s="26">
        <f t="shared" si="4"/>
        <v>-14.211382328721635</v>
      </c>
      <c r="G25" s="22" t="str">
        <f t="shared" si="0"/>
        <v>Выброс</v>
      </c>
      <c r="H25" s="32"/>
      <c r="I25" s="32"/>
      <c r="J25" s="39">
        <v>1.1175926106367795</v>
      </c>
      <c r="K25" s="38">
        <v>1.1175926106367795</v>
      </c>
      <c r="L25" s="43">
        <f t="shared" si="11"/>
        <v>2.643820694211072</v>
      </c>
      <c r="M25" s="50">
        <f t="shared" si="5"/>
        <v>10.312855016797672</v>
      </c>
      <c r="N25" s="32" t="str">
        <f t="shared" si="6"/>
        <v>NaN</v>
      </c>
      <c r="X25" s="30">
        <f t="shared" si="7"/>
        <v>8.0616007434697483</v>
      </c>
      <c r="Y25" s="30">
        <f t="shared" si="8"/>
        <v>-2.2819575821950013</v>
      </c>
      <c r="Z25" s="30">
        <f t="shared" si="9"/>
        <v>7.2086677409975213</v>
      </c>
      <c r="AA25" s="30">
        <f t="shared" si="10"/>
        <v>-1.8810303921513571</v>
      </c>
    </row>
    <row r="26" spans="1:27" x14ac:dyDescent="0.3">
      <c r="A26" s="38">
        <v>1.1175926106367795</v>
      </c>
      <c r="B26" s="22" t="str">
        <f t="shared" si="1"/>
        <v/>
      </c>
      <c r="C26" s="22" t="str">
        <f t="shared" si="2"/>
        <v/>
      </c>
      <c r="D26" s="22" t="str">
        <f t="shared" si="3"/>
        <v/>
      </c>
      <c r="E26" s="22"/>
      <c r="F26" s="22"/>
      <c r="G26" s="22" t="str">
        <f t="shared" si="0"/>
        <v/>
      </c>
      <c r="H26" s="30"/>
      <c r="I26" s="32"/>
      <c r="J26" s="39">
        <v>1.3711508532853576</v>
      </c>
      <c r="K26" s="38">
        <v>1.3711508532853576</v>
      </c>
      <c r="L26" s="43">
        <f t="shared" si="11"/>
        <v>1.1175926106367795</v>
      </c>
      <c r="M26" s="50">
        <f t="shared" si="5"/>
        <v>1.1175926106367795</v>
      </c>
      <c r="N26" s="32" t="str">
        <f t="shared" si="6"/>
        <v/>
      </c>
      <c r="X26" s="30">
        <f t="shared" si="7"/>
        <v>8.0616007434697483</v>
      </c>
      <c r="Y26" s="30">
        <f t="shared" si="8"/>
        <v>-2.2819575821950013</v>
      </c>
      <c r="Z26" s="30">
        <f t="shared" si="9"/>
        <v>7.2086677409975213</v>
      </c>
      <c r="AA26" s="30">
        <f t="shared" si="10"/>
        <v>-1.8810303921513571</v>
      </c>
    </row>
    <row r="27" spans="1:27" x14ac:dyDescent="0.3">
      <c r="A27" s="38">
        <v>1.3711508532853576</v>
      </c>
      <c r="B27" s="22" t="str">
        <f t="shared" si="1"/>
        <v/>
      </c>
      <c r="C27" s="22" t="str">
        <f t="shared" si="2"/>
        <v/>
      </c>
      <c r="D27" s="22" t="str">
        <f t="shared" ref="D27:D60" si="12">IF(AND(ISNUMBER(A27), OR(A27&gt;$F$29, A27&lt;$F$30)),"Выброс","")</f>
        <v/>
      </c>
      <c r="E27" s="22" t="s">
        <v>43</v>
      </c>
      <c r="F27" s="27">
        <f>F22-F24</f>
        <v>2.5858895814161875</v>
      </c>
      <c r="G27" s="22" t="str">
        <f t="shared" si="0"/>
        <v/>
      </c>
      <c r="H27" s="30"/>
      <c r="I27" s="32"/>
      <c r="J27" s="39">
        <v>1.0136136533418696</v>
      </c>
      <c r="K27" s="38">
        <v>1.0136136533418696</v>
      </c>
      <c r="L27" s="43">
        <f t="shared" si="11"/>
        <v>1.3711508532853576</v>
      </c>
      <c r="M27" s="50">
        <f t="shared" si="5"/>
        <v>1.3711508532853576</v>
      </c>
      <c r="N27" s="32" t="str">
        <f t="shared" si="6"/>
        <v/>
      </c>
      <c r="X27" s="30">
        <f t="shared" si="7"/>
        <v>8.0616007434697483</v>
      </c>
      <c r="Y27" s="30">
        <f t="shared" si="8"/>
        <v>-2.2819575821950013</v>
      </c>
      <c r="Z27" s="30">
        <f t="shared" si="9"/>
        <v>7.2086677409975213</v>
      </c>
      <c r="AA27" s="30">
        <f t="shared" si="10"/>
        <v>-1.8810303921513571</v>
      </c>
    </row>
    <row r="28" spans="1:27" x14ac:dyDescent="0.3">
      <c r="A28" s="38">
        <v>1.0136136533418696</v>
      </c>
      <c r="B28" s="22" t="str">
        <f t="shared" si="1"/>
        <v/>
      </c>
      <c r="C28" s="22" t="str">
        <f t="shared" si="2"/>
        <v/>
      </c>
      <c r="D28" s="22" t="str">
        <f t="shared" si="12"/>
        <v/>
      </c>
      <c r="E28" s="22"/>
      <c r="F28" s="22"/>
      <c r="G28" s="22" t="str">
        <f t="shared" si="0"/>
        <v/>
      </c>
      <c r="H28" s="30"/>
      <c r="I28" s="32"/>
      <c r="J28" s="39">
        <v>1.5982101462360836</v>
      </c>
      <c r="K28" s="38">
        <v>1.5982101462360836</v>
      </c>
      <c r="L28" s="43">
        <f t="shared" si="11"/>
        <v>1.0136136533418696</v>
      </c>
      <c r="M28" s="50">
        <f t="shared" si="5"/>
        <v>1.0136136533418696</v>
      </c>
      <c r="N28" s="32" t="str">
        <f t="shared" si="6"/>
        <v/>
      </c>
      <c r="X28" s="30">
        <f t="shared" si="7"/>
        <v>8.0616007434697483</v>
      </c>
      <c r="Y28" s="30">
        <f t="shared" si="8"/>
        <v>-2.2819575821950013</v>
      </c>
      <c r="Z28" s="30">
        <f t="shared" si="9"/>
        <v>7.2086677409975213</v>
      </c>
      <c r="AA28" s="30">
        <f t="shared" si="10"/>
        <v>-1.8810303921513571</v>
      </c>
    </row>
    <row r="29" spans="1:27" x14ac:dyDescent="0.3">
      <c r="A29" s="38">
        <v>1.5982101462360836</v>
      </c>
      <c r="B29" s="22" t="str">
        <f t="shared" si="1"/>
        <v/>
      </c>
      <c r="C29" s="22" t="str">
        <f t="shared" si="2"/>
        <v/>
      </c>
      <c r="D29" s="22" t="str">
        <f t="shared" si="12"/>
        <v/>
      </c>
      <c r="E29" s="22" t="s">
        <v>45</v>
      </c>
      <c r="F29" s="27">
        <f>F22+1.5*F27</f>
        <v>8.0616007434697483</v>
      </c>
      <c r="G29" s="22" t="str">
        <f t="shared" si="0"/>
        <v/>
      </c>
      <c r="H29" s="29" t="s">
        <v>50</v>
      </c>
      <c r="I29" s="30">
        <f>I23+I22</f>
        <v>7.2086677409975213</v>
      </c>
      <c r="J29" s="39">
        <v>1.4491870129640976</v>
      </c>
      <c r="K29" s="38">
        <v>1.4491870129640976</v>
      </c>
      <c r="L29" s="43">
        <f t="shared" si="11"/>
        <v>1.5982101462360836</v>
      </c>
      <c r="M29" s="50">
        <f t="shared" si="5"/>
        <v>1.5982101462360836</v>
      </c>
      <c r="N29" s="32" t="str">
        <f t="shared" si="6"/>
        <v/>
      </c>
      <c r="X29" s="30">
        <f t="shared" si="7"/>
        <v>8.0616007434697483</v>
      </c>
      <c r="Y29" s="30">
        <f t="shared" si="8"/>
        <v>-2.2819575821950013</v>
      </c>
      <c r="Z29" s="30">
        <f t="shared" si="9"/>
        <v>7.2086677409975213</v>
      </c>
      <c r="AA29" s="30">
        <f t="shared" si="10"/>
        <v>-1.8810303921513571</v>
      </c>
    </row>
    <row r="30" spans="1:27" x14ac:dyDescent="0.3">
      <c r="A30" s="38">
        <v>1.4491870129640976</v>
      </c>
      <c r="B30" s="22" t="str">
        <f t="shared" si="1"/>
        <v/>
      </c>
      <c r="C30" s="22" t="str">
        <f t="shared" si="2"/>
        <v/>
      </c>
      <c r="D30" s="22" t="str">
        <f t="shared" si="12"/>
        <v/>
      </c>
      <c r="E30" s="24" t="s">
        <v>44</v>
      </c>
      <c r="F30" s="27">
        <f>F24-1.5*F27</f>
        <v>-2.2819575821950013</v>
      </c>
      <c r="G30" s="22" t="str">
        <f t="shared" si="0"/>
        <v/>
      </c>
      <c r="H30" s="29" t="s">
        <v>51</v>
      </c>
      <c r="I30" s="30">
        <f>I23-I22</f>
        <v>-1.8810303921513571</v>
      </c>
      <c r="J30" s="39">
        <v>1.5928767210088679</v>
      </c>
      <c r="K30" s="38">
        <v>1.5928767210088679</v>
      </c>
      <c r="L30" s="43">
        <f t="shared" si="11"/>
        <v>1.4491870129640976</v>
      </c>
      <c r="M30" s="50">
        <f t="shared" si="5"/>
        <v>1.4491870129640976</v>
      </c>
      <c r="N30" s="32" t="str">
        <f t="shared" si="6"/>
        <v/>
      </c>
      <c r="X30" s="30">
        <f t="shared" si="7"/>
        <v>8.0616007434697483</v>
      </c>
      <c r="Y30" s="30">
        <f t="shared" si="8"/>
        <v>-2.2819575821950013</v>
      </c>
      <c r="Z30" s="30">
        <f t="shared" si="9"/>
        <v>7.2086677409975213</v>
      </c>
      <c r="AA30" s="30">
        <f t="shared" si="10"/>
        <v>-1.8810303921513571</v>
      </c>
    </row>
    <row r="31" spans="1:27" x14ac:dyDescent="0.3">
      <c r="A31" s="38">
        <v>1.5928767210088679</v>
      </c>
      <c r="B31" s="22" t="str">
        <f t="shared" si="1"/>
        <v/>
      </c>
      <c r="C31" s="22" t="str">
        <f t="shared" si="2"/>
        <v/>
      </c>
      <c r="D31" s="22" t="str">
        <f t="shared" si="12"/>
        <v/>
      </c>
      <c r="E31" s="25"/>
      <c r="F31" s="22"/>
      <c r="G31" s="22" t="str">
        <f t="shared" si="0"/>
        <v/>
      </c>
      <c r="H31" s="30"/>
      <c r="I31" s="32"/>
      <c r="J31" s="39">
        <v>2.0205701774122398</v>
      </c>
      <c r="K31" s="38">
        <v>2.0205701774122398</v>
      </c>
      <c r="L31" s="43">
        <f t="shared" si="11"/>
        <v>1.5928767210088679</v>
      </c>
      <c r="M31" s="50">
        <f t="shared" si="5"/>
        <v>1.5928767210088679</v>
      </c>
      <c r="N31" s="32" t="str">
        <f t="shared" si="6"/>
        <v/>
      </c>
      <c r="X31" s="30">
        <f t="shared" si="7"/>
        <v>8.0616007434697483</v>
      </c>
      <c r="Y31" s="30">
        <f t="shared" si="8"/>
        <v>-2.2819575821950013</v>
      </c>
      <c r="Z31" s="30">
        <f t="shared" si="9"/>
        <v>7.2086677409975213</v>
      </c>
      <c r="AA31" s="30">
        <f t="shared" si="10"/>
        <v>-1.8810303921513571</v>
      </c>
    </row>
    <row r="32" spans="1:27" x14ac:dyDescent="0.3">
      <c r="A32" s="38">
        <v>-14.211382328721635</v>
      </c>
      <c r="B32" s="22" t="str">
        <f t="shared" si="1"/>
        <v/>
      </c>
      <c r="C32" s="22" t="str">
        <f t="shared" si="2"/>
        <v/>
      </c>
      <c r="D32" s="22" t="str">
        <f t="shared" si="12"/>
        <v>Выброс</v>
      </c>
      <c r="E32" s="22"/>
      <c r="F32" s="22"/>
      <c r="G32" s="22" t="str">
        <f t="shared" si="0"/>
        <v>Выброс</v>
      </c>
      <c r="H32" s="30"/>
      <c r="I32" s="32"/>
      <c r="J32" s="39">
        <v>2.3579715339680964</v>
      </c>
      <c r="K32" s="38">
        <v>2.3579715339680964</v>
      </c>
      <c r="L32" s="43">
        <f t="shared" si="11"/>
        <v>2.643820694211072</v>
      </c>
      <c r="M32" s="50">
        <f t="shared" si="5"/>
        <v>-14.211382328721635</v>
      </c>
      <c r="N32" s="32" t="str">
        <f t="shared" si="6"/>
        <v>NaN</v>
      </c>
      <c r="X32" s="30">
        <f t="shared" si="7"/>
        <v>8.0616007434697483</v>
      </c>
      <c r="Y32" s="30">
        <f t="shared" si="8"/>
        <v>-2.2819575821950013</v>
      </c>
      <c r="Z32" s="30">
        <f t="shared" si="9"/>
        <v>7.2086677409975213</v>
      </c>
      <c r="AA32" s="30">
        <f t="shared" si="10"/>
        <v>-1.8810303921513571</v>
      </c>
    </row>
    <row r="33" spans="1:27" x14ac:dyDescent="0.3">
      <c r="A33" s="38">
        <v>2.0205701774122398</v>
      </c>
      <c r="B33" s="22" t="str">
        <f t="shared" si="1"/>
        <v/>
      </c>
      <c r="C33" s="22" t="str">
        <f t="shared" si="2"/>
        <v/>
      </c>
      <c r="D33" s="22" t="str">
        <f t="shared" si="12"/>
        <v/>
      </c>
      <c r="E33" s="22"/>
      <c r="F33" s="22"/>
      <c r="G33" s="22" t="str">
        <f t="shared" si="0"/>
        <v/>
      </c>
      <c r="H33" s="30"/>
      <c r="I33" s="32"/>
      <c r="J33" s="39">
        <v>2.0328092987653474</v>
      </c>
      <c r="K33" s="38">
        <v>2.0328092987653474</v>
      </c>
      <c r="L33" s="43">
        <f t="shared" si="11"/>
        <v>2.0205701774122398</v>
      </c>
      <c r="M33" s="50">
        <f t="shared" si="5"/>
        <v>2.0205701774122398</v>
      </c>
      <c r="N33" s="32" t="str">
        <f t="shared" si="6"/>
        <v/>
      </c>
      <c r="X33" s="30">
        <f t="shared" si="7"/>
        <v>8.0616007434697483</v>
      </c>
      <c r="Y33" s="30">
        <f t="shared" si="8"/>
        <v>-2.2819575821950013</v>
      </c>
      <c r="Z33" s="30">
        <f t="shared" si="9"/>
        <v>7.2086677409975213</v>
      </c>
      <c r="AA33" s="30">
        <f t="shared" si="10"/>
        <v>-1.8810303921513571</v>
      </c>
    </row>
    <row r="34" spans="1:27" x14ac:dyDescent="0.3">
      <c r="A34" s="38">
        <v>2.3579715339680964</v>
      </c>
      <c r="B34" s="22" t="str">
        <f t="shared" si="1"/>
        <v/>
      </c>
      <c r="C34" s="22" t="str">
        <f t="shared" si="2"/>
        <v/>
      </c>
      <c r="D34" s="22" t="str">
        <f t="shared" si="12"/>
        <v/>
      </c>
      <c r="E34" s="22"/>
      <c r="F34" s="22"/>
      <c r="G34" s="22" t="str">
        <f t="shared" si="0"/>
        <v/>
      </c>
      <c r="H34" s="30"/>
      <c r="I34" s="32"/>
      <c r="J34" s="39">
        <v>2.643820694211072</v>
      </c>
      <c r="K34" s="38">
        <v>2.643820694211072</v>
      </c>
      <c r="L34" s="43">
        <f t="shared" si="11"/>
        <v>2.3579715339680964</v>
      </c>
      <c r="M34" s="50">
        <f t="shared" si="5"/>
        <v>2.3579715339680964</v>
      </c>
      <c r="N34" s="32" t="str">
        <f t="shared" si="6"/>
        <v/>
      </c>
      <c r="X34" s="30">
        <f t="shared" si="7"/>
        <v>8.0616007434697483</v>
      </c>
      <c r="Y34" s="30">
        <f t="shared" si="8"/>
        <v>-2.2819575821950013</v>
      </c>
      <c r="Z34" s="30">
        <f t="shared" si="9"/>
        <v>7.2086677409975213</v>
      </c>
      <c r="AA34" s="30">
        <f t="shared" si="10"/>
        <v>-1.8810303921513571</v>
      </c>
    </row>
    <row r="35" spans="1:27" x14ac:dyDescent="0.3">
      <c r="A35" s="38">
        <v>2.0328092987653474</v>
      </c>
      <c r="B35" s="22" t="str">
        <f t="shared" si="1"/>
        <v/>
      </c>
      <c r="C35" s="22" t="str">
        <f t="shared" si="2"/>
        <v/>
      </c>
      <c r="D35" s="22" t="str">
        <f t="shared" si="12"/>
        <v/>
      </c>
      <c r="E35" s="22"/>
      <c r="F35" s="22"/>
      <c r="G35" s="22" t="str">
        <f t="shared" si="0"/>
        <v/>
      </c>
      <c r="H35" s="30"/>
      <c r="I35" s="32"/>
      <c r="J35" s="39">
        <v>2.5377748436351726</v>
      </c>
      <c r="K35" s="38">
        <v>2.5377748436351726</v>
      </c>
      <c r="L35" s="43">
        <f t="shared" si="11"/>
        <v>2.0328092987653474</v>
      </c>
      <c r="M35" s="50">
        <f t="shared" si="5"/>
        <v>2.0328092987653474</v>
      </c>
      <c r="N35" s="32" t="str">
        <f t="shared" si="6"/>
        <v/>
      </c>
      <c r="X35" s="30">
        <f t="shared" si="7"/>
        <v>8.0616007434697483</v>
      </c>
      <c r="Y35" s="30">
        <f t="shared" si="8"/>
        <v>-2.2819575821950013</v>
      </c>
      <c r="Z35" s="30">
        <f t="shared" si="9"/>
        <v>7.2086677409975213</v>
      </c>
      <c r="AA35" s="30">
        <f t="shared" si="10"/>
        <v>-1.8810303921513571</v>
      </c>
    </row>
    <row r="36" spans="1:27" x14ac:dyDescent="0.3">
      <c r="A36" s="38">
        <v>2.643820694211072</v>
      </c>
      <c r="B36" s="22" t="str">
        <f t="shared" si="1"/>
        <v/>
      </c>
      <c r="C36" s="22" t="str">
        <f t="shared" si="2"/>
        <v/>
      </c>
      <c r="D36" s="22" t="str">
        <f t="shared" si="12"/>
        <v/>
      </c>
      <c r="E36" s="22"/>
      <c r="F36" s="22"/>
      <c r="G36" s="22" t="str">
        <f t="shared" si="0"/>
        <v/>
      </c>
      <c r="H36" s="30"/>
      <c r="I36" s="32"/>
      <c r="J36" s="39">
        <v>2.4873960039116554</v>
      </c>
      <c r="K36" s="38">
        <v>2.4873960039116554</v>
      </c>
      <c r="L36" s="43">
        <f t="shared" si="11"/>
        <v>2.643820694211072</v>
      </c>
      <c r="M36" s="50">
        <f t="shared" si="5"/>
        <v>2.643820694211072</v>
      </c>
      <c r="N36" s="32" t="str">
        <f t="shared" si="6"/>
        <v/>
      </c>
      <c r="X36" s="30">
        <f t="shared" si="7"/>
        <v>8.0616007434697483</v>
      </c>
      <c r="Y36" s="30">
        <f t="shared" si="8"/>
        <v>-2.2819575821950013</v>
      </c>
      <c r="Z36" s="30">
        <f t="shared" si="9"/>
        <v>7.2086677409975213</v>
      </c>
      <c r="AA36" s="30">
        <f t="shared" si="10"/>
        <v>-1.8810303921513571</v>
      </c>
    </row>
    <row r="37" spans="1:27" x14ac:dyDescent="0.3">
      <c r="A37" s="38">
        <v>2.5377748436351726</v>
      </c>
      <c r="B37" s="22" t="str">
        <f t="shared" si="1"/>
        <v/>
      </c>
      <c r="C37" s="22" t="str">
        <f t="shared" si="2"/>
        <v/>
      </c>
      <c r="D37" s="22" t="str">
        <f t="shared" si="12"/>
        <v/>
      </c>
      <c r="E37" s="22"/>
      <c r="F37" s="22"/>
      <c r="G37" s="22" t="str">
        <f t="shared" si="0"/>
        <v/>
      </c>
      <c r="H37" s="30"/>
      <c r="I37" s="32"/>
      <c r="J37" s="39">
        <v>2.6857098715097192</v>
      </c>
      <c r="K37" s="38">
        <v>2.6857098715097192</v>
      </c>
      <c r="L37" s="43">
        <f t="shared" si="11"/>
        <v>2.5377748436351726</v>
      </c>
      <c r="M37" s="50">
        <f t="shared" si="5"/>
        <v>2.5377748436351726</v>
      </c>
      <c r="N37" s="32" t="str">
        <f t="shared" si="6"/>
        <v/>
      </c>
      <c r="X37" s="30">
        <f t="shared" si="7"/>
        <v>8.0616007434697483</v>
      </c>
      <c r="Y37" s="30">
        <f t="shared" si="8"/>
        <v>-2.2819575821950013</v>
      </c>
      <c r="Z37" s="30">
        <f t="shared" si="9"/>
        <v>7.2086677409975213</v>
      </c>
      <c r="AA37" s="30">
        <f t="shared" si="10"/>
        <v>-1.8810303921513571</v>
      </c>
    </row>
    <row r="38" spans="1:27" x14ac:dyDescent="0.3">
      <c r="A38" s="38">
        <v>2.4873960039116554</v>
      </c>
      <c r="B38" s="22" t="str">
        <f t="shared" si="1"/>
        <v/>
      </c>
      <c r="C38" s="22" t="str">
        <f t="shared" si="2"/>
        <v/>
      </c>
      <c r="D38" s="22" t="str">
        <f t="shared" si="12"/>
        <v/>
      </c>
      <c r="E38" s="22"/>
      <c r="F38" s="22"/>
      <c r="G38" s="22" t="str">
        <f t="shared" si="0"/>
        <v/>
      </c>
      <c r="H38" s="30"/>
      <c r="I38" s="32"/>
      <c r="J38" s="39">
        <v>2.47375194253119</v>
      </c>
      <c r="K38" s="38">
        <v>2.47375194253119</v>
      </c>
      <c r="L38" s="43">
        <f t="shared" si="11"/>
        <v>2.4873960039116554</v>
      </c>
      <c r="M38" s="50">
        <f t="shared" si="5"/>
        <v>2.4873960039116554</v>
      </c>
      <c r="N38" s="32" t="str">
        <f t="shared" si="6"/>
        <v/>
      </c>
      <c r="X38" s="30">
        <f t="shared" si="7"/>
        <v>8.0616007434697483</v>
      </c>
      <c r="Y38" s="30">
        <f t="shared" si="8"/>
        <v>-2.2819575821950013</v>
      </c>
      <c r="Z38" s="30">
        <f t="shared" si="9"/>
        <v>7.2086677409975213</v>
      </c>
      <c r="AA38" s="30">
        <f t="shared" si="10"/>
        <v>-1.8810303921513571</v>
      </c>
    </row>
    <row r="39" spans="1:27" x14ac:dyDescent="0.3">
      <c r="A39" s="38">
        <v>2.6857098715097192</v>
      </c>
      <c r="B39" s="22" t="str">
        <f t="shared" si="1"/>
        <v/>
      </c>
      <c r="C39" s="22" t="str">
        <f t="shared" si="2"/>
        <v/>
      </c>
      <c r="D39" s="22" t="str">
        <f t="shared" si="12"/>
        <v/>
      </c>
      <c r="E39" s="22"/>
      <c r="F39" s="22"/>
      <c r="G39" s="22" t="str">
        <f t="shared" si="0"/>
        <v/>
      </c>
      <c r="H39" s="30"/>
      <c r="I39" s="32"/>
      <c r="J39" s="39">
        <v>3.2092347044584488</v>
      </c>
      <c r="K39" s="67">
        <v>2.9623775829999999</v>
      </c>
      <c r="L39" s="43">
        <f t="shared" si="11"/>
        <v>2.6857098715097192</v>
      </c>
      <c r="M39" s="50">
        <f t="shared" si="5"/>
        <v>2.6857098715097192</v>
      </c>
      <c r="N39" s="32" t="str">
        <f t="shared" si="6"/>
        <v/>
      </c>
      <c r="X39" s="30">
        <f t="shared" si="7"/>
        <v>8.0616007434697483</v>
      </c>
      <c r="Y39" s="30">
        <f t="shared" si="8"/>
        <v>-2.2819575821950013</v>
      </c>
      <c r="Z39" s="30">
        <f t="shared" si="9"/>
        <v>7.2086677409975213</v>
      </c>
      <c r="AA39" s="30">
        <f t="shared" si="10"/>
        <v>-1.8810303921513571</v>
      </c>
    </row>
    <row r="40" spans="1:27" x14ac:dyDescent="0.3">
      <c r="A40" s="38">
        <v>-9.3684125053675338</v>
      </c>
      <c r="B40" s="22" t="str">
        <f t="shared" si="1"/>
        <v/>
      </c>
      <c r="C40" s="22" t="str">
        <f t="shared" si="2"/>
        <v/>
      </c>
      <c r="D40" s="22" t="str">
        <f t="shared" si="12"/>
        <v>Выброс</v>
      </c>
      <c r="E40" s="22"/>
      <c r="F40" s="22"/>
      <c r="G40" s="22" t="str">
        <f t="shared" si="0"/>
        <v>Выброс</v>
      </c>
      <c r="H40" s="30"/>
      <c r="I40" s="32"/>
      <c r="J40" s="39">
        <v>3.432108395821805</v>
      </c>
      <c r="K40" s="40">
        <v>3.2423155110000001</v>
      </c>
      <c r="L40" s="43">
        <f t="shared" si="11"/>
        <v>2.643820694211072</v>
      </c>
      <c r="M40" s="50">
        <f t="shared" si="5"/>
        <v>-9.3684125053675338</v>
      </c>
      <c r="N40" s="32" t="str">
        <f t="shared" si="6"/>
        <v>NaN</v>
      </c>
      <c r="X40" s="30">
        <f t="shared" si="7"/>
        <v>8.0616007434697483</v>
      </c>
      <c r="Y40" s="30">
        <f t="shared" si="8"/>
        <v>-2.2819575821950013</v>
      </c>
      <c r="Z40" s="30">
        <f t="shared" si="9"/>
        <v>7.2086677409975213</v>
      </c>
      <c r="AA40" s="30">
        <f t="shared" si="10"/>
        <v>-1.8810303921513571</v>
      </c>
    </row>
    <row r="41" spans="1:27" x14ac:dyDescent="0.3">
      <c r="A41" s="38">
        <v>2.47375194253119</v>
      </c>
      <c r="B41" s="22" t="str">
        <f t="shared" si="1"/>
        <v/>
      </c>
      <c r="C41" s="22" t="str">
        <f t="shared" si="2"/>
        <v/>
      </c>
      <c r="D41" s="22" t="str">
        <f t="shared" si="12"/>
        <v/>
      </c>
      <c r="E41" s="22"/>
      <c r="F41" s="22"/>
      <c r="G41" s="22" t="str">
        <f t="shared" si="0"/>
        <v/>
      </c>
      <c r="H41" s="30"/>
      <c r="I41" s="32"/>
      <c r="J41" s="39">
        <v>3.2991608533170282</v>
      </c>
      <c r="K41" s="40">
        <v>3.9732224089999999</v>
      </c>
      <c r="L41" s="43">
        <f t="shared" si="11"/>
        <v>2.47375194253119</v>
      </c>
      <c r="M41" s="50">
        <f t="shared" si="5"/>
        <v>2.47375194253119</v>
      </c>
      <c r="N41" s="32" t="str">
        <f t="shared" si="6"/>
        <v/>
      </c>
      <c r="X41" s="30">
        <f t="shared" si="7"/>
        <v>8.0616007434697483</v>
      </c>
      <c r="Y41" s="30">
        <f t="shared" si="8"/>
        <v>-2.2819575821950013</v>
      </c>
      <c r="Z41" s="30">
        <f t="shared" si="9"/>
        <v>7.2086677409975213</v>
      </c>
      <c r="AA41" s="30">
        <f t="shared" si="10"/>
        <v>-1.8810303921513571</v>
      </c>
    </row>
    <row r="42" spans="1:27" x14ac:dyDescent="0.3">
      <c r="A42" s="38"/>
      <c r="B42" s="22" t="str">
        <f t="shared" si="1"/>
        <v>Пропуск</v>
      </c>
      <c r="C42" s="22" t="str">
        <f t="shared" si="2"/>
        <v>Пропуск</v>
      </c>
      <c r="D42" s="22" t="str">
        <f t="shared" si="12"/>
        <v/>
      </c>
      <c r="E42" s="22"/>
      <c r="F42" s="22"/>
      <c r="G42" s="22" t="str">
        <f t="shared" si="0"/>
        <v/>
      </c>
      <c r="H42" s="30"/>
      <c r="I42" s="32"/>
      <c r="J42" s="39">
        <v>3.4850054162477244</v>
      </c>
      <c r="K42" s="38">
        <v>3.2092347044584488</v>
      </c>
      <c r="L42" s="43">
        <f t="shared" si="11"/>
        <v>2.643820694211072</v>
      </c>
      <c r="M42" s="50">
        <f t="shared" si="5"/>
        <v>0</v>
      </c>
      <c r="N42" s="32" t="str">
        <f t="shared" si="6"/>
        <v>NaN</v>
      </c>
      <c r="X42" s="30">
        <f t="shared" si="7"/>
        <v>8.0616007434697483</v>
      </c>
      <c r="Y42" s="30">
        <f t="shared" si="8"/>
        <v>-2.2819575821950013</v>
      </c>
      <c r="Z42" s="30">
        <f t="shared" si="9"/>
        <v>7.2086677409975213</v>
      </c>
      <c r="AA42" s="30">
        <f t="shared" si="10"/>
        <v>-1.8810303921513571</v>
      </c>
    </row>
    <row r="43" spans="1:27" x14ac:dyDescent="0.3">
      <c r="A43" s="38"/>
      <c r="B43" s="22" t="str">
        <f t="shared" si="1"/>
        <v>Пропуск</v>
      </c>
      <c r="C43" s="22" t="str">
        <f t="shared" si="2"/>
        <v>Пропуск</v>
      </c>
      <c r="D43" s="22" t="str">
        <f t="shared" si="12"/>
        <v/>
      </c>
      <c r="E43" s="22"/>
      <c r="F43" s="22"/>
      <c r="G43" s="22" t="str">
        <f t="shared" si="0"/>
        <v/>
      </c>
      <c r="H43" s="30"/>
      <c r="I43" s="32"/>
      <c r="J43" s="39">
        <v>4.1719687689799052</v>
      </c>
      <c r="K43" s="38">
        <v>3.432108395821805</v>
      </c>
      <c r="L43" s="43">
        <f t="shared" si="11"/>
        <v>2.643820694211072</v>
      </c>
      <c r="M43" s="50">
        <f t="shared" si="5"/>
        <v>0</v>
      </c>
      <c r="N43" s="32" t="str">
        <f t="shared" si="6"/>
        <v>NaN</v>
      </c>
      <c r="X43" s="30">
        <f t="shared" si="7"/>
        <v>8.0616007434697483</v>
      </c>
      <c r="Y43" s="30">
        <f t="shared" si="8"/>
        <v>-2.2819575821950013</v>
      </c>
      <c r="Z43" s="30">
        <f t="shared" si="9"/>
        <v>7.2086677409975213</v>
      </c>
      <c r="AA43" s="30">
        <f t="shared" si="10"/>
        <v>-1.8810303921513571</v>
      </c>
    </row>
    <row r="44" spans="1:27" x14ac:dyDescent="0.3">
      <c r="A44" s="40" t="s">
        <v>34</v>
      </c>
      <c r="B44" s="22" t="str">
        <f t="shared" si="1"/>
        <v/>
      </c>
      <c r="C44" s="22" t="str">
        <f t="shared" si="2"/>
        <v>Пропуск</v>
      </c>
      <c r="D44" s="22" t="str">
        <f t="shared" si="12"/>
        <v/>
      </c>
      <c r="E44" s="22"/>
      <c r="F44" s="22"/>
      <c r="G44" s="22" t="str">
        <f t="shared" si="0"/>
        <v/>
      </c>
      <c r="H44" s="30"/>
      <c r="I44" s="32"/>
      <c r="J44" s="39">
        <v>3.5769846944008137</v>
      </c>
      <c r="K44" s="38">
        <v>3.2991608533170282</v>
      </c>
      <c r="L44" s="43">
        <f t="shared" si="11"/>
        <v>2.643820694211072</v>
      </c>
      <c r="M44" s="50" t="str">
        <f t="shared" si="5"/>
        <v> 2.962377583</v>
      </c>
      <c r="N44" s="32" t="str">
        <f t="shared" si="6"/>
        <v>NaN</v>
      </c>
      <c r="X44" s="30">
        <f t="shared" si="7"/>
        <v>8.0616007434697483</v>
      </c>
      <c r="Y44" s="30">
        <f t="shared" si="8"/>
        <v>-2.2819575821950013</v>
      </c>
      <c r="Z44" s="30">
        <f t="shared" si="9"/>
        <v>7.2086677409975213</v>
      </c>
      <c r="AA44" s="30">
        <f t="shared" si="10"/>
        <v>-1.8810303921513571</v>
      </c>
    </row>
    <row r="45" spans="1:27" x14ac:dyDescent="0.3">
      <c r="A45" s="40" t="s">
        <v>35</v>
      </c>
      <c r="B45" s="22" t="str">
        <f t="shared" si="1"/>
        <v/>
      </c>
      <c r="C45" s="22" t="str">
        <f t="shared" si="2"/>
        <v>Пропуск</v>
      </c>
      <c r="D45" s="22" t="str">
        <f t="shared" si="12"/>
        <v/>
      </c>
      <c r="E45" s="22"/>
      <c r="F45" s="22"/>
      <c r="G45" s="22" t="str">
        <f t="shared" si="0"/>
        <v/>
      </c>
      <c r="H45" s="30"/>
      <c r="I45" s="32"/>
      <c r="J45" s="39">
        <v>4.4499099755795255</v>
      </c>
      <c r="K45" s="38">
        <v>3.4850054162477244</v>
      </c>
      <c r="L45" s="43">
        <f t="shared" si="11"/>
        <v>2.643820694211072</v>
      </c>
      <c r="M45" s="50" t="str">
        <f t="shared" si="5"/>
        <v> 3.242315511</v>
      </c>
      <c r="N45" s="32" t="str">
        <f t="shared" si="6"/>
        <v>NaN</v>
      </c>
      <c r="X45" s="30">
        <f t="shared" si="7"/>
        <v>8.0616007434697483</v>
      </c>
      <c r="Y45" s="30">
        <f t="shared" si="8"/>
        <v>-2.2819575821950013</v>
      </c>
      <c r="Z45" s="30">
        <f t="shared" si="9"/>
        <v>7.2086677409975213</v>
      </c>
      <c r="AA45" s="30">
        <f t="shared" si="10"/>
        <v>-1.8810303921513571</v>
      </c>
    </row>
    <row r="46" spans="1:27" x14ac:dyDescent="0.3">
      <c r="A46" s="40" t="s">
        <v>36</v>
      </c>
      <c r="B46" s="22" t="str">
        <f t="shared" si="1"/>
        <v/>
      </c>
      <c r="C46" s="22" t="str">
        <f t="shared" si="2"/>
        <v>Пропуск</v>
      </c>
      <c r="D46" s="22" t="str">
        <f t="shared" si="12"/>
        <v/>
      </c>
      <c r="E46" s="22"/>
      <c r="F46" s="22"/>
      <c r="G46" s="22" t="str">
        <f t="shared" si="0"/>
        <v/>
      </c>
      <c r="H46" s="30"/>
      <c r="I46" s="32"/>
      <c r="J46" s="39">
        <v>4.3779373866296805</v>
      </c>
      <c r="K46" s="38">
        <v>4.1719687689799052</v>
      </c>
      <c r="L46" s="43">
        <f t="shared" si="11"/>
        <v>2.643820694211072</v>
      </c>
      <c r="M46" s="50" t="str">
        <f t="shared" si="5"/>
        <v> 3.973222409</v>
      </c>
      <c r="N46" s="32" t="str">
        <f t="shared" si="6"/>
        <v>NaN</v>
      </c>
      <c r="X46" s="30">
        <f t="shared" si="7"/>
        <v>8.0616007434697483</v>
      </c>
      <c r="Y46" s="30">
        <f t="shared" si="8"/>
        <v>-2.2819575821950013</v>
      </c>
      <c r="Z46" s="30">
        <f t="shared" si="9"/>
        <v>7.2086677409975213</v>
      </c>
      <c r="AA46" s="30">
        <f t="shared" si="10"/>
        <v>-1.8810303921513571</v>
      </c>
    </row>
    <row r="47" spans="1:27" x14ac:dyDescent="0.3">
      <c r="A47" s="38">
        <v>15.450173527632581</v>
      </c>
      <c r="B47" s="22" t="str">
        <f t="shared" si="1"/>
        <v/>
      </c>
      <c r="C47" s="22" t="str">
        <f t="shared" si="2"/>
        <v/>
      </c>
      <c r="D47" s="22" t="str">
        <f t="shared" si="12"/>
        <v>Выброс</v>
      </c>
      <c r="E47" s="22"/>
      <c r="F47" s="22"/>
      <c r="G47" s="22" t="str">
        <f t="shared" si="0"/>
        <v>Выброс</v>
      </c>
      <c r="H47" s="30"/>
      <c r="I47" s="32"/>
      <c r="J47" s="39">
        <v>4.1863655721339885</v>
      </c>
      <c r="K47" s="38">
        <v>3.5769846944008137</v>
      </c>
      <c r="L47" s="43">
        <f t="shared" si="11"/>
        <v>2.643820694211072</v>
      </c>
      <c r="M47" s="50">
        <f t="shared" si="5"/>
        <v>15.450173527632581</v>
      </c>
      <c r="N47" s="32" t="str">
        <f t="shared" si="6"/>
        <v>NaN</v>
      </c>
      <c r="X47" s="30">
        <f t="shared" si="7"/>
        <v>8.0616007434697483</v>
      </c>
      <c r="Y47" s="30">
        <f t="shared" si="8"/>
        <v>-2.2819575821950013</v>
      </c>
      <c r="Z47" s="30">
        <f t="shared" si="9"/>
        <v>7.2086677409975213</v>
      </c>
      <c r="AA47" s="30">
        <f t="shared" si="10"/>
        <v>-1.8810303921513571</v>
      </c>
    </row>
    <row r="48" spans="1:27" x14ac:dyDescent="0.3">
      <c r="A48" s="38">
        <v>3.2092347044584488</v>
      </c>
      <c r="B48" s="22" t="str">
        <f t="shared" si="1"/>
        <v/>
      </c>
      <c r="C48" s="22" t="str">
        <f t="shared" si="2"/>
        <v/>
      </c>
      <c r="D48" s="22" t="str">
        <f t="shared" si="12"/>
        <v/>
      </c>
      <c r="E48" s="22"/>
      <c r="F48" s="22"/>
      <c r="G48" s="22" t="str">
        <f t="shared" si="0"/>
        <v/>
      </c>
      <c r="H48" s="30"/>
      <c r="I48" s="32"/>
      <c r="J48" s="39">
        <v>4.2874517561600616</v>
      </c>
      <c r="K48" s="44">
        <v>4.4499099755795255</v>
      </c>
      <c r="L48" s="46">
        <f t="shared" si="11"/>
        <v>3.2092347044584488</v>
      </c>
      <c r="M48" s="50">
        <f t="shared" si="5"/>
        <v>3.2092347044584488</v>
      </c>
      <c r="N48" s="32" t="str">
        <f t="shared" si="6"/>
        <v/>
      </c>
      <c r="X48" s="30">
        <f t="shared" si="7"/>
        <v>8.0616007434697483</v>
      </c>
      <c r="Y48" s="30">
        <f t="shared" si="8"/>
        <v>-2.2819575821950013</v>
      </c>
      <c r="Z48" s="30">
        <f t="shared" si="9"/>
        <v>7.2086677409975213</v>
      </c>
      <c r="AA48" s="30">
        <f t="shared" si="10"/>
        <v>-1.8810303921513571</v>
      </c>
    </row>
    <row r="49" spans="1:27" x14ac:dyDescent="0.3">
      <c r="A49" s="38">
        <v>3.432108395821805</v>
      </c>
      <c r="B49" s="22" t="str">
        <f t="shared" si="1"/>
        <v/>
      </c>
      <c r="C49" s="22" t="str">
        <f t="shared" si="2"/>
        <v/>
      </c>
      <c r="D49" s="22" t="str">
        <f t="shared" si="12"/>
        <v/>
      </c>
      <c r="E49" s="22"/>
      <c r="F49" s="22"/>
      <c r="G49" s="22" t="str">
        <f t="shared" si="0"/>
        <v/>
      </c>
      <c r="H49" s="30"/>
      <c r="I49" s="32"/>
      <c r="J49" s="39">
        <v>4.4054694585934051</v>
      </c>
      <c r="K49" s="44">
        <v>4.3779373866296805</v>
      </c>
      <c r="L49" s="46">
        <f t="shared" si="11"/>
        <v>3.432108395821805</v>
      </c>
      <c r="M49" s="50">
        <f t="shared" si="5"/>
        <v>3.432108395821805</v>
      </c>
      <c r="N49" s="32" t="str">
        <f t="shared" si="6"/>
        <v/>
      </c>
      <c r="X49" s="30">
        <f t="shared" si="7"/>
        <v>8.0616007434697483</v>
      </c>
      <c r="Y49" s="30">
        <f t="shared" si="8"/>
        <v>-2.2819575821950013</v>
      </c>
      <c r="Z49" s="30">
        <f t="shared" si="9"/>
        <v>7.2086677409975213</v>
      </c>
      <c r="AA49" s="30">
        <f t="shared" si="10"/>
        <v>-1.8810303921513571</v>
      </c>
    </row>
    <row r="50" spans="1:27" x14ac:dyDescent="0.3">
      <c r="A50" s="38">
        <v>3.2991608533170282</v>
      </c>
      <c r="B50" s="22" t="str">
        <f t="shared" si="1"/>
        <v/>
      </c>
      <c r="C50" s="22" t="str">
        <f t="shared" si="2"/>
        <v/>
      </c>
      <c r="D50" s="22" t="str">
        <f t="shared" si="12"/>
        <v/>
      </c>
      <c r="E50" s="22"/>
      <c r="F50" s="22"/>
      <c r="G50" s="22" t="str">
        <f t="shared" si="0"/>
        <v/>
      </c>
      <c r="H50" s="30"/>
      <c r="I50" s="32"/>
      <c r="J50" s="39">
        <v>4.2775353461300814</v>
      </c>
      <c r="K50" s="44">
        <v>4.1863655721339885</v>
      </c>
      <c r="L50" s="46">
        <f t="shared" si="11"/>
        <v>3.2991608533170282</v>
      </c>
      <c r="M50" s="50">
        <f t="shared" si="5"/>
        <v>3.2991608533170282</v>
      </c>
      <c r="N50" s="32" t="str">
        <f t="shared" si="6"/>
        <v/>
      </c>
      <c r="X50" s="30">
        <f t="shared" si="7"/>
        <v>8.0616007434697483</v>
      </c>
      <c r="Y50" s="30">
        <f t="shared" si="8"/>
        <v>-2.2819575821950013</v>
      </c>
      <c r="Z50" s="30">
        <f t="shared" si="9"/>
        <v>7.2086677409975213</v>
      </c>
      <c r="AA50" s="30">
        <f t="shared" si="10"/>
        <v>-1.8810303921513571</v>
      </c>
    </row>
    <row r="51" spans="1:27" x14ac:dyDescent="0.3">
      <c r="A51" s="38">
        <v>3.4850054162477244</v>
      </c>
      <c r="B51" s="22" t="str">
        <f t="shared" si="1"/>
        <v/>
      </c>
      <c r="C51" s="22" t="str">
        <f t="shared" si="2"/>
        <v/>
      </c>
      <c r="D51" s="22" t="str">
        <f t="shared" si="12"/>
        <v/>
      </c>
      <c r="E51" s="22"/>
      <c r="F51" s="22"/>
      <c r="G51" s="22" t="str">
        <f t="shared" si="0"/>
        <v/>
      </c>
      <c r="H51" s="30"/>
      <c r="I51" s="32"/>
      <c r="J51" s="42">
        <v>4.7829826091924756</v>
      </c>
      <c r="K51" s="44">
        <v>4.2874517561600616</v>
      </c>
      <c r="L51" s="46">
        <f t="shared" si="11"/>
        <v>3.4850054162477244</v>
      </c>
      <c r="M51" s="50">
        <f t="shared" si="5"/>
        <v>3.4850054162477244</v>
      </c>
      <c r="N51" s="32" t="str">
        <f t="shared" si="6"/>
        <v/>
      </c>
      <c r="X51" s="30">
        <f t="shared" si="7"/>
        <v>8.0616007434697483</v>
      </c>
      <c r="Y51" s="30">
        <f t="shared" si="8"/>
        <v>-2.2819575821950013</v>
      </c>
      <c r="Z51" s="30">
        <f t="shared" si="9"/>
        <v>7.2086677409975213</v>
      </c>
      <c r="AA51" s="30">
        <f t="shared" si="10"/>
        <v>-1.8810303921513571</v>
      </c>
    </row>
    <row r="52" spans="1:27" x14ac:dyDescent="0.3">
      <c r="A52" s="38">
        <v>4.1719687689799052</v>
      </c>
      <c r="B52" s="22" t="str">
        <f t="shared" si="1"/>
        <v/>
      </c>
      <c r="C52" s="22" t="str">
        <f t="shared" si="2"/>
        <v/>
      </c>
      <c r="D52" s="22" t="str">
        <f t="shared" si="12"/>
        <v/>
      </c>
      <c r="E52" s="22"/>
      <c r="F52" s="22"/>
      <c r="G52" s="22" t="str">
        <f t="shared" si="0"/>
        <v/>
      </c>
      <c r="H52" s="30"/>
      <c r="I52" s="32"/>
      <c r="K52" s="44">
        <v>4.4054694585934051</v>
      </c>
      <c r="L52" s="46">
        <f t="shared" si="11"/>
        <v>4.1719687689799052</v>
      </c>
      <c r="M52" s="50">
        <f t="shared" si="5"/>
        <v>4.1719687689799052</v>
      </c>
      <c r="N52" s="32" t="str">
        <f t="shared" si="6"/>
        <v/>
      </c>
      <c r="X52" s="30">
        <f t="shared" si="7"/>
        <v>8.0616007434697483</v>
      </c>
      <c r="Y52" s="30">
        <f t="shared" si="8"/>
        <v>-2.2819575821950013</v>
      </c>
      <c r="Z52" s="30">
        <f t="shared" si="9"/>
        <v>7.2086677409975213</v>
      </c>
      <c r="AA52" s="30">
        <f t="shared" si="10"/>
        <v>-1.8810303921513571</v>
      </c>
    </row>
    <row r="53" spans="1:27" x14ac:dyDescent="0.3">
      <c r="A53" s="38">
        <v>3.5769846944008137</v>
      </c>
      <c r="B53" s="22" t="str">
        <f t="shared" si="1"/>
        <v/>
      </c>
      <c r="C53" s="22" t="str">
        <f t="shared" si="2"/>
        <v/>
      </c>
      <c r="D53" s="22" t="str">
        <f t="shared" si="12"/>
        <v/>
      </c>
      <c r="E53" s="22"/>
      <c r="F53" s="22"/>
      <c r="G53" s="22" t="str">
        <f t="shared" si="0"/>
        <v/>
      </c>
      <c r="H53" s="30"/>
      <c r="I53" s="32"/>
      <c r="K53" s="44">
        <v>4.2775353461300814</v>
      </c>
      <c r="L53" s="46">
        <f t="shared" si="11"/>
        <v>3.5769846944008137</v>
      </c>
      <c r="M53" s="50">
        <f t="shared" si="5"/>
        <v>3.5769846944008137</v>
      </c>
      <c r="N53" s="32" t="str">
        <f t="shared" si="6"/>
        <v/>
      </c>
      <c r="X53" s="30">
        <f t="shared" si="7"/>
        <v>8.0616007434697483</v>
      </c>
      <c r="Y53" s="30">
        <f t="shared" si="8"/>
        <v>-2.2819575821950013</v>
      </c>
      <c r="Z53" s="30">
        <f t="shared" si="9"/>
        <v>7.2086677409975213</v>
      </c>
      <c r="AA53" s="30">
        <f t="shared" si="10"/>
        <v>-1.8810303921513571</v>
      </c>
    </row>
    <row r="54" spans="1:27" x14ac:dyDescent="0.3">
      <c r="A54" s="38">
        <v>4.4499099755795255</v>
      </c>
      <c r="B54" s="22" t="str">
        <f t="shared" si="1"/>
        <v/>
      </c>
      <c r="C54" s="22" t="str">
        <f t="shared" si="2"/>
        <v/>
      </c>
      <c r="D54" s="22" t="str">
        <f t="shared" si="12"/>
        <v/>
      </c>
      <c r="E54" s="22"/>
      <c r="F54" s="22"/>
      <c r="G54" s="22" t="str">
        <f t="shared" si="0"/>
        <v/>
      </c>
      <c r="H54" s="30"/>
      <c r="I54" s="32"/>
      <c r="K54" s="45">
        <v>4.7829826091924801</v>
      </c>
      <c r="L54" s="46">
        <f t="shared" si="11"/>
        <v>4.4499099755795255</v>
      </c>
      <c r="M54" s="50">
        <f t="shared" si="5"/>
        <v>4.4499099755795255</v>
      </c>
      <c r="N54" s="32" t="str">
        <f t="shared" si="6"/>
        <v/>
      </c>
      <c r="X54" s="30">
        <f t="shared" si="7"/>
        <v>8.0616007434697483</v>
      </c>
      <c r="Y54" s="30">
        <f t="shared" si="8"/>
        <v>-2.2819575821950013</v>
      </c>
      <c r="Z54" s="30">
        <f t="shared" si="9"/>
        <v>7.2086677409975213</v>
      </c>
      <c r="AA54" s="30">
        <f t="shared" si="10"/>
        <v>-1.8810303921513571</v>
      </c>
    </row>
    <row r="55" spans="1:27" x14ac:dyDescent="0.3">
      <c r="A55" s="38">
        <v>4.3779373866296805</v>
      </c>
      <c r="B55" s="22" t="str">
        <f t="shared" si="1"/>
        <v/>
      </c>
      <c r="C55" s="22" t="str">
        <f t="shared" si="2"/>
        <v/>
      </c>
      <c r="D55" s="22" t="str">
        <f t="shared" si="12"/>
        <v/>
      </c>
      <c r="E55" s="22"/>
      <c r="F55" s="22"/>
      <c r="G55" s="22" t="str">
        <f t="shared" si="0"/>
        <v/>
      </c>
      <c r="H55" s="30"/>
      <c r="I55" s="32"/>
      <c r="L55" s="46">
        <f t="shared" si="11"/>
        <v>4.3779373866296805</v>
      </c>
      <c r="M55" s="50">
        <f t="shared" si="5"/>
        <v>4.3779373866296805</v>
      </c>
      <c r="N55" s="32" t="str">
        <f t="shared" si="6"/>
        <v/>
      </c>
      <c r="X55" s="30">
        <f t="shared" si="7"/>
        <v>8.0616007434697483</v>
      </c>
      <c r="Y55" s="30">
        <f t="shared" si="8"/>
        <v>-2.2819575821950013</v>
      </c>
      <c r="Z55" s="30">
        <f t="shared" si="9"/>
        <v>7.2086677409975213</v>
      </c>
      <c r="AA55" s="30">
        <f t="shared" si="10"/>
        <v>-1.8810303921513571</v>
      </c>
    </row>
    <row r="56" spans="1:27" x14ac:dyDescent="0.3">
      <c r="A56" s="38">
        <v>4.1863655721339885</v>
      </c>
      <c r="B56" s="22" t="str">
        <f t="shared" si="1"/>
        <v/>
      </c>
      <c r="C56" s="22" t="str">
        <f t="shared" si="2"/>
        <v/>
      </c>
      <c r="D56" s="22" t="str">
        <f t="shared" si="12"/>
        <v/>
      </c>
      <c r="E56" s="22"/>
      <c r="F56" s="22"/>
      <c r="G56" s="22" t="str">
        <f t="shared" si="0"/>
        <v/>
      </c>
      <c r="H56" s="30"/>
      <c r="I56" s="32"/>
      <c r="L56" s="46">
        <f t="shared" si="11"/>
        <v>4.1863655721339885</v>
      </c>
      <c r="M56" s="50">
        <f t="shared" si="5"/>
        <v>4.1863655721339885</v>
      </c>
      <c r="N56" s="32" t="str">
        <f t="shared" si="6"/>
        <v/>
      </c>
      <c r="X56" s="30">
        <f t="shared" si="7"/>
        <v>8.0616007434697483</v>
      </c>
      <c r="Y56" s="30">
        <f t="shared" si="8"/>
        <v>-2.2819575821950013</v>
      </c>
      <c r="Z56" s="30">
        <f t="shared" si="9"/>
        <v>7.2086677409975213</v>
      </c>
      <c r="AA56" s="30">
        <f t="shared" si="10"/>
        <v>-1.8810303921513571</v>
      </c>
    </row>
    <row r="57" spans="1:27" x14ac:dyDescent="0.3">
      <c r="A57" s="38">
        <v>4.2874517561600616</v>
      </c>
      <c r="B57" s="22" t="str">
        <f t="shared" si="1"/>
        <v/>
      </c>
      <c r="C57" s="22" t="str">
        <f t="shared" si="2"/>
        <v/>
      </c>
      <c r="D57" s="22" t="str">
        <f t="shared" si="12"/>
        <v/>
      </c>
      <c r="E57" s="22"/>
      <c r="F57" s="22"/>
      <c r="G57" s="22" t="str">
        <f t="shared" si="0"/>
        <v/>
      </c>
      <c r="H57" s="30"/>
      <c r="I57" s="32"/>
      <c r="L57" s="46">
        <f t="shared" si="11"/>
        <v>4.2874517561600616</v>
      </c>
      <c r="M57" s="50">
        <f t="shared" si="5"/>
        <v>4.2874517561600616</v>
      </c>
      <c r="N57" s="32" t="str">
        <f t="shared" si="6"/>
        <v/>
      </c>
      <c r="X57" s="30">
        <f t="shared" si="7"/>
        <v>8.0616007434697483</v>
      </c>
      <c r="Y57" s="30">
        <f t="shared" si="8"/>
        <v>-2.2819575821950013</v>
      </c>
      <c r="Z57" s="30">
        <f t="shared" si="9"/>
        <v>7.2086677409975213</v>
      </c>
      <c r="AA57" s="30">
        <f t="shared" si="10"/>
        <v>-1.8810303921513571</v>
      </c>
    </row>
    <row r="58" spans="1:27" x14ac:dyDescent="0.3">
      <c r="A58" s="38">
        <v>4.4054694585934051</v>
      </c>
      <c r="B58" s="22" t="str">
        <f t="shared" si="1"/>
        <v/>
      </c>
      <c r="C58" s="22" t="str">
        <f t="shared" si="2"/>
        <v/>
      </c>
      <c r="D58" s="22" t="str">
        <f t="shared" si="12"/>
        <v/>
      </c>
      <c r="E58" s="22"/>
      <c r="F58" s="22"/>
      <c r="G58" s="22" t="str">
        <f t="shared" si="0"/>
        <v/>
      </c>
      <c r="H58" s="30"/>
      <c r="I58" s="32"/>
      <c r="L58" s="46">
        <f t="shared" si="11"/>
        <v>4.4054694585934051</v>
      </c>
      <c r="M58" s="50">
        <f t="shared" si="5"/>
        <v>4.4054694585934051</v>
      </c>
      <c r="N58" s="32" t="str">
        <f t="shared" si="6"/>
        <v/>
      </c>
      <c r="X58" s="30">
        <f t="shared" si="7"/>
        <v>8.0616007434697483</v>
      </c>
      <c r="Y58" s="30">
        <f t="shared" si="8"/>
        <v>-2.2819575821950013</v>
      </c>
      <c r="Z58" s="30">
        <f t="shared" si="9"/>
        <v>7.2086677409975213</v>
      </c>
      <c r="AA58" s="30">
        <f t="shared" si="10"/>
        <v>-1.8810303921513571</v>
      </c>
    </row>
    <row r="59" spans="1:27" x14ac:dyDescent="0.3">
      <c r="A59" s="38">
        <v>4.2775353461300814</v>
      </c>
      <c r="B59" s="22" t="str">
        <f t="shared" si="1"/>
        <v/>
      </c>
      <c r="C59" s="22" t="str">
        <f t="shared" si="2"/>
        <v/>
      </c>
      <c r="D59" s="22" t="str">
        <f t="shared" si="12"/>
        <v/>
      </c>
      <c r="E59" s="22"/>
      <c r="F59" s="22"/>
      <c r="G59" s="22" t="str">
        <f t="shared" si="0"/>
        <v/>
      </c>
      <c r="H59" s="30"/>
      <c r="I59" s="32"/>
      <c r="L59" s="46">
        <f t="shared" si="11"/>
        <v>4.2775353461300814</v>
      </c>
      <c r="M59" s="50">
        <f t="shared" si="5"/>
        <v>4.2775353461300814</v>
      </c>
      <c r="N59" s="32" t="str">
        <f t="shared" si="6"/>
        <v/>
      </c>
      <c r="X59" s="30">
        <f t="shared" si="7"/>
        <v>8.0616007434697483</v>
      </c>
      <c r="Y59" s="30">
        <f t="shared" si="8"/>
        <v>-2.2819575821950013</v>
      </c>
      <c r="Z59" s="30">
        <f t="shared" si="9"/>
        <v>7.2086677409975213</v>
      </c>
      <c r="AA59" s="30">
        <f t="shared" si="10"/>
        <v>-1.8810303921513571</v>
      </c>
    </row>
    <row r="60" spans="1:27" x14ac:dyDescent="0.3">
      <c r="A60" s="41">
        <v>4.7829826091924756</v>
      </c>
      <c r="B60" s="23" t="str">
        <f t="shared" si="1"/>
        <v/>
      </c>
      <c r="C60" s="23" t="str">
        <f t="shared" si="2"/>
        <v/>
      </c>
      <c r="D60" s="23" t="str">
        <f t="shared" si="12"/>
        <v/>
      </c>
      <c r="E60" s="23"/>
      <c r="F60" s="23"/>
      <c r="G60" s="23" t="str">
        <f t="shared" si="0"/>
        <v/>
      </c>
      <c r="H60" s="33"/>
      <c r="I60" s="34"/>
      <c r="L60" s="47">
        <f t="shared" si="11"/>
        <v>4.7829826091924756</v>
      </c>
      <c r="M60" s="51">
        <f t="shared" si="5"/>
        <v>4.7829826091924756</v>
      </c>
      <c r="N60" s="34" t="str">
        <f t="shared" si="6"/>
        <v/>
      </c>
      <c r="X60" s="33">
        <f t="shared" si="7"/>
        <v>8.0616007434697483</v>
      </c>
      <c r="Y60" s="33">
        <f t="shared" si="8"/>
        <v>-2.2819575821950013</v>
      </c>
      <c r="Z60" s="33">
        <f t="shared" si="9"/>
        <v>7.2086677409975213</v>
      </c>
      <c r="AA60" s="33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8" priority="5" operator="equal">
      <formula>"Пропуск"</formula>
    </cfRule>
  </conditionalFormatting>
  <conditionalFormatting sqref="D21:D60">
    <cfRule type="cellIs" dxfId="7" priority="4" operator="equal">
      <formula>"Выброс"</formula>
    </cfRule>
  </conditionalFormatting>
  <conditionalFormatting sqref="G21:G60">
    <cfRule type="cellIs" dxfId="6" priority="2" operator="equal">
      <formula>"Выброс"</formula>
    </cfRule>
  </conditionalFormatting>
  <conditionalFormatting sqref="L21:L60">
    <cfRule type="cellIs" dxfId="5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opLeftCell="F15" zoomScale="120" zoomScaleNormal="120" workbookViewId="0">
      <selection activeCell="O34" sqref="O34"/>
    </sheetView>
  </sheetViews>
  <sheetFormatPr defaultColWidth="8.88671875" defaultRowHeight="14.4" x14ac:dyDescent="0.3"/>
  <cols>
    <col min="1" max="1" width="14.109375" style="17" customWidth="1"/>
    <col min="2" max="6" width="8.88671875" style="17"/>
    <col min="7" max="7" width="10.6640625" style="17" customWidth="1"/>
    <col min="8" max="8" width="8.88671875" style="17"/>
    <col min="9" max="10" width="12.109375" style="17" customWidth="1"/>
    <col min="11" max="11" width="12.6640625" style="17" customWidth="1"/>
    <col min="12" max="12" width="8.88671875" style="17"/>
    <col min="13" max="13" width="12.88671875" style="17" customWidth="1"/>
    <col min="14" max="14" width="5.88671875" style="17" customWidth="1"/>
    <col min="15" max="15" width="7.88671875" style="17" customWidth="1"/>
    <col min="16" max="16" width="12.5546875" style="17" customWidth="1"/>
    <col min="17" max="17" width="12.109375" style="17" customWidth="1"/>
    <col min="18" max="16384" width="8.88671875" style="17"/>
  </cols>
  <sheetData>
    <row r="1" spans="1:7" ht="15.6" x14ac:dyDescent="0.3">
      <c r="A1" s="18" t="s">
        <v>63</v>
      </c>
      <c r="B1" s="16"/>
      <c r="C1" s="16"/>
      <c r="D1" s="16"/>
      <c r="E1" s="16"/>
      <c r="F1" s="16"/>
    </row>
    <row r="2" spans="1:7" x14ac:dyDescent="0.3">
      <c r="A2" s="16"/>
      <c r="B2" s="16"/>
      <c r="C2" s="16"/>
      <c r="D2" s="16"/>
      <c r="E2" s="16"/>
      <c r="F2" s="16"/>
    </row>
    <row r="3" spans="1:7" x14ac:dyDescent="0.3">
      <c r="A3" s="16"/>
      <c r="B3" s="16"/>
      <c r="C3" s="16"/>
      <c r="D3" s="16"/>
      <c r="E3" s="16"/>
      <c r="F3" s="16"/>
    </row>
    <row r="4" spans="1:7" x14ac:dyDescent="0.3">
      <c r="A4" s="16"/>
      <c r="B4" s="16"/>
      <c r="C4" s="16"/>
      <c r="D4" s="16"/>
      <c r="E4" s="16"/>
      <c r="F4" s="16"/>
    </row>
    <row r="5" spans="1:7" x14ac:dyDescent="0.3">
      <c r="A5" s="16"/>
      <c r="B5" s="16"/>
      <c r="C5" s="16"/>
      <c r="D5" s="16"/>
      <c r="E5" s="16"/>
      <c r="F5" s="16"/>
    </row>
    <row r="6" spans="1:7" x14ac:dyDescent="0.3">
      <c r="A6" s="16"/>
      <c r="B6" s="16"/>
      <c r="C6" s="16"/>
      <c r="D6" s="16"/>
      <c r="E6" s="16"/>
      <c r="F6" s="16"/>
    </row>
    <row r="7" spans="1:7" x14ac:dyDescent="0.3">
      <c r="A7" s="16"/>
      <c r="B7" s="16"/>
      <c r="C7" s="16"/>
      <c r="D7" s="16"/>
      <c r="E7" s="16"/>
      <c r="F7" s="16"/>
    </row>
    <row r="8" spans="1:7" x14ac:dyDescent="0.3">
      <c r="A8" s="16"/>
      <c r="B8" s="16"/>
      <c r="C8" s="16"/>
      <c r="D8" s="16"/>
      <c r="E8" s="16"/>
      <c r="F8" s="16"/>
    </row>
    <row r="9" spans="1:7" x14ac:dyDescent="0.3">
      <c r="A9" s="16"/>
      <c r="B9" s="16"/>
      <c r="C9" s="16"/>
      <c r="D9" s="16"/>
      <c r="E9" s="16"/>
      <c r="F9" s="16"/>
    </row>
    <row r="10" spans="1:7" x14ac:dyDescent="0.3">
      <c r="A10" s="16"/>
      <c r="B10" s="16"/>
      <c r="C10" s="16"/>
      <c r="D10" s="16"/>
      <c r="E10" s="16"/>
      <c r="F10" s="16"/>
    </row>
    <row r="11" spans="1:7" x14ac:dyDescent="0.3">
      <c r="A11" s="16"/>
      <c r="B11" s="16"/>
      <c r="C11" s="16"/>
      <c r="D11" s="16"/>
      <c r="E11" s="16"/>
      <c r="F11" s="16"/>
    </row>
    <row r="12" spans="1:7" x14ac:dyDescent="0.3">
      <c r="A12" s="16"/>
      <c r="B12" s="16"/>
      <c r="C12" s="16"/>
      <c r="D12" s="16"/>
      <c r="E12" s="16"/>
      <c r="F12" s="16"/>
    </row>
    <row r="13" spans="1:7" x14ac:dyDescent="0.3">
      <c r="A13" s="16"/>
      <c r="B13" s="16"/>
      <c r="C13" s="16"/>
      <c r="D13" s="16"/>
      <c r="E13" s="16"/>
      <c r="F13" s="16"/>
    </row>
    <row r="14" spans="1:7" x14ac:dyDescent="0.3">
      <c r="A14" s="16"/>
      <c r="B14" s="16"/>
      <c r="C14" s="16"/>
      <c r="D14" s="16"/>
      <c r="E14" s="16"/>
      <c r="F14" s="16"/>
    </row>
    <row r="15" spans="1:7" x14ac:dyDescent="0.3">
      <c r="A15" s="16"/>
      <c r="B15" s="16"/>
      <c r="C15" s="16"/>
      <c r="D15" s="16"/>
      <c r="E15" s="16"/>
      <c r="F15" s="16"/>
    </row>
    <row r="16" spans="1:7" x14ac:dyDescent="0.3">
      <c r="G16" s="19"/>
    </row>
    <row r="17" spans="1:17" x14ac:dyDescent="0.3">
      <c r="G17" s="19"/>
    </row>
    <row r="18" spans="1:17" x14ac:dyDescent="0.3">
      <c r="B18" s="17" t="s">
        <v>38</v>
      </c>
      <c r="E18" s="17" t="s">
        <v>41</v>
      </c>
    </row>
    <row r="20" spans="1:17" ht="71.400000000000006" customHeight="1" thickBot="1" x14ac:dyDescent="0.35">
      <c r="A20" s="20" t="s">
        <v>37</v>
      </c>
      <c r="B20" s="21" t="s">
        <v>39</v>
      </c>
      <c r="C20" s="21" t="s">
        <v>40</v>
      </c>
      <c r="D20" s="111" t="s">
        <v>42</v>
      </c>
      <c r="E20" s="112"/>
      <c r="F20" s="113"/>
      <c r="G20" s="117" t="s">
        <v>64</v>
      </c>
      <c r="H20" s="118"/>
      <c r="I20" s="117" t="s">
        <v>65</v>
      </c>
      <c r="J20" s="118"/>
      <c r="K20" s="117" t="s">
        <v>66</v>
      </c>
      <c r="L20" s="118"/>
      <c r="M20" s="117" t="s">
        <v>73</v>
      </c>
      <c r="N20" s="119"/>
      <c r="O20" s="118"/>
      <c r="P20" s="117" t="s">
        <v>74</v>
      </c>
      <c r="Q20" s="118"/>
    </row>
    <row r="21" spans="1:17" x14ac:dyDescent="0.3">
      <c r="A21" s="38">
        <v>0.87361752807211857</v>
      </c>
      <c r="B21" s="22" t="str">
        <f>IF(A21="","Пропуск","")</f>
        <v/>
      </c>
      <c r="C21" s="22" t="str">
        <f>IF(IFERROR(ABS(A21)*SIGN(A21),0)=0, "Пропуск", "")</f>
        <v/>
      </c>
      <c r="D21" s="22" t="str">
        <f>IF(AND(ISNUMBER($A21), OR($A21&gt;F$29, $A21&lt;F$30)),"Выброс","")</f>
        <v/>
      </c>
      <c r="E21" s="22">
        <v>4</v>
      </c>
      <c r="F21" s="26">
        <f>_xlfn.QUARTILE.INC(A21:A60,E21)</f>
        <v>15.450173527632581</v>
      </c>
      <c r="G21" s="48">
        <f>A21</f>
        <v>0.87361752807211857</v>
      </c>
      <c r="H21" s="49" t="str">
        <f>IF(AND(C21="", D21=""),"","NaN")</f>
        <v/>
      </c>
      <c r="I21" s="48">
        <f>G21</f>
        <v>0.87361752807211857</v>
      </c>
      <c r="J21" s="32"/>
      <c r="K21" s="52" t="s">
        <v>67</v>
      </c>
      <c r="L21" s="56">
        <f>AVERAGE(I21:I60)</f>
        <v>2.7180816677104405</v>
      </c>
      <c r="M21" s="38">
        <v>0.87361752807211857</v>
      </c>
      <c r="N21" s="32">
        <v>1</v>
      </c>
      <c r="O21" s="68">
        <v>0</v>
      </c>
      <c r="P21" s="53" t="s">
        <v>67</v>
      </c>
      <c r="Q21" s="57">
        <f>AVERAGE(M21:M60)</f>
        <v>2.3103694175538747</v>
      </c>
    </row>
    <row r="22" spans="1:17" x14ac:dyDescent="0.3">
      <c r="A22" s="38">
        <v>0.40211979036867129</v>
      </c>
      <c r="B22" s="22" t="str">
        <f t="shared" ref="B22:B60" si="0">IF(A22="","Пропуск","")</f>
        <v/>
      </c>
      <c r="C22" s="22" t="str">
        <f t="shared" ref="C22:C60" si="1">IF(IFERROR(ABS(A22)*SIGN(A22),0)=0, "Пропуск", "")</f>
        <v/>
      </c>
      <c r="D22" s="22" t="str">
        <f t="shared" ref="D22:D26" si="2">IF(AND(ISNUMBER($A22), OR($A22&gt;F$29, $A22&lt;F$30)),"Выброс","")</f>
        <v/>
      </c>
      <c r="E22" s="22">
        <v>3</v>
      </c>
      <c r="F22" s="26">
        <f t="shared" ref="F22:F25" si="3">_xlfn.QUARTILE.INC(A22:A61,E22)</f>
        <v>4.1827663713454672</v>
      </c>
      <c r="G22" s="50">
        <f t="shared" ref="G22:G60" si="4">A22</f>
        <v>0.40211979036867129</v>
      </c>
      <c r="H22" s="32" t="str">
        <f t="shared" ref="H22:H60" si="5">IF(AND(C22="", D22=""),"","NaN")</f>
        <v/>
      </c>
      <c r="I22" s="50">
        <f t="shared" ref="I22:I60" si="6">G22</f>
        <v>0.40211979036867129</v>
      </c>
      <c r="J22" s="32"/>
      <c r="K22" s="53" t="s">
        <v>68</v>
      </c>
      <c r="L22" s="57">
        <f>MEDIAN(I21:I60)</f>
        <v>2.6647652828603956</v>
      </c>
      <c r="M22" s="38">
        <v>0.40211979036867129</v>
      </c>
      <c r="N22" s="32">
        <v>2</v>
      </c>
      <c r="O22" s="68">
        <v>0</v>
      </c>
      <c r="P22" s="53" t="s">
        <v>68</v>
      </c>
      <c r="Q22" s="57">
        <f>MEDIAN(M21:M60)</f>
        <v>2.4805739732214227</v>
      </c>
    </row>
    <row r="23" spans="1:17" x14ac:dyDescent="0.3">
      <c r="A23" s="38">
        <v>0.90927860287996887</v>
      </c>
      <c r="B23" s="22" t="str">
        <f t="shared" si="0"/>
        <v/>
      </c>
      <c r="C23" s="22" t="str">
        <f t="shared" si="1"/>
        <v/>
      </c>
      <c r="D23" s="22" t="str">
        <f t="shared" si="2"/>
        <v/>
      </c>
      <c r="E23" s="22">
        <v>2</v>
      </c>
      <c r="F23" s="26">
        <f t="shared" si="3"/>
        <v>2.643820694211072</v>
      </c>
      <c r="G23" s="50">
        <f t="shared" si="4"/>
        <v>0.90927860287996887</v>
      </c>
      <c r="H23" s="32" t="str">
        <f t="shared" si="5"/>
        <v/>
      </c>
      <c r="I23" s="50">
        <f t="shared" si="6"/>
        <v>0.90927860287996887</v>
      </c>
      <c r="J23" s="32"/>
      <c r="K23" s="53" t="s">
        <v>69</v>
      </c>
      <c r="L23" s="57">
        <f>SKEW(I21:I60)</f>
        <v>-0.12630322696950946</v>
      </c>
      <c r="M23" s="38">
        <v>0.90927860287996887</v>
      </c>
      <c r="N23" s="32">
        <v>3</v>
      </c>
      <c r="O23" s="68">
        <v>0</v>
      </c>
      <c r="P23" s="53" t="s">
        <v>69</v>
      </c>
      <c r="Q23" s="57">
        <f>SKEW(M21:M60)</f>
        <v>-9.4695341853124101E-2</v>
      </c>
    </row>
    <row r="24" spans="1:17" x14ac:dyDescent="0.3">
      <c r="A24" s="38">
        <v>0.72729497677173083</v>
      </c>
      <c r="B24" s="22" t="str">
        <f t="shared" si="0"/>
        <v/>
      </c>
      <c r="C24" s="22" t="str">
        <f t="shared" si="1"/>
        <v/>
      </c>
      <c r="D24" s="22" t="str">
        <f t="shared" si="2"/>
        <v/>
      </c>
      <c r="E24" s="22">
        <v>1</v>
      </c>
      <c r="F24" s="26">
        <f t="shared" si="3"/>
        <v>1.5968767899292797</v>
      </c>
      <c r="G24" s="50">
        <f t="shared" si="4"/>
        <v>0.72729497677173083</v>
      </c>
      <c r="H24" s="32" t="str">
        <f t="shared" si="5"/>
        <v/>
      </c>
      <c r="I24" s="50">
        <f t="shared" si="6"/>
        <v>0.72729497677173083</v>
      </c>
      <c r="J24" s="32"/>
      <c r="K24" s="53" t="s">
        <v>70</v>
      </c>
      <c r="L24" s="57">
        <f>KURT(I21:I60)</f>
        <v>-1.2109471244403665</v>
      </c>
      <c r="M24" s="38">
        <v>0.72729497677173083</v>
      </c>
      <c r="N24" s="32">
        <v>4</v>
      </c>
      <c r="O24" s="68">
        <v>0</v>
      </c>
      <c r="P24" s="53" t="s">
        <v>70</v>
      </c>
      <c r="Q24" s="57">
        <f>KURT(M21:M60)</f>
        <v>-1.2746538069299049</v>
      </c>
    </row>
    <row r="25" spans="1:17" ht="15" thickBot="1" x14ac:dyDescent="0.35">
      <c r="A25" s="38">
        <v>10.312855016797672</v>
      </c>
      <c r="B25" s="22" t="str">
        <f t="shared" si="0"/>
        <v/>
      </c>
      <c r="C25" s="22" t="str">
        <f t="shared" si="1"/>
        <v/>
      </c>
      <c r="D25" s="22" t="str">
        <f t="shared" si="2"/>
        <v>Выброс</v>
      </c>
      <c r="E25" s="22">
        <v>0</v>
      </c>
      <c r="F25" s="26">
        <f t="shared" si="3"/>
        <v>-14.211382328721635</v>
      </c>
      <c r="G25" s="50">
        <f t="shared" si="4"/>
        <v>10.312855016797672</v>
      </c>
      <c r="H25" s="32" t="str">
        <f t="shared" si="5"/>
        <v>NaN</v>
      </c>
      <c r="I25" s="50"/>
      <c r="J25" s="32" t="str">
        <f>IF(ISNUMBER(I25)," ","NaN")</f>
        <v>NaN</v>
      </c>
      <c r="K25" s="54" t="s">
        <v>71</v>
      </c>
      <c r="L25" s="58">
        <f>_xlfn.STDEV.S(I21:I60)</f>
        <v>1.291043701432341</v>
      </c>
      <c r="M25" s="61">
        <f>O21</f>
        <v>0</v>
      </c>
      <c r="N25" s="32">
        <v>5</v>
      </c>
      <c r="O25" s="68">
        <v>0</v>
      </c>
      <c r="P25" s="54" t="s">
        <v>71</v>
      </c>
      <c r="Q25" s="58">
        <f>_xlfn.STDEV.S(M21:M60)</f>
        <v>1.541584543156149</v>
      </c>
    </row>
    <row r="26" spans="1:17" ht="15" thickBot="1" x14ac:dyDescent="0.35">
      <c r="A26" s="38">
        <v>1.1175926106367795</v>
      </c>
      <c r="B26" s="22" t="str">
        <f t="shared" si="0"/>
        <v/>
      </c>
      <c r="C26" s="22" t="str">
        <f t="shared" si="1"/>
        <v/>
      </c>
      <c r="D26" s="22" t="str">
        <f t="shared" si="2"/>
        <v/>
      </c>
      <c r="E26" s="22"/>
      <c r="F26" s="22"/>
      <c r="G26" s="50">
        <f t="shared" si="4"/>
        <v>1.1175926106367795</v>
      </c>
      <c r="H26" s="32" t="str">
        <f t="shared" si="5"/>
        <v/>
      </c>
      <c r="I26" s="50">
        <f t="shared" si="6"/>
        <v>1.1175926106367795</v>
      </c>
      <c r="J26" s="32"/>
      <c r="K26" s="55" t="s">
        <v>72</v>
      </c>
      <c r="L26" s="59">
        <f>COUNTA(J21:J60)</f>
        <v>6</v>
      </c>
      <c r="M26" s="38">
        <v>1.1175926106367795</v>
      </c>
      <c r="N26" s="34">
        <v>6</v>
      </c>
      <c r="O26" s="69">
        <v>0</v>
      </c>
      <c r="P26" s="55" t="s">
        <v>75</v>
      </c>
      <c r="Q26" s="60">
        <f>SUMXMY2(L21:L25,Q21:Q25)</f>
        <v>0.26798403064127774</v>
      </c>
    </row>
    <row r="27" spans="1:17" x14ac:dyDescent="0.3">
      <c r="A27" s="38">
        <v>1.3711508532853576</v>
      </c>
      <c r="B27" s="22" t="str">
        <f t="shared" si="0"/>
        <v/>
      </c>
      <c r="C27" s="22" t="str">
        <f t="shared" si="1"/>
        <v/>
      </c>
      <c r="D27" s="22" t="str">
        <f t="shared" ref="D27:D60" si="7">IF(AND(ISNUMBER(A27), OR(A27&gt;$F$29, A27&lt;$F$30)),"Выброс","")</f>
        <v/>
      </c>
      <c r="E27" s="22" t="s">
        <v>43</v>
      </c>
      <c r="F27" s="27">
        <f>F22-F24</f>
        <v>2.5858895814161875</v>
      </c>
      <c r="G27" s="50">
        <f t="shared" si="4"/>
        <v>1.3711508532853576</v>
      </c>
      <c r="H27" s="32" t="str">
        <f t="shared" si="5"/>
        <v/>
      </c>
      <c r="I27" s="50">
        <f t="shared" si="6"/>
        <v>1.3711508532853576</v>
      </c>
      <c r="J27" s="32"/>
      <c r="M27" s="38">
        <v>1.3711508532853576</v>
      </c>
    </row>
    <row r="28" spans="1:17" x14ac:dyDescent="0.3">
      <c r="A28" s="38">
        <v>1.0136136533418696</v>
      </c>
      <c r="B28" s="22" t="str">
        <f t="shared" si="0"/>
        <v/>
      </c>
      <c r="C28" s="22" t="str">
        <f t="shared" si="1"/>
        <v/>
      </c>
      <c r="D28" s="22" t="str">
        <f t="shared" si="7"/>
        <v/>
      </c>
      <c r="E28" s="22"/>
      <c r="F28" s="22"/>
      <c r="G28" s="50">
        <f t="shared" si="4"/>
        <v>1.0136136533418696</v>
      </c>
      <c r="H28" s="32" t="str">
        <f t="shared" si="5"/>
        <v/>
      </c>
      <c r="I28" s="50">
        <f t="shared" si="6"/>
        <v>1.0136136533418696</v>
      </c>
      <c r="J28" s="32"/>
      <c r="M28" s="38">
        <v>1.0136136533418696</v>
      </c>
    </row>
    <row r="29" spans="1:17" x14ac:dyDescent="0.3">
      <c r="A29" s="38">
        <v>1.5982101462360836</v>
      </c>
      <c r="B29" s="22" t="str">
        <f t="shared" si="0"/>
        <v/>
      </c>
      <c r="C29" s="22" t="str">
        <f t="shared" si="1"/>
        <v/>
      </c>
      <c r="D29" s="22" t="str">
        <f t="shared" si="7"/>
        <v/>
      </c>
      <c r="E29" s="22" t="s">
        <v>45</v>
      </c>
      <c r="F29" s="27">
        <f>F22+1.5*F27</f>
        <v>8.0616007434697483</v>
      </c>
      <c r="G29" s="50">
        <f t="shared" si="4"/>
        <v>1.5982101462360836</v>
      </c>
      <c r="H29" s="32" t="str">
        <f t="shared" si="5"/>
        <v/>
      </c>
      <c r="I29" s="50">
        <f t="shared" si="6"/>
        <v>1.5982101462360836</v>
      </c>
      <c r="J29" s="32"/>
      <c r="M29" s="38">
        <v>1.5982101462360836</v>
      </c>
    </row>
    <row r="30" spans="1:17" x14ac:dyDescent="0.3">
      <c r="A30" s="38">
        <v>1.4491870129640976</v>
      </c>
      <c r="B30" s="22" t="str">
        <f t="shared" si="0"/>
        <v/>
      </c>
      <c r="C30" s="22" t="str">
        <f t="shared" si="1"/>
        <v/>
      </c>
      <c r="D30" s="22" t="str">
        <f t="shared" si="7"/>
        <v/>
      </c>
      <c r="E30" s="24" t="s">
        <v>44</v>
      </c>
      <c r="F30" s="27">
        <f>F24-1.5*F27</f>
        <v>-2.2819575821950013</v>
      </c>
      <c r="G30" s="50">
        <f t="shared" si="4"/>
        <v>1.4491870129640976</v>
      </c>
      <c r="H30" s="32" t="str">
        <f t="shared" si="5"/>
        <v/>
      </c>
      <c r="I30" s="50">
        <f t="shared" si="6"/>
        <v>1.4491870129640976</v>
      </c>
      <c r="J30" s="32"/>
      <c r="M30" s="38">
        <v>1.4491870129640976</v>
      </c>
    </row>
    <row r="31" spans="1:17" x14ac:dyDescent="0.3">
      <c r="A31" s="38">
        <v>1.5928767210088679</v>
      </c>
      <c r="B31" s="22" t="str">
        <f t="shared" si="0"/>
        <v/>
      </c>
      <c r="C31" s="22" t="str">
        <f t="shared" si="1"/>
        <v/>
      </c>
      <c r="D31" s="22" t="str">
        <f t="shared" si="7"/>
        <v/>
      </c>
      <c r="E31" s="25"/>
      <c r="F31" s="22"/>
      <c r="G31" s="50">
        <f t="shared" si="4"/>
        <v>1.5928767210088679</v>
      </c>
      <c r="H31" s="32" t="str">
        <f t="shared" si="5"/>
        <v/>
      </c>
      <c r="I31" s="50">
        <f t="shared" si="6"/>
        <v>1.5928767210088679</v>
      </c>
      <c r="J31" s="32"/>
      <c r="M31" s="38">
        <v>1.5928767210088679</v>
      </c>
    </row>
    <row r="32" spans="1:17" x14ac:dyDescent="0.3">
      <c r="A32" s="38">
        <v>-14.211382328721635</v>
      </c>
      <c r="B32" s="22" t="str">
        <f t="shared" si="0"/>
        <v/>
      </c>
      <c r="C32" s="22" t="str">
        <f t="shared" si="1"/>
        <v/>
      </c>
      <c r="D32" s="22" t="str">
        <f t="shared" si="7"/>
        <v>Выброс</v>
      </c>
      <c r="E32" s="22"/>
      <c r="F32" s="22"/>
      <c r="G32" s="50">
        <f t="shared" si="4"/>
        <v>-14.211382328721635</v>
      </c>
      <c r="H32" s="32" t="str">
        <f t="shared" si="5"/>
        <v>NaN</v>
      </c>
      <c r="I32" s="50"/>
      <c r="J32" s="32" t="str">
        <f t="shared" ref="J32:J47" si="8">IF(ISNUMBER(I32),"","NaN")</f>
        <v>NaN</v>
      </c>
      <c r="M32" s="61">
        <f>O22</f>
        <v>0</v>
      </c>
    </row>
    <row r="33" spans="1:13" x14ac:dyDescent="0.3">
      <c r="A33" s="38">
        <v>2.0205701774122398</v>
      </c>
      <c r="B33" s="22" t="str">
        <f t="shared" si="0"/>
        <v/>
      </c>
      <c r="C33" s="22" t="str">
        <f t="shared" si="1"/>
        <v/>
      </c>
      <c r="D33" s="22" t="str">
        <f t="shared" si="7"/>
        <v/>
      </c>
      <c r="E33" s="22"/>
      <c r="F33" s="22"/>
      <c r="G33" s="50">
        <f t="shared" si="4"/>
        <v>2.0205701774122398</v>
      </c>
      <c r="H33" s="32" t="str">
        <f t="shared" si="5"/>
        <v/>
      </c>
      <c r="I33" s="50">
        <f t="shared" si="6"/>
        <v>2.0205701774122398</v>
      </c>
      <c r="J33" s="32"/>
      <c r="M33" s="38">
        <v>2.0205701774122398</v>
      </c>
    </row>
    <row r="34" spans="1:13" x14ac:dyDescent="0.3">
      <c r="A34" s="38">
        <v>2.3579715339680964</v>
      </c>
      <c r="B34" s="22" t="str">
        <f t="shared" si="0"/>
        <v/>
      </c>
      <c r="C34" s="22" t="str">
        <f t="shared" si="1"/>
        <v/>
      </c>
      <c r="D34" s="22" t="str">
        <f t="shared" si="7"/>
        <v/>
      </c>
      <c r="E34" s="22"/>
      <c r="F34" s="22"/>
      <c r="G34" s="50">
        <f t="shared" si="4"/>
        <v>2.3579715339680964</v>
      </c>
      <c r="H34" s="32" t="str">
        <f t="shared" si="5"/>
        <v/>
      </c>
      <c r="I34" s="50">
        <f t="shared" si="6"/>
        <v>2.3579715339680964</v>
      </c>
      <c r="J34" s="32"/>
      <c r="M34" s="38">
        <v>2.3579715339680964</v>
      </c>
    </row>
    <row r="35" spans="1:13" x14ac:dyDescent="0.3">
      <c r="A35" s="38">
        <v>2.0328092987653474</v>
      </c>
      <c r="B35" s="22" t="str">
        <f t="shared" si="0"/>
        <v/>
      </c>
      <c r="C35" s="22" t="str">
        <f t="shared" si="1"/>
        <v/>
      </c>
      <c r="D35" s="22" t="str">
        <f t="shared" si="7"/>
        <v/>
      </c>
      <c r="E35" s="22"/>
      <c r="F35" s="22"/>
      <c r="G35" s="50">
        <f t="shared" si="4"/>
        <v>2.0328092987653474</v>
      </c>
      <c r="H35" s="32" t="str">
        <f t="shared" si="5"/>
        <v/>
      </c>
      <c r="I35" s="50">
        <f t="shared" si="6"/>
        <v>2.0328092987653474</v>
      </c>
      <c r="J35" s="32"/>
      <c r="M35" s="38">
        <v>2.0328092987653474</v>
      </c>
    </row>
    <row r="36" spans="1:13" x14ac:dyDescent="0.3">
      <c r="A36" s="38">
        <v>2.643820694211072</v>
      </c>
      <c r="B36" s="22" t="str">
        <f t="shared" si="0"/>
        <v/>
      </c>
      <c r="C36" s="22" t="str">
        <f t="shared" si="1"/>
        <v/>
      </c>
      <c r="D36" s="22" t="str">
        <f t="shared" si="7"/>
        <v/>
      </c>
      <c r="E36" s="22"/>
      <c r="F36" s="22"/>
      <c r="G36" s="50">
        <f t="shared" si="4"/>
        <v>2.643820694211072</v>
      </c>
      <c r="H36" s="32" t="str">
        <f t="shared" si="5"/>
        <v/>
      </c>
      <c r="I36" s="50">
        <f t="shared" si="6"/>
        <v>2.643820694211072</v>
      </c>
      <c r="J36" s="32"/>
      <c r="M36" s="38">
        <v>2.643820694211072</v>
      </c>
    </row>
    <row r="37" spans="1:13" x14ac:dyDescent="0.3">
      <c r="A37" s="38">
        <v>2.5377748436351726</v>
      </c>
      <c r="B37" s="22" t="str">
        <f t="shared" si="0"/>
        <v/>
      </c>
      <c r="C37" s="22" t="str">
        <f t="shared" si="1"/>
        <v/>
      </c>
      <c r="D37" s="22" t="str">
        <f t="shared" si="7"/>
        <v/>
      </c>
      <c r="E37" s="22"/>
      <c r="F37" s="22"/>
      <c r="G37" s="50">
        <f t="shared" si="4"/>
        <v>2.5377748436351726</v>
      </c>
      <c r="H37" s="32" t="str">
        <f t="shared" si="5"/>
        <v/>
      </c>
      <c r="I37" s="50">
        <f t="shared" si="6"/>
        <v>2.5377748436351726</v>
      </c>
      <c r="J37" s="32"/>
      <c r="M37" s="38">
        <v>2.5377748436351726</v>
      </c>
    </row>
    <row r="38" spans="1:13" x14ac:dyDescent="0.3">
      <c r="A38" s="38">
        <v>2.4873960039116554</v>
      </c>
      <c r="B38" s="22" t="str">
        <f t="shared" si="0"/>
        <v/>
      </c>
      <c r="C38" s="22" t="str">
        <f t="shared" si="1"/>
        <v/>
      </c>
      <c r="D38" s="22" t="str">
        <f t="shared" si="7"/>
        <v/>
      </c>
      <c r="E38" s="22"/>
      <c r="F38" s="22"/>
      <c r="G38" s="50">
        <f t="shared" si="4"/>
        <v>2.4873960039116554</v>
      </c>
      <c r="H38" s="32" t="str">
        <f t="shared" si="5"/>
        <v/>
      </c>
      <c r="I38" s="50">
        <f t="shared" si="6"/>
        <v>2.4873960039116554</v>
      </c>
      <c r="J38" s="32"/>
      <c r="M38" s="38">
        <v>2.4873960039116554</v>
      </c>
    </row>
    <row r="39" spans="1:13" x14ac:dyDescent="0.3">
      <c r="A39" s="38">
        <v>2.6857098715097192</v>
      </c>
      <c r="B39" s="22" t="str">
        <f t="shared" si="0"/>
        <v/>
      </c>
      <c r="C39" s="22" t="str">
        <f t="shared" si="1"/>
        <v/>
      </c>
      <c r="D39" s="22" t="str">
        <f t="shared" si="7"/>
        <v/>
      </c>
      <c r="E39" s="22"/>
      <c r="F39" s="22"/>
      <c r="G39" s="50">
        <f t="shared" si="4"/>
        <v>2.6857098715097192</v>
      </c>
      <c r="H39" s="32" t="str">
        <f t="shared" si="5"/>
        <v/>
      </c>
      <c r="I39" s="50">
        <f t="shared" si="6"/>
        <v>2.6857098715097192</v>
      </c>
      <c r="J39" s="32"/>
      <c r="M39" s="38">
        <v>2.6857098715097192</v>
      </c>
    </row>
    <row r="40" spans="1:13" x14ac:dyDescent="0.3">
      <c r="A40" s="38">
        <v>-9.3684125053675338</v>
      </c>
      <c r="B40" s="22" t="str">
        <f t="shared" si="0"/>
        <v/>
      </c>
      <c r="C40" s="22" t="str">
        <f t="shared" si="1"/>
        <v/>
      </c>
      <c r="D40" s="22" t="str">
        <f t="shared" si="7"/>
        <v>Выброс</v>
      </c>
      <c r="E40" s="22"/>
      <c r="F40" s="22"/>
      <c r="G40" s="50">
        <f t="shared" si="4"/>
        <v>-9.3684125053675338</v>
      </c>
      <c r="H40" s="32" t="str">
        <f t="shared" si="5"/>
        <v>NaN</v>
      </c>
      <c r="I40" s="50"/>
      <c r="J40" s="32" t="str">
        <f t="shared" si="8"/>
        <v>NaN</v>
      </c>
      <c r="M40" s="61">
        <f>O23</f>
        <v>0</v>
      </c>
    </row>
    <row r="41" spans="1:13" x14ac:dyDescent="0.3">
      <c r="A41" s="38">
        <v>2.47375194253119</v>
      </c>
      <c r="B41" s="22" t="str">
        <f t="shared" si="0"/>
        <v/>
      </c>
      <c r="C41" s="22" t="str">
        <f t="shared" si="1"/>
        <v/>
      </c>
      <c r="D41" s="22" t="str">
        <f t="shared" si="7"/>
        <v/>
      </c>
      <c r="E41" s="22"/>
      <c r="F41" s="22"/>
      <c r="G41" s="50">
        <f t="shared" si="4"/>
        <v>2.47375194253119</v>
      </c>
      <c r="H41" s="32" t="str">
        <f t="shared" si="5"/>
        <v/>
      </c>
      <c r="I41" s="50">
        <f t="shared" si="6"/>
        <v>2.47375194253119</v>
      </c>
      <c r="J41" s="32"/>
      <c r="M41" s="38">
        <v>2.47375194253119</v>
      </c>
    </row>
    <row r="42" spans="1:13" x14ac:dyDescent="0.3">
      <c r="A42" s="38"/>
      <c r="B42" s="22" t="str">
        <f t="shared" si="0"/>
        <v>Пропуск</v>
      </c>
      <c r="C42" s="22" t="str">
        <f t="shared" si="1"/>
        <v>Пропуск</v>
      </c>
      <c r="D42" s="22" t="str">
        <f t="shared" si="7"/>
        <v/>
      </c>
      <c r="E42" s="22"/>
      <c r="F42" s="22"/>
      <c r="G42" s="50">
        <f t="shared" si="4"/>
        <v>0</v>
      </c>
      <c r="H42" s="32" t="str">
        <f t="shared" si="5"/>
        <v>NaN</v>
      </c>
      <c r="I42" s="50"/>
      <c r="J42" s="32" t="str">
        <f t="shared" si="8"/>
        <v>NaN</v>
      </c>
      <c r="M42" s="61">
        <f>O24</f>
        <v>0</v>
      </c>
    </row>
    <row r="43" spans="1:13" x14ac:dyDescent="0.3">
      <c r="A43" s="38"/>
      <c r="B43" s="22" t="str">
        <f t="shared" si="0"/>
        <v>Пропуск</v>
      </c>
      <c r="C43" s="22" t="str">
        <f t="shared" si="1"/>
        <v>Пропуск</v>
      </c>
      <c r="D43" s="22" t="str">
        <f t="shared" si="7"/>
        <v/>
      </c>
      <c r="E43" s="22"/>
      <c r="F43" s="22"/>
      <c r="G43" s="50">
        <f t="shared" si="4"/>
        <v>0</v>
      </c>
      <c r="H43" s="32" t="str">
        <f t="shared" si="5"/>
        <v>NaN</v>
      </c>
      <c r="I43" s="50"/>
      <c r="J43" s="32" t="str">
        <f t="shared" si="8"/>
        <v>NaN</v>
      </c>
      <c r="M43" s="61">
        <f>O25</f>
        <v>0</v>
      </c>
    </row>
    <row r="44" spans="1:13" x14ac:dyDescent="0.3">
      <c r="A44" s="40" t="s">
        <v>34</v>
      </c>
      <c r="B44" s="22" t="str">
        <f t="shared" si="0"/>
        <v/>
      </c>
      <c r="C44" s="22" t="str">
        <f t="shared" si="1"/>
        <v>Пропуск</v>
      </c>
      <c r="D44" s="22" t="str">
        <f t="shared" si="7"/>
        <v/>
      </c>
      <c r="E44" s="22"/>
      <c r="F44" s="22"/>
      <c r="G44" s="50" t="str">
        <f t="shared" si="4"/>
        <v> 2.962377583</v>
      </c>
      <c r="H44" s="32" t="str">
        <f t="shared" si="5"/>
        <v>NaN</v>
      </c>
      <c r="I44" s="40">
        <v>2.9623775829999999</v>
      </c>
      <c r="J44" s="32"/>
      <c r="M44" s="40">
        <v>2.9623775829999999</v>
      </c>
    </row>
    <row r="45" spans="1:13" x14ac:dyDescent="0.3">
      <c r="A45" s="40" t="s">
        <v>35</v>
      </c>
      <c r="B45" s="22" t="str">
        <f t="shared" si="0"/>
        <v/>
      </c>
      <c r="C45" s="22" t="str">
        <f t="shared" si="1"/>
        <v>Пропуск</v>
      </c>
      <c r="D45" s="22" t="str">
        <f t="shared" si="7"/>
        <v/>
      </c>
      <c r="E45" s="22"/>
      <c r="F45" s="22"/>
      <c r="G45" s="50" t="str">
        <f t="shared" si="4"/>
        <v> 3.242315511</v>
      </c>
      <c r="H45" s="32" t="str">
        <f t="shared" si="5"/>
        <v>NaN</v>
      </c>
      <c r="I45" s="40">
        <v>3.2423155110000001</v>
      </c>
      <c r="J45" s="32"/>
      <c r="M45" s="40">
        <v>3.2423155110000001</v>
      </c>
    </row>
    <row r="46" spans="1:13" x14ac:dyDescent="0.3">
      <c r="A46" s="40" t="s">
        <v>36</v>
      </c>
      <c r="B46" s="22" t="str">
        <f t="shared" si="0"/>
        <v/>
      </c>
      <c r="C46" s="22" t="str">
        <f t="shared" si="1"/>
        <v>Пропуск</v>
      </c>
      <c r="D46" s="22" t="str">
        <f t="shared" si="7"/>
        <v/>
      </c>
      <c r="E46" s="22"/>
      <c r="F46" s="22"/>
      <c r="G46" s="50" t="str">
        <f t="shared" si="4"/>
        <v> 3.973222409</v>
      </c>
      <c r="H46" s="32" t="str">
        <f t="shared" si="5"/>
        <v>NaN</v>
      </c>
      <c r="I46" s="40">
        <v>3.9732224089999999</v>
      </c>
      <c r="J46" s="32"/>
      <c r="M46" s="40">
        <v>3.9732224089999999</v>
      </c>
    </row>
    <row r="47" spans="1:13" x14ac:dyDescent="0.3">
      <c r="A47" s="38">
        <v>15.450173527632581</v>
      </c>
      <c r="B47" s="22" t="str">
        <f t="shared" si="0"/>
        <v/>
      </c>
      <c r="C47" s="22" t="str">
        <f t="shared" si="1"/>
        <v/>
      </c>
      <c r="D47" s="22" t="str">
        <f t="shared" si="7"/>
        <v>Выброс</v>
      </c>
      <c r="E47" s="22"/>
      <c r="F47" s="22"/>
      <c r="G47" s="50">
        <f t="shared" si="4"/>
        <v>15.450173527632581</v>
      </c>
      <c r="H47" s="32" t="str">
        <f t="shared" si="5"/>
        <v>NaN</v>
      </c>
      <c r="I47" s="50"/>
      <c r="J47" s="32" t="str">
        <f t="shared" si="8"/>
        <v>NaN</v>
      </c>
      <c r="M47" s="61">
        <f>O26</f>
        <v>0</v>
      </c>
    </row>
    <row r="48" spans="1:13" x14ac:dyDescent="0.3">
      <c r="A48" s="38">
        <v>3.2092347044584488</v>
      </c>
      <c r="B48" s="22" t="str">
        <f t="shared" si="0"/>
        <v/>
      </c>
      <c r="C48" s="22" t="str">
        <f t="shared" si="1"/>
        <v/>
      </c>
      <c r="D48" s="22" t="str">
        <f t="shared" si="7"/>
        <v/>
      </c>
      <c r="E48" s="22"/>
      <c r="F48" s="22"/>
      <c r="G48" s="50">
        <f t="shared" si="4"/>
        <v>3.2092347044584488</v>
      </c>
      <c r="H48" s="32" t="str">
        <f t="shared" si="5"/>
        <v/>
      </c>
      <c r="I48" s="50">
        <f t="shared" si="6"/>
        <v>3.2092347044584488</v>
      </c>
      <c r="J48" s="32"/>
      <c r="M48" s="38">
        <v>3.2092347044584488</v>
      </c>
    </row>
    <row r="49" spans="1:13" x14ac:dyDescent="0.3">
      <c r="A49" s="38">
        <v>3.432108395821805</v>
      </c>
      <c r="B49" s="22" t="str">
        <f t="shared" si="0"/>
        <v/>
      </c>
      <c r="C49" s="22" t="str">
        <f t="shared" si="1"/>
        <v/>
      </c>
      <c r="D49" s="22" t="str">
        <f t="shared" si="7"/>
        <v/>
      </c>
      <c r="E49" s="22"/>
      <c r="F49" s="22"/>
      <c r="G49" s="50">
        <f t="shared" si="4"/>
        <v>3.432108395821805</v>
      </c>
      <c r="H49" s="32" t="str">
        <f t="shared" si="5"/>
        <v/>
      </c>
      <c r="I49" s="50">
        <f t="shared" si="6"/>
        <v>3.432108395821805</v>
      </c>
      <c r="J49" s="32"/>
      <c r="M49" s="38">
        <v>3.432108395821805</v>
      </c>
    </row>
    <row r="50" spans="1:13" x14ac:dyDescent="0.3">
      <c r="A50" s="38">
        <v>3.2991608533170282</v>
      </c>
      <c r="B50" s="22" t="str">
        <f t="shared" si="0"/>
        <v/>
      </c>
      <c r="C50" s="22" t="str">
        <f t="shared" si="1"/>
        <v/>
      </c>
      <c r="D50" s="22" t="str">
        <f t="shared" si="7"/>
        <v/>
      </c>
      <c r="E50" s="22"/>
      <c r="F50" s="22"/>
      <c r="G50" s="50">
        <f t="shared" si="4"/>
        <v>3.2991608533170282</v>
      </c>
      <c r="H50" s="32" t="str">
        <f t="shared" si="5"/>
        <v/>
      </c>
      <c r="I50" s="50">
        <f t="shared" si="6"/>
        <v>3.2991608533170282</v>
      </c>
      <c r="J50" s="32"/>
      <c r="M50" s="38">
        <v>3.2991608533170282</v>
      </c>
    </row>
    <row r="51" spans="1:13" x14ac:dyDescent="0.3">
      <c r="A51" s="38">
        <v>3.4850054162477244</v>
      </c>
      <c r="B51" s="22" t="str">
        <f t="shared" si="0"/>
        <v/>
      </c>
      <c r="C51" s="22" t="str">
        <f t="shared" si="1"/>
        <v/>
      </c>
      <c r="D51" s="22" t="str">
        <f t="shared" si="7"/>
        <v/>
      </c>
      <c r="E51" s="22"/>
      <c r="F51" s="22"/>
      <c r="G51" s="50">
        <f t="shared" si="4"/>
        <v>3.4850054162477244</v>
      </c>
      <c r="H51" s="32" t="str">
        <f t="shared" si="5"/>
        <v/>
      </c>
      <c r="I51" s="50">
        <f t="shared" si="6"/>
        <v>3.4850054162477244</v>
      </c>
      <c r="J51" s="32"/>
      <c r="M51" s="38">
        <v>3.4850054162477244</v>
      </c>
    </row>
    <row r="52" spans="1:13" x14ac:dyDescent="0.3">
      <c r="A52" s="38">
        <v>4.1719687689799052</v>
      </c>
      <c r="B52" s="22" t="str">
        <f t="shared" si="0"/>
        <v/>
      </c>
      <c r="C52" s="22" t="str">
        <f t="shared" si="1"/>
        <v/>
      </c>
      <c r="D52" s="22" t="str">
        <f t="shared" si="7"/>
        <v/>
      </c>
      <c r="E52" s="22"/>
      <c r="F52" s="22"/>
      <c r="G52" s="50">
        <f t="shared" si="4"/>
        <v>4.1719687689799052</v>
      </c>
      <c r="H52" s="32" t="str">
        <f t="shared" si="5"/>
        <v/>
      </c>
      <c r="I52" s="50">
        <f t="shared" si="6"/>
        <v>4.1719687689799052</v>
      </c>
      <c r="J52" s="32"/>
      <c r="M52" s="38">
        <v>4.1719687689799052</v>
      </c>
    </row>
    <row r="53" spans="1:13" x14ac:dyDescent="0.3">
      <c r="A53" s="38">
        <v>3.5769846944008137</v>
      </c>
      <c r="B53" s="22" t="str">
        <f t="shared" si="0"/>
        <v/>
      </c>
      <c r="C53" s="22" t="str">
        <f t="shared" si="1"/>
        <v/>
      </c>
      <c r="D53" s="22" t="str">
        <f t="shared" si="7"/>
        <v/>
      </c>
      <c r="E53" s="22"/>
      <c r="F53" s="22"/>
      <c r="G53" s="50">
        <f t="shared" si="4"/>
        <v>3.5769846944008137</v>
      </c>
      <c r="H53" s="32" t="str">
        <f t="shared" si="5"/>
        <v/>
      </c>
      <c r="I53" s="50">
        <f t="shared" si="6"/>
        <v>3.5769846944008137</v>
      </c>
      <c r="J53" s="32"/>
      <c r="M53" s="38">
        <v>3.5769846944008137</v>
      </c>
    </row>
    <row r="54" spans="1:13" x14ac:dyDescent="0.3">
      <c r="A54" s="38">
        <v>4.4499099755795255</v>
      </c>
      <c r="B54" s="22" t="str">
        <f t="shared" si="0"/>
        <v/>
      </c>
      <c r="C54" s="22" t="str">
        <f t="shared" si="1"/>
        <v/>
      </c>
      <c r="D54" s="22" t="str">
        <f t="shared" si="7"/>
        <v/>
      </c>
      <c r="E54" s="22"/>
      <c r="F54" s="22"/>
      <c r="G54" s="50">
        <f t="shared" si="4"/>
        <v>4.4499099755795255</v>
      </c>
      <c r="H54" s="32" t="str">
        <f t="shared" si="5"/>
        <v/>
      </c>
      <c r="I54" s="50">
        <f t="shared" si="6"/>
        <v>4.4499099755795255</v>
      </c>
      <c r="J54" s="32"/>
      <c r="M54" s="38">
        <v>4.4499099755795255</v>
      </c>
    </row>
    <row r="55" spans="1:13" x14ac:dyDescent="0.3">
      <c r="A55" s="38">
        <v>4.3779373866296805</v>
      </c>
      <c r="B55" s="22" t="str">
        <f t="shared" si="0"/>
        <v/>
      </c>
      <c r="C55" s="22" t="str">
        <f t="shared" si="1"/>
        <v/>
      </c>
      <c r="D55" s="22" t="str">
        <f t="shared" si="7"/>
        <v/>
      </c>
      <c r="E55" s="22"/>
      <c r="F55" s="22"/>
      <c r="G55" s="50">
        <f t="shared" si="4"/>
        <v>4.3779373866296805</v>
      </c>
      <c r="H55" s="32" t="str">
        <f t="shared" si="5"/>
        <v/>
      </c>
      <c r="I55" s="50">
        <f t="shared" si="6"/>
        <v>4.3779373866296805</v>
      </c>
      <c r="J55" s="32"/>
      <c r="M55" s="38">
        <v>4.3779373866296805</v>
      </c>
    </row>
    <row r="56" spans="1:13" x14ac:dyDescent="0.3">
      <c r="A56" s="38">
        <v>4.1863655721339885</v>
      </c>
      <c r="B56" s="22" t="str">
        <f t="shared" si="0"/>
        <v/>
      </c>
      <c r="C56" s="22" t="str">
        <f t="shared" si="1"/>
        <v/>
      </c>
      <c r="D56" s="22" t="str">
        <f t="shared" si="7"/>
        <v/>
      </c>
      <c r="E56" s="22"/>
      <c r="F56" s="22"/>
      <c r="G56" s="50">
        <f t="shared" si="4"/>
        <v>4.1863655721339885</v>
      </c>
      <c r="H56" s="32" t="str">
        <f t="shared" si="5"/>
        <v/>
      </c>
      <c r="I56" s="50">
        <f t="shared" si="6"/>
        <v>4.1863655721339885</v>
      </c>
      <c r="J56" s="32"/>
      <c r="M56" s="38">
        <v>4.1863655721339885</v>
      </c>
    </row>
    <row r="57" spans="1:13" x14ac:dyDescent="0.3">
      <c r="A57" s="38">
        <v>4.2874517561600616</v>
      </c>
      <c r="B57" s="22" t="str">
        <f t="shared" si="0"/>
        <v/>
      </c>
      <c r="C57" s="22" t="str">
        <f t="shared" si="1"/>
        <v/>
      </c>
      <c r="D57" s="22" t="str">
        <f t="shared" si="7"/>
        <v/>
      </c>
      <c r="E57" s="22"/>
      <c r="F57" s="22"/>
      <c r="G57" s="50">
        <f t="shared" si="4"/>
        <v>4.2874517561600616</v>
      </c>
      <c r="H57" s="32" t="str">
        <f t="shared" si="5"/>
        <v/>
      </c>
      <c r="I57" s="50">
        <f t="shared" si="6"/>
        <v>4.2874517561600616</v>
      </c>
      <c r="J57" s="32"/>
      <c r="M57" s="38">
        <v>4.2874517561600616</v>
      </c>
    </row>
    <row r="58" spans="1:13" x14ac:dyDescent="0.3">
      <c r="A58" s="38">
        <v>4.4054694585934051</v>
      </c>
      <c r="B58" s="22" t="str">
        <f t="shared" si="0"/>
        <v/>
      </c>
      <c r="C58" s="22" t="str">
        <f t="shared" si="1"/>
        <v/>
      </c>
      <c r="D58" s="22" t="str">
        <f t="shared" si="7"/>
        <v/>
      </c>
      <c r="E58" s="22"/>
      <c r="F58" s="22"/>
      <c r="G58" s="50">
        <f t="shared" si="4"/>
        <v>4.4054694585934051</v>
      </c>
      <c r="H58" s="32" t="str">
        <f t="shared" si="5"/>
        <v/>
      </c>
      <c r="I58" s="50">
        <f t="shared" si="6"/>
        <v>4.4054694585934051</v>
      </c>
      <c r="J58" s="32"/>
      <c r="M58" s="38">
        <v>4.4054694585934051</v>
      </c>
    </row>
    <row r="59" spans="1:13" x14ac:dyDescent="0.3">
      <c r="A59" s="38">
        <v>4.2775353461300814</v>
      </c>
      <c r="B59" s="22" t="str">
        <f t="shared" si="0"/>
        <v/>
      </c>
      <c r="C59" s="22" t="str">
        <f t="shared" si="1"/>
        <v/>
      </c>
      <c r="D59" s="22" t="str">
        <f t="shared" si="7"/>
        <v/>
      </c>
      <c r="E59" s="22"/>
      <c r="F59" s="22"/>
      <c r="G59" s="50">
        <f t="shared" si="4"/>
        <v>4.2775353461300814</v>
      </c>
      <c r="H59" s="32" t="str">
        <f t="shared" si="5"/>
        <v/>
      </c>
      <c r="I59" s="50">
        <f t="shared" si="6"/>
        <v>4.2775353461300814</v>
      </c>
      <c r="J59" s="32"/>
      <c r="M59" s="38">
        <v>4.2775353461300814</v>
      </c>
    </row>
    <row r="60" spans="1:13" x14ac:dyDescent="0.3">
      <c r="A60" s="41">
        <v>4.7829826091924756</v>
      </c>
      <c r="B60" s="23" t="str">
        <f t="shared" si="0"/>
        <v/>
      </c>
      <c r="C60" s="23" t="str">
        <f t="shared" si="1"/>
        <v/>
      </c>
      <c r="D60" s="23" t="str">
        <f t="shared" si="7"/>
        <v/>
      </c>
      <c r="E60" s="23"/>
      <c r="F60" s="23"/>
      <c r="G60" s="51">
        <f t="shared" si="4"/>
        <v>4.7829826091924756</v>
      </c>
      <c r="H60" s="34" t="str">
        <f t="shared" si="5"/>
        <v/>
      </c>
      <c r="I60" s="51">
        <f t="shared" si="6"/>
        <v>4.7829826091924756</v>
      </c>
      <c r="J60" s="34"/>
      <c r="M60" s="41">
        <v>4.7829826091924756</v>
      </c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B21:C60">
    <cfRule type="cellIs" dxfId="4" priority="5" operator="equal">
      <formula>"Пропуск"</formula>
    </cfRule>
  </conditionalFormatting>
  <conditionalFormatting sqref="D21:D60">
    <cfRule type="cellIs" dxfId="3" priority="4" operator="equal">
      <formula>"Выброс"</formula>
    </cfRule>
  </conditionalFormatting>
  <conditionalFormatting sqref="M21:M60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318-7E8A-459E-AE8F-C1CCCC893B58}">
  <dimension ref="A1:C19"/>
  <sheetViews>
    <sheetView zoomScale="110" zoomScaleNormal="110" workbookViewId="0">
      <selection activeCell="C20" sqref="C20"/>
    </sheetView>
  </sheetViews>
  <sheetFormatPr defaultRowHeight="14.4" x14ac:dyDescent="0.3"/>
  <sheetData>
    <row r="1" spans="1:3" x14ac:dyDescent="0.3">
      <c r="B1" t="s">
        <v>85</v>
      </c>
    </row>
    <row r="2" spans="1:3" x14ac:dyDescent="0.3">
      <c r="B2" s="62" t="s">
        <v>82</v>
      </c>
    </row>
    <row r="4" spans="1:3" x14ac:dyDescent="0.3">
      <c r="A4" t="s">
        <v>83</v>
      </c>
      <c r="B4" s="63" t="s">
        <v>76</v>
      </c>
    </row>
    <row r="5" spans="1:3" x14ac:dyDescent="0.3">
      <c r="A5">
        <v>1</v>
      </c>
      <c r="B5" s="64">
        <v>3.8</v>
      </c>
    </row>
    <row r="6" spans="1:3" x14ac:dyDescent="0.3">
      <c r="A6">
        <v>2</v>
      </c>
      <c r="B6" s="65">
        <v>3.5</v>
      </c>
    </row>
    <row r="7" spans="1:3" x14ac:dyDescent="0.3">
      <c r="A7">
        <v>3</v>
      </c>
      <c r="B7" s="64">
        <v>3.9</v>
      </c>
    </row>
    <row r="8" spans="1:3" x14ac:dyDescent="0.3">
      <c r="A8">
        <v>4</v>
      </c>
      <c r="B8" s="65">
        <v>3.9</v>
      </c>
    </row>
    <row r="9" spans="1:3" x14ac:dyDescent="0.3">
      <c r="A9">
        <v>5</v>
      </c>
      <c r="B9" s="64">
        <v>3.4</v>
      </c>
    </row>
    <row r="10" spans="1:3" x14ac:dyDescent="0.3">
      <c r="A10">
        <v>6</v>
      </c>
      <c r="B10" s="66">
        <v>1.8</v>
      </c>
    </row>
    <row r="12" spans="1:3" x14ac:dyDescent="0.3">
      <c r="B12" s="6">
        <f>AVERAGE(B5:B10)</f>
        <v>3.3833333333333333</v>
      </c>
      <c r="C12" t="s">
        <v>67</v>
      </c>
    </row>
    <row r="13" spans="1:3" x14ac:dyDescent="0.3">
      <c r="B13" s="6">
        <f>_xlfn.STDEV.S(B5:B10)</f>
        <v>0.80353386155573114</v>
      </c>
      <c r="C13" t="s">
        <v>77</v>
      </c>
    </row>
    <row r="14" spans="1:3" x14ac:dyDescent="0.3">
      <c r="B14">
        <f>B10</f>
        <v>1.8</v>
      </c>
      <c r="C14" t="s">
        <v>78</v>
      </c>
    </row>
    <row r="15" spans="1:3" x14ac:dyDescent="0.3">
      <c r="B15" s="6">
        <f>ABS(B10-B12)/B13</f>
        <v>1.9704624896178282</v>
      </c>
      <c r="C15" t="s">
        <v>79</v>
      </c>
    </row>
    <row r="16" spans="1:3" x14ac:dyDescent="0.3">
      <c r="B16" s="6">
        <f>NORMDIST(B15,B12,B13,TRUE)</f>
        <v>3.9346412960281581E-2</v>
      </c>
      <c r="C16" t="s">
        <v>84</v>
      </c>
    </row>
    <row r="17" spans="2:3" x14ac:dyDescent="0.3">
      <c r="C17" t="s">
        <v>80</v>
      </c>
    </row>
    <row r="18" spans="2:3" x14ac:dyDescent="0.3">
      <c r="B18" s="6">
        <f>B16*6</f>
        <v>0.2360784777616895</v>
      </c>
      <c r="C18" t="s">
        <v>81</v>
      </c>
    </row>
    <row r="19" spans="2:3" x14ac:dyDescent="0.3">
      <c r="C19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B860-1847-4959-B044-82D5B2B94294}">
  <dimension ref="A1:I32"/>
  <sheetViews>
    <sheetView topLeftCell="A8" zoomScale="120" zoomScaleNormal="120" workbookViewId="0">
      <selection activeCell="E20" sqref="E20"/>
    </sheetView>
  </sheetViews>
  <sheetFormatPr defaultRowHeight="14.4" x14ac:dyDescent="0.3"/>
  <cols>
    <col min="1" max="1" width="8.109375" style="84" customWidth="1"/>
  </cols>
  <sheetData>
    <row r="1" spans="1:9" ht="15.6" x14ac:dyDescent="0.3">
      <c r="A1" s="70" t="s">
        <v>82</v>
      </c>
    </row>
    <row r="2" spans="1:9" ht="15.6" customHeight="1" x14ac:dyDescent="0.3">
      <c r="A2" s="70" t="s">
        <v>87</v>
      </c>
    </row>
    <row r="3" spans="1:9" ht="15.6" customHeight="1" x14ac:dyDescent="0.3">
      <c r="A3" s="70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71" t="s">
        <v>90</v>
      </c>
      <c r="B6" s="71" t="s">
        <v>91</v>
      </c>
      <c r="C6" s="4"/>
      <c r="E6" t="s">
        <v>92</v>
      </c>
      <c r="I6" t="s">
        <v>93</v>
      </c>
    </row>
    <row r="7" spans="1:9" x14ac:dyDescent="0.3">
      <c r="A7" s="72">
        <v>1</v>
      </c>
      <c r="B7" s="73">
        <v>33</v>
      </c>
    </row>
    <row r="8" spans="1:9" x14ac:dyDescent="0.3">
      <c r="A8" s="72">
        <v>2</v>
      </c>
      <c r="B8" s="74">
        <v>36</v>
      </c>
    </row>
    <row r="9" spans="1:9" x14ac:dyDescent="0.3">
      <c r="A9" s="72">
        <v>3</v>
      </c>
      <c r="B9" s="74">
        <v>38</v>
      </c>
      <c r="E9" t="s">
        <v>94</v>
      </c>
      <c r="F9" s="75" t="s">
        <v>95</v>
      </c>
    </row>
    <row r="10" spans="1:9" x14ac:dyDescent="0.3">
      <c r="A10" s="72">
        <v>4</v>
      </c>
      <c r="B10" s="74">
        <v>40</v>
      </c>
    </row>
    <row r="11" spans="1:9" x14ac:dyDescent="0.3">
      <c r="A11" s="72">
        <v>5</v>
      </c>
      <c r="B11" s="74">
        <v>41.5</v>
      </c>
    </row>
    <row r="12" spans="1:9" x14ac:dyDescent="0.3">
      <c r="A12" s="72">
        <v>6</v>
      </c>
      <c r="B12" s="74">
        <v>42.5</v>
      </c>
      <c r="E12" t="s">
        <v>96</v>
      </c>
    </row>
    <row r="13" spans="1:9" x14ac:dyDescent="0.3">
      <c r="A13" s="72">
        <v>7</v>
      </c>
      <c r="B13" s="74">
        <v>44</v>
      </c>
    </row>
    <row r="14" spans="1:9" x14ac:dyDescent="0.3">
      <c r="A14" s="72">
        <v>8</v>
      </c>
      <c r="B14" s="74">
        <v>46.5</v>
      </c>
    </row>
    <row r="15" spans="1:9" x14ac:dyDescent="0.3">
      <c r="A15" s="72">
        <v>9</v>
      </c>
      <c r="B15" s="74">
        <v>48</v>
      </c>
      <c r="E15" t="s">
        <v>94</v>
      </c>
      <c r="F15" s="75" t="s">
        <v>97</v>
      </c>
    </row>
    <row r="16" spans="1:9" x14ac:dyDescent="0.3">
      <c r="A16" s="72">
        <v>10</v>
      </c>
      <c r="B16" s="74">
        <v>51</v>
      </c>
    </row>
    <row r="17" spans="1:9" x14ac:dyDescent="0.3">
      <c r="A17" s="72">
        <v>11</v>
      </c>
      <c r="B17" s="74">
        <v>65</v>
      </c>
      <c r="E17" t="s">
        <v>98</v>
      </c>
    </row>
    <row r="18" spans="1:9" x14ac:dyDescent="0.3">
      <c r="A18" s="72">
        <v>12</v>
      </c>
      <c r="B18" s="74">
        <v>26</v>
      </c>
    </row>
    <row r="19" spans="1:9" x14ac:dyDescent="0.3">
      <c r="A19" s="72">
        <v>13</v>
      </c>
      <c r="B19" s="74">
        <v>20</v>
      </c>
      <c r="E19" s="76" t="s">
        <v>99</v>
      </c>
      <c r="F19" s="76" t="s">
        <v>100</v>
      </c>
      <c r="G19" s="76" t="s">
        <v>101</v>
      </c>
      <c r="H19" s="76" t="s">
        <v>102</v>
      </c>
      <c r="I19" s="76" t="s">
        <v>103</v>
      </c>
    </row>
    <row r="20" spans="1:9" x14ac:dyDescent="0.3">
      <c r="A20" s="72">
        <v>14</v>
      </c>
      <c r="B20" s="74">
        <v>31</v>
      </c>
      <c r="E20" s="77">
        <f>COUNT(B7:B26)</f>
        <v>20</v>
      </c>
      <c r="F20" s="78">
        <f>AVERAGE(B7:B26)</f>
        <v>38.125</v>
      </c>
      <c r="G20" s="79">
        <f>_xlfn.STDEV.S(B7:B26)</f>
        <v>10.271159161765326</v>
      </c>
      <c r="H20" s="78">
        <f>MAX(B7:B26)</f>
        <v>65</v>
      </c>
      <c r="I20" s="78">
        <f>MIN(B7:B26)</f>
        <v>20</v>
      </c>
    </row>
    <row r="21" spans="1:9" x14ac:dyDescent="0.3">
      <c r="A21" s="72">
        <v>15</v>
      </c>
      <c r="B21" s="74">
        <v>30</v>
      </c>
    </row>
    <row r="22" spans="1:9" x14ac:dyDescent="0.3">
      <c r="A22" s="72">
        <v>16</v>
      </c>
      <c r="B22" s="74">
        <v>41</v>
      </c>
      <c r="F22" s="76" t="s">
        <v>102</v>
      </c>
      <c r="G22" s="76" t="s">
        <v>103</v>
      </c>
    </row>
    <row r="23" spans="1:9" x14ac:dyDescent="0.3">
      <c r="A23" s="72">
        <v>17</v>
      </c>
      <c r="B23" s="74">
        <v>30</v>
      </c>
      <c r="E23" s="76" t="s">
        <v>104</v>
      </c>
      <c r="F23" s="79">
        <f>_xlfn.NORM.DIST(H20,$F$20,$G$20,1)</f>
        <v>0.99555883037520188</v>
      </c>
      <c r="G23" s="79">
        <f>_xlfn.NORM.DIST(I20,$F$20,$G$20,1)</f>
        <v>3.8811311643117311E-2</v>
      </c>
      <c r="I23" s="80"/>
    </row>
    <row r="24" spans="1:9" x14ac:dyDescent="0.3">
      <c r="A24" s="72">
        <v>18</v>
      </c>
      <c r="B24" s="74">
        <v>39</v>
      </c>
      <c r="E24" s="76" t="s">
        <v>105</v>
      </c>
      <c r="F24" s="79">
        <f>2*(1-F23)</f>
        <v>8.8823392495962494E-3</v>
      </c>
      <c r="G24" s="79">
        <f>2*(1-G23)</f>
        <v>1.9223773767137653</v>
      </c>
    </row>
    <row r="25" spans="1:9" x14ac:dyDescent="0.3">
      <c r="A25" s="72">
        <v>19</v>
      </c>
      <c r="B25" s="81">
        <v>35</v>
      </c>
      <c r="E25" s="76" t="s">
        <v>106</v>
      </c>
      <c r="F25" s="79">
        <f>F24*$E$20</f>
        <v>0.17764678499192499</v>
      </c>
      <c r="G25" s="79">
        <f>G24*$E$20</f>
        <v>38.447547534275309</v>
      </c>
    </row>
    <row r="26" spans="1:9" x14ac:dyDescent="0.3">
      <c r="A26" s="82">
        <v>20</v>
      </c>
      <c r="B26" s="83">
        <v>25</v>
      </c>
      <c r="E26" s="76">
        <v>0.5</v>
      </c>
      <c r="F26" s="78" t="str">
        <f>IF(F25&lt;$E$26,"Выброс","")</f>
        <v>Выброс</v>
      </c>
      <c r="G26" s="78" t="str">
        <f>IF(G25&lt;$E$26,"Выброс","")</f>
        <v/>
      </c>
    </row>
    <row r="32" spans="1:9" x14ac:dyDescent="0.3">
      <c r="A32" s="8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3E9E-79B3-4632-A490-B91F2AC02A45}">
  <dimension ref="A1:M32"/>
  <sheetViews>
    <sheetView topLeftCell="A7" zoomScale="120" zoomScaleNormal="120" workbookViewId="0">
      <selection activeCell="J22" sqref="J22"/>
    </sheetView>
  </sheetViews>
  <sheetFormatPr defaultRowHeight="14.4" x14ac:dyDescent="0.3"/>
  <cols>
    <col min="1" max="1" width="8.109375" style="84" customWidth="1"/>
    <col min="8" max="9" width="12.109375" bestFit="1" customWidth="1"/>
    <col min="12" max="13" width="12.109375" bestFit="1" customWidth="1"/>
  </cols>
  <sheetData>
    <row r="1" spans="1:9" ht="15.6" x14ac:dyDescent="0.3">
      <c r="A1" s="70" t="s">
        <v>82</v>
      </c>
    </row>
    <row r="2" spans="1:9" ht="15.6" customHeight="1" x14ac:dyDescent="0.3">
      <c r="A2" s="70" t="s">
        <v>87</v>
      </c>
    </row>
    <row r="3" spans="1:9" ht="15.6" customHeight="1" x14ac:dyDescent="0.3">
      <c r="A3" s="70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71" t="s">
        <v>90</v>
      </c>
      <c r="B6" s="71" t="s">
        <v>91</v>
      </c>
      <c r="C6" s="71" t="s">
        <v>107</v>
      </c>
      <c r="E6" t="s">
        <v>92</v>
      </c>
      <c r="I6" t="s">
        <v>93</v>
      </c>
    </row>
    <row r="7" spans="1:9" x14ac:dyDescent="0.3">
      <c r="A7" s="77">
        <v>1</v>
      </c>
      <c r="B7" s="78">
        <v>33</v>
      </c>
      <c r="C7" s="79">
        <f t="shared" ref="C7:C17" si="0">_xlfn.NORM.DIST(B7,$F$20,$G$20,1)</f>
        <v>0.10036116004689595</v>
      </c>
    </row>
    <row r="8" spans="1:9" x14ac:dyDescent="0.3">
      <c r="A8" s="77">
        <v>2</v>
      </c>
      <c r="B8" s="78">
        <v>36</v>
      </c>
      <c r="C8" s="79">
        <f t="shared" si="0"/>
        <v>0.17494164123657599</v>
      </c>
    </row>
    <row r="9" spans="1:9" x14ac:dyDescent="0.3">
      <c r="A9" s="77">
        <v>3</v>
      </c>
      <c r="B9" s="78">
        <v>38</v>
      </c>
      <c r="C9" s="79">
        <f t="shared" si="0"/>
        <v>0.24039621674010037</v>
      </c>
      <c r="E9" t="s">
        <v>94</v>
      </c>
      <c r="F9" s="75" t="s">
        <v>108</v>
      </c>
    </row>
    <row r="10" spans="1:9" x14ac:dyDescent="0.3">
      <c r="A10" s="77">
        <v>4</v>
      </c>
      <c r="B10" s="78">
        <v>40</v>
      </c>
      <c r="C10" s="79">
        <f t="shared" si="0"/>
        <v>0.31730742320889715</v>
      </c>
    </row>
    <row r="11" spans="1:9" x14ac:dyDescent="0.3">
      <c r="A11" s="77">
        <v>5</v>
      </c>
      <c r="B11" s="78">
        <v>41.5</v>
      </c>
      <c r="C11" s="79">
        <f t="shared" si="0"/>
        <v>0.38098258624311354</v>
      </c>
    </row>
    <row r="12" spans="1:9" x14ac:dyDescent="0.3">
      <c r="A12" s="77">
        <v>6</v>
      </c>
      <c r="B12" s="78">
        <v>42.5</v>
      </c>
      <c r="C12" s="79">
        <f t="shared" si="0"/>
        <v>0.42543533552247342</v>
      </c>
      <c r="E12" t="s">
        <v>109</v>
      </c>
    </row>
    <row r="13" spans="1:9" x14ac:dyDescent="0.3">
      <c r="A13" s="77">
        <v>7</v>
      </c>
      <c r="B13" s="78">
        <v>44</v>
      </c>
      <c r="C13" s="79">
        <f t="shared" si="0"/>
        <v>0.49374990635563498</v>
      </c>
    </row>
    <row r="14" spans="1:9" x14ac:dyDescent="0.3">
      <c r="A14" s="77">
        <v>8</v>
      </c>
      <c r="B14" s="78">
        <v>46.5</v>
      </c>
      <c r="C14" s="79">
        <f t="shared" si="0"/>
        <v>0.6070223483108601</v>
      </c>
    </row>
    <row r="15" spans="1:9" x14ac:dyDescent="0.3">
      <c r="A15" s="77">
        <v>9</v>
      </c>
      <c r="B15" s="78">
        <v>48</v>
      </c>
      <c r="C15" s="79">
        <f t="shared" si="0"/>
        <v>0.67144505247639108</v>
      </c>
      <c r="E15" t="s">
        <v>94</v>
      </c>
      <c r="F15" s="75" t="s">
        <v>97</v>
      </c>
    </row>
    <row r="16" spans="1:9" x14ac:dyDescent="0.3">
      <c r="A16" s="77">
        <v>10</v>
      </c>
      <c r="B16" s="78">
        <v>51</v>
      </c>
      <c r="C16" s="79">
        <f t="shared" si="0"/>
        <v>0.78482344603204046</v>
      </c>
    </row>
    <row r="17" spans="1:13" x14ac:dyDescent="0.3">
      <c r="A17" s="77">
        <v>11</v>
      </c>
      <c r="B17" s="78">
        <v>65</v>
      </c>
      <c r="C17" s="79">
        <f t="shared" si="0"/>
        <v>0.99173723181997253</v>
      </c>
      <c r="E17" t="s">
        <v>98</v>
      </c>
    </row>
    <row r="18" spans="1:13" x14ac:dyDescent="0.3">
      <c r="A18" s="72">
        <v>12</v>
      </c>
      <c r="B18" s="74">
        <v>26</v>
      </c>
    </row>
    <row r="19" spans="1:13" x14ac:dyDescent="0.3">
      <c r="A19" s="72">
        <v>13</v>
      </c>
      <c r="B19" s="74">
        <v>20</v>
      </c>
      <c r="E19" s="76" t="s">
        <v>99</v>
      </c>
      <c r="F19" s="76" t="s">
        <v>100</v>
      </c>
      <c r="G19" s="76" t="s">
        <v>101</v>
      </c>
      <c r="H19" s="76" t="s">
        <v>102</v>
      </c>
      <c r="I19" s="76" t="s">
        <v>103</v>
      </c>
      <c r="J19" s="76" t="s">
        <v>110</v>
      </c>
      <c r="K19" s="76" t="s">
        <v>111</v>
      </c>
      <c r="L19" s="86" t="s">
        <v>112</v>
      </c>
      <c r="M19" s="86" t="s">
        <v>113</v>
      </c>
    </row>
    <row r="20" spans="1:13" x14ac:dyDescent="0.3">
      <c r="A20" s="72">
        <v>14</v>
      </c>
      <c r="B20" s="74">
        <v>31</v>
      </c>
      <c r="E20" s="77">
        <f>COUNT(B7:B17)</f>
        <v>11</v>
      </c>
      <c r="F20" s="79">
        <f>AVERAGE(B7:B17)</f>
        <v>44.136363636363633</v>
      </c>
      <c r="G20" s="79">
        <f>_xlfn.STDEV.S(B7:B17)</f>
        <v>8.7037087183881336</v>
      </c>
      <c r="H20" s="78">
        <f>MAX(B7:B17)</f>
        <v>65</v>
      </c>
      <c r="I20" s="78">
        <f>MIN(B7:B17)</f>
        <v>33</v>
      </c>
      <c r="J20" s="79">
        <f>ABS(H20-F20)/G20</f>
        <v>2.3970972649346849</v>
      </c>
      <c r="K20" s="79">
        <f>ABS(I20-F20)/G20</f>
        <v>1.279496361457511</v>
      </c>
      <c r="L20">
        <f>_xlfn.NORM.DIST(J20,F20,G20,TRUE)</f>
        <v>8.1105434848569806E-7</v>
      </c>
      <c r="M20">
        <f>_xlfn.NORM.DIST(K20,F20,G20,TRUE)</f>
        <v>4.2401261347820018E-7</v>
      </c>
    </row>
    <row r="21" spans="1:13" x14ac:dyDescent="0.3">
      <c r="A21" s="72">
        <v>15</v>
      </c>
      <c r="B21" s="74">
        <v>30</v>
      </c>
    </row>
    <row r="22" spans="1:13" x14ac:dyDescent="0.3">
      <c r="A22" s="72">
        <v>16</v>
      </c>
      <c r="B22" s="74">
        <v>41</v>
      </c>
      <c r="F22" s="76" t="s">
        <v>110</v>
      </c>
      <c r="G22" s="76" t="s">
        <v>111</v>
      </c>
    </row>
    <row r="23" spans="1:13" x14ac:dyDescent="0.3">
      <c r="A23" s="72">
        <v>17</v>
      </c>
      <c r="B23" s="74">
        <v>30</v>
      </c>
      <c r="E23" s="76" t="s">
        <v>114</v>
      </c>
      <c r="F23" s="78">
        <f>NORMDIST(J20,F20,G20,1)</f>
        <v>8.1105434848569806E-7</v>
      </c>
      <c r="G23" s="79">
        <f>_xlfn.NORM.DIST(K20,F20,G20,1)</f>
        <v>4.2401261347820018E-7</v>
      </c>
    </row>
    <row r="24" spans="1:13" x14ac:dyDescent="0.3">
      <c r="A24" s="72">
        <v>18</v>
      </c>
      <c r="B24" s="74">
        <v>39</v>
      </c>
      <c r="E24" s="76" t="s">
        <v>115</v>
      </c>
      <c r="F24" s="87">
        <f>2*(1-F23)</f>
        <v>1.9999983778913031</v>
      </c>
      <c r="G24" s="78">
        <f>2*G23</f>
        <v>8.4802522695640036E-7</v>
      </c>
    </row>
    <row r="25" spans="1:13" x14ac:dyDescent="0.3">
      <c r="A25" s="72">
        <v>19</v>
      </c>
      <c r="B25" s="81">
        <v>35</v>
      </c>
      <c r="E25" s="76" t="s">
        <v>106</v>
      </c>
      <c r="F25" s="78">
        <f>E20*F24</f>
        <v>21.999982156804332</v>
      </c>
      <c r="G25" s="78">
        <f>G24*E20</f>
        <v>9.3282774965204041E-6</v>
      </c>
    </row>
    <row r="26" spans="1:13" x14ac:dyDescent="0.3">
      <c r="A26" s="82">
        <v>20</v>
      </c>
      <c r="B26" s="83">
        <v>25</v>
      </c>
      <c r="E26" s="76" t="s">
        <v>116</v>
      </c>
      <c r="F26" s="78" t="str">
        <f>IF(F25&lt;0.5,"Выброс","")</f>
        <v/>
      </c>
      <c r="G26" s="78" t="str">
        <f>IF(G25&lt;0.5,"Выброс","")</f>
        <v>Выброс</v>
      </c>
    </row>
    <row r="32" spans="1:13" x14ac:dyDescent="0.3">
      <c r="A32" s="8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E49B-212B-4974-B2AA-811A18B891D0}">
  <dimension ref="A1:Q40"/>
  <sheetViews>
    <sheetView workbookViewId="0">
      <selection activeCell="N5" sqref="N5"/>
    </sheetView>
  </sheetViews>
  <sheetFormatPr defaultRowHeight="14.4" x14ac:dyDescent="0.3"/>
  <cols>
    <col min="16" max="17" width="11.6640625" customWidth="1"/>
  </cols>
  <sheetData>
    <row r="1" spans="1:17" x14ac:dyDescent="0.3">
      <c r="A1" t="s">
        <v>117</v>
      </c>
    </row>
    <row r="2" spans="1:17" ht="57.6" customHeight="1" x14ac:dyDescent="0.3">
      <c r="A2" s="78"/>
      <c r="B2" s="88" t="s">
        <v>118</v>
      </c>
      <c r="C2" s="88" t="s">
        <v>119</v>
      </c>
      <c r="E2" s="122" t="s">
        <v>99</v>
      </c>
      <c r="F2" s="120" t="s">
        <v>120</v>
      </c>
      <c r="G2" s="124"/>
      <c r="H2" s="124"/>
      <c r="I2" s="121"/>
      <c r="J2" s="122" t="s">
        <v>121</v>
      </c>
      <c r="L2" s="122" t="s">
        <v>120</v>
      </c>
      <c r="M2" s="122" t="s">
        <v>122</v>
      </c>
      <c r="N2" s="120" t="s">
        <v>123</v>
      </c>
      <c r="O2" s="121"/>
      <c r="P2" s="89" t="s">
        <v>124</v>
      </c>
      <c r="Q2" s="89" t="s">
        <v>125</v>
      </c>
    </row>
    <row r="3" spans="1:17" ht="43.2" x14ac:dyDescent="0.3">
      <c r="A3" s="78" t="s">
        <v>126</v>
      </c>
      <c r="B3" s="79">
        <f>(SMALL($B$10:$B$20,2)-SMALL($B$10:$B$20,1))/(LARGE($B$10:$B$20,1)-SMALL($B$10:$B$20,1))</f>
        <v>9.375E-2</v>
      </c>
      <c r="C3" s="79">
        <f>(LARGE($B$10:$B$20,1)-LARGE($B$10:$B$20,2))/(LARGE($B$10:$B$20,1)-SMALL($B$10:$B$20,1))</f>
        <v>0.4375</v>
      </c>
      <c r="E3" s="123"/>
      <c r="F3" s="90">
        <v>0.9</v>
      </c>
      <c r="G3" s="90">
        <v>0.95</v>
      </c>
      <c r="H3" s="90">
        <v>0.99</v>
      </c>
      <c r="I3" s="90">
        <v>0.995</v>
      </c>
      <c r="J3" s="123"/>
      <c r="L3" s="123"/>
      <c r="M3" s="123"/>
      <c r="N3" s="90" t="s">
        <v>127</v>
      </c>
      <c r="O3" s="91" t="s">
        <v>128</v>
      </c>
      <c r="P3" s="92">
        <f>MIN(B10:B20)</f>
        <v>33</v>
      </c>
      <c r="Q3" s="92">
        <f>MAX(B10:B20)</f>
        <v>65</v>
      </c>
    </row>
    <row r="4" spans="1:17" x14ac:dyDescent="0.3">
      <c r="A4" s="78" t="s">
        <v>129</v>
      </c>
      <c r="B4" s="79">
        <f>(SMALL($B$10:$B$20,2)-SMALL($B$10:$B$20,1))/(LARGE($B$10:$B$20,2)-SMALL($B$10:$B$20,1))</f>
        <v>0.16666666666666666</v>
      </c>
      <c r="C4" s="79">
        <f>(LARGE($B$10:$B$20,1)-LARGE($B$10:$B$20,2))/(LARGE($B$10:$B$20,1)-SMALL($B$10:$B$20,2))</f>
        <v>0.48275862068965519</v>
      </c>
      <c r="E4" s="90">
        <v>3</v>
      </c>
      <c r="F4" s="90">
        <v>0.88600000000000001</v>
      </c>
      <c r="G4" s="90">
        <v>0.94099999999999995</v>
      </c>
      <c r="H4" s="90">
        <v>0.98799999999999999</v>
      </c>
      <c r="I4" s="90">
        <v>0.99399999999999999</v>
      </c>
      <c r="J4" s="125" t="s">
        <v>130</v>
      </c>
      <c r="L4" s="90">
        <v>0.9</v>
      </c>
      <c r="M4" s="90"/>
      <c r="N4" s="90"/>
      <c r="O4" s="90"/>
      <c r="P4" s="93"/>
      <c r="Q4" s="93"/>
    </row>
    <row r="5" spans="1:17" x14ac:dyDescent="0.3">
      <c r="A5" s="94" t="s">
        <v>131</v>
      </c>
      <c r="B5" s="95">
        <f>(SMALL($B$10:$B$20,3)-SMALL($B$10:$B$20,1))/(LARGE($B$10:$B$20,2)-SMALL($B$10:$B$20,1))</f>
        <v>0.27777777777777779</v>
      </c>
      <c r="C5" s="95">
        <f>(LARGE($B$10:$B$20,1)-LARGE($B$10:$B$20,3))/(LARGE($B$10:$B$20,1)-SMALL($B$10:$B$20,2))</f>
        <v>0.58620689655172409</v>
      </c>
      <c r="E5" s="90">
        <v>4</v>
      </c>
      <c r="F5" s="90">
        <v>0.67900000000000005</v>
      </c>
      <c r="G5" s="90">
        <v>0.76500000000000001</v>
      </c>
      <c r="H5" s="90">
        <v>0.88900000000000001</v>
      </c>
      <c r="I5" s="90">
        <v>0.92600000000000005</v>
      </c>
      <c r="J5" s="126"/>
      <c r="L5" s="90">
        <v>0.95</v>
      </c>
      <c r="M5" s="90">
        <f>F19</f>
        <v>0.51700000000000002</v>
      </c>
      <c r="N5" s="96">
        <f>B5</f>
        <v>0.27777777777777779</v>
      </c>
      <c r="O5" s="96">
        <f>C5</f>
        <v>0.58620689655172409</v>
      </c>
      <c r="P5" s="90" t="s">
        <v>132</v>
      </c>
      <c r="Q5" s="90" t="s">
        <v>133</v>
      </c>
    </row>
    <row r="6" spans="1:17" x14ac:dyDescent="0.3">
      <c r="A6" s="78" t="s">
        <v>134</v>
      </c>
      <c r="B6" s="79">
        <f>(SMALL($B$10:$B$20,3)-SMALL($B$10:$B$20,1))/(LARGE($B$10:$B$20,3)-SMALL($B$10:$B$20,1))</f>
        <v>0.33333333333333331</v>
      </c>
      <c r="C6" s="79">
        <f>(LARGE($B$10:$B$20,1)-LARGE($B$10:$B$20,3))/(LARGE($B$10:$B$20,1)-SMALL($B$10:$B$20,3))</f>
        <v>0.62962962962962965</v>
      </c>
      <c r="E6" s="90">
        <v>5</v>
      </c>
      <c r="F6" s="90">
        <v>0.55700000000000005</v>
      </c>
      <c r="G6" s="90">
        <v>0.64200000000000002</v>
      </c>
      <c r="H6" s="90">
        <v>0.78</v>
      </c>
      <c r="I6" s="90">
        <v>0.82099999999999995</v>
      </c>
      <c r="J6" s="126"/>
      <c r="L6" s="90">
        <v>0.99</v>
      </c>
      <c r="M6" s="90"/>
      <c r="N6" s="90"/>
      <c r="O6" s="90"/>
      <c r="P6" s="90"/>
      <c r="Q6" s="90"/>
    </row>
    <row r="7" spans="1:17" x14ac:dyDescent="0.3">
      <c r="A7" s="78" t="s">
        <v>135</v>
      </c>
      <c r="B7" s="79">
        <f>(SMALL($B$10:$B$20,3)-SMALL($B$10:$B$20,1))/(LARGE($B$10:$B$20,1)-SMALL($B$10:$B$20,1))</f>
        <v>0.15625</v>
      </c>
      <c r="C7" s="79">
        <f>(LARGE($B$10:$B$20,1)-LARGE($B$10:$B$20,3))/(LARGE($B$10:$B$20,1)-SMALL($B$10:$B$20,1))</f>
        <v>0.53125</v>
      </c>
      <c r="E7" s="90">
        <v>6</v>
      </c>
      <c r="F7" s="90">
        <v>0.48199999999999998</v>
      </c>
      <c r="G7" s="90">
        <v>0.56000000000000005</v>
      </c>
      <c r="H7" s="90">
        <v>0.69799999999999995</v>
      </c>
      <c r="I7" s="90">
        <v>0.74</v>
      </c>
      <c r="J7" s="126"/>
      <c r="L7" s="90">
        <v>0.995</v>
      </c>
      <c r="M7" s="90"/>
      <c r="N7" s="90"/>
      <c r="O7" s="90"/>
      <c r="P7" s="90"/>
      <c r="Q7" s="90"/>
    </row>
    <row r="8" spans="1:17" x14ac:dyDescent="0.3">
      <c r="E8" s="90">
        <v>7</v>
      </c>
      <c r="F8" s="90">
        <v>0.434</v>
      </c>
      <c r="G8" s="90">
        <v>0.50700000000000001</v>
      </c>
      <c r="H8" s="90">
        <v>0.63700000000000001</v>
      </c>
      <c r="I8" s="90">
        <v>0.68</v>
      </c>
      <c r="J8" s="127"/>
    </row>
    <row r="9" spans="1:17" x14ac:dyDescent="0.3">
      <c r="A9" s="97" t="s">
        <v>90</v>
      </c>
      <c r="B9" s="98" t="s">
        <v>136</v>
      </c>
      <c r="E9" s="90">
        <v>8</v>
      </c>
      <c r="F9" s="90">
        <v>0.47899999999999998</v>
      </c>
      <c r="G9" s="90">
        <v>0.55400000000000005</v>
      </c>
      <c r="H9" s="90">
        <v>0.68300000000000005</v>
      </c>
      <c r="I9" s="90">
        <v>0.72499999999999998</v>
      </c>
      <c r="J9" s="125" t="s">
        <v>137</v>
      </c>
    </row>
    <row r="10" spans="1:17" x14ac:dyDescent="0.3">
      <c r="A10" s="99">
        <v>1</v>
      </c>
      <c r="B10" s="100">
        <v>33</v>
      </c>
      <c r="E10" s="90">
        <v>9</v>
      </c>
      <c r="F10" s="90">
        <v>0.441</v>
      </c>
      <c r="G10" s="90">
        <v>0.51200000000000001</v>
      </c>
      <c r="H10" s="90">
        <v>0.63500000000000001</v>
      </c>
      <c r="I10" s="90">
        <v>0.67700000000000005</v>
      </c>
      <c r="J10" s="126"/>
    </row>
    <row r="11" spans="1:17" x14ac:dyDescent="0.3">
      <c r="A11" s="101">
        <v>2</v>
      </c>
      <c r="B11" s="102">
        <v>36</v>
      </c>
      <c r="E11" s="90">
        <v>10</v>
      </c>
      <c r="F11" s="90">
        <v>0.40899999999999997</v>
      </c>
      <c r="G11" s="90">
        <v>0.47699999999999998</v>
      </c>
      <c r="H11" s="90">
        <v>0.59699999999999998</v>
      </c>
      <c r="I11" s="90">
        <v>0.63900000000000001</v>
      </c>
      <c r="J11" s="127"/>
    </row>
    <row r="12" spans="1:17" x14ac:dyDescent="0.3">
      <c r="A12" s="99">
        <v>3</v>
      </c>
      <c r="B12" s="100">
        <v>38</v>
      </c>
      <c r="E12" s="90">
        <v>4</v>
      </c>
      <c r="F12" s="90">
        <v>0.93500000000000005</v>
      </c>
      <c r="G12" s="90">
        <v>0.96699999999999997</v>
      </c>
      <c r="H12" s="90">
        <v>0.99199999999999999</v>
      </c>
      <c r="I12" s="90">
        <v>0.996</v>
      </c>
      <c r="J12" s="125" t="s">
        <v>138</v>
      </c>
    </row>
    <row r="13" spans="1:17" x14ac:dyDescent="0.3">
      <c r="A13" s="101">
        <v>4</v>
      </c>
      <c r="B13" s="102">
        <v>40</v>
      </c>
      <c r="E13" s="90">
        <v>5</v>
      </c>
      <c r="F13" s="90">
        <v>0.78200000000000003</v>
      </c>
      <c r="G13" s="90">
        <v>0.84499999999999997</v>
      </c>
      <c r="H13" s="90">
        <v>0.92900000000000005</v>
      </c>
      <c r="I13" s="90">
        <v>0.95</v>
      </c>
      <c r="J13" s="126"/>
    </row>
    <row r="14" spans="1:17" x14ac:dyDescent="0.3">
      <c r="A14" s="99">
        <v>5</v>
      </c>
      <c r="B14" s="100">
        <v>41.5</v>
      </c>
      <c r="E14" s="90">
        <v>6</v>
      </c>
      <c r="F14" s="90">
        <v>0.67</v>
      </c>
      <c r="G14" s="90">
        <v>0.73599999999999999</v>
      </c>
      <c r="H14" s="90">
        <v>0.83599999999999997</v>
      </c>
      <c r="I14" s="90">
        <v>0.86499999999999999</v>
      </c>
      <c r="J14" s="126"/>
    </row>
    <row r="15" spans="1:17" x14ac:dyDescent="0.3">
      <c r="A15" s="101">
        <v>6</v>
      </c>
      <c r="B15" s="102">
        <v>42.5</v>
      </c>
      <c r="E15" s="90">
        <v>7</v>
      </c>
      <c r="F15" s="90">
        <v>0.59599999999999997</v>
      </c>
      <c r="G15" s="90">
        <v>0.66100000000000003</v>
      </c>
      <c r="H15" s="90">
        <v>0.77800000000000002</v>
      </c>
      <c r="I15" s="90">
        <v>0.81399999999999995</v>
      </c>
      <c r="J15" s="126"/>
    </row>
    <row r="16" spans="1:17" x14ac:dyDescent="0.3">
      <c r="A16" s="99">
        <v>7</v>
      </c>
      <c r="B16" s="100">
        <v>44</v>
      </c>
      <c r="E16" s="90">
        <v>8</v>
      </c>
      <c r="F16" s="90">
        <v>0.54500000000000004</v>
      </c>
      <c r="G16" s="90">
        <v>0.60699999999999998</v>
      </c>
      <c r="H16" s="90">
        <v>0.71</v>
      </c>
      <c r="I16" s="90">
        <v>0.746</v>
      </c>
      <c r="J16" s="126"/>
    </row>
    <row r="17" spans="1:10" x14ac:dyDescent="0.3">
      <c r="A17" s="101">
        <v>8</v>
      </c>
      <c r="B17" s="102">
        <v>46.5</v>
      </c>
      <c r="E17" s="90">
        <v>9</v>
      </c>
      <c r="F17" s="90">
        <v>0.505</v>
      </c>
      <c r="G17" s="90">
        <v>0.56499999999999995</v>
      </c>
      <c r="H17" s="90">
        <v>0.66700000000000004</v>
      </c>
      <c r="I17" s="90">
        <v>0.7</v>
      </c>
      <c r="J17" s="126"/>
    </row>
    <row r="18" spans="1:10" x14ac:dyDescent="0.3">
      <c r="A18" s="99">
        <v>9</v>
      </c>
      <c r="B18" s="100">
        <v>48</v>
      </c>
      <c r="E18" s="90">
        <v>10</v>
      </c>
      <c r="F18" s="90">
        <v>0.47399999999999998</v>
      </c>
      <c r="G18" s="90">
        <v>0.53100000000000003</v>
      </c>
      <c r="H18" s="90">
        <v>0.63200000000000001</v>
      </c>
      <c r="I18" s="90">
        <v>0.66400000000000003</v>
      </c>
      <c r="J18" s="127"/>
    </row>
    <row r="19" spans="1:10" x14ac:dyDescent="0.3">
      <c r="A19" s="101">
        <v>10</v>
      </c>
      <c r="B19" s="102">
        <v>51</v>
      </c>
      <c r="E19" s="90">
        <v>11</v>
      </c>
      <c r="F19" s="90">
        <v>0.51700000000000002</v>
      </c>
      <c r="G19" s="90">
        <v>0.57599999999999996</v>
      </c>
      <c r="H19" s="90">
        <v>0.67900000000000005</v>
      </c>
      <c r="I19" s="90">
        <v>0.71299999999999997</v>
      </c>
      <c r="J19" s="125" t="s">
        <v>139</v>
      </c>
    </row>
    <row r="20" spans="1:10" x14ac:dyDescent="0.3">
      <c r="A20" s="99">
        <v>11</v>
      </c>
      <c r="B20" s="100">
        <v>65</v>
      </c>
      <c r="E20" s="90">
        <v>12</v>
      </c>
      <c r="F20" s="90">
        <v>0.49</v>
      </c>
      <c r="G20" s="90">
        <v>0.54600000000000004</v>
      </c>
      <c r="H20" s="90">
        <v>0.64200000000000002</v>
      </c>
      <c r="I20" s="90">
        <v>0.67500000000000004</v>
      </c>
      <c r="J20" s="126"/>
    </row>
    <row r="21" spans="1:10" x14ac:dyDescent="0.3">
      <c r="A21" s="101"/>
      <c r="B21" s="102"/>
      <c r="E21" s="90">
        <v>13</v>
      </c>
      <c r="F21" s="90">
        <v>0.46700000000000003</v>
      </c>
      <c r="G21" s="90">
        <v>0.52100000000000002</v>
      </c>
      <c r="H21" s="90">
        <v>0.61499999999999999</v>
      </c>
      <c r="I21" s="90">
        <v>0.64900000000000002</v>
      </c>
      <c r="J21" s="127"/>
    </row>
    <row r="22" spans="1:10" x14ac:dyDescent="0.3">
      <c r="A22" s="101"/>
      <c r="B22" s="102"/>
      <c r="E22" s="90">
        <v>14</v>
      </c>
      <c r="F22" s="90">
        <v>0.49199999999999999</v>
      </c>
      <c r="G22" s="90">
        <v>0.54600000000000004</v>
      </c>
      <c r="H22" s="90">
        <v>0.64100000000000001</v>
      </c>
      <c r="I22" s="90">
        <v>0.67400000000000004</v>
      </c>
      <c r="J22" s="125" t="s">
        <v>140</v>
      </c>
    </row>
    <row r="23" spans="1:10" x14ac:dyDescent="0.3">
      <c r="A23" s="101"/>
      <c r="B23" s="102"/>
      <c r="E23" s="90">
        <v>15</v>
      </c>
      <c r="F23" s="90">
        <v>0.47199999999999998</v>
      </c>
      <c r="G23" s="90">
        <v>0.52500000000000002</v>
      </c>
      <c r="H23" s="90">
        <v>0.61599999999999999</v>
      </c>
      <c r="I23" s="90">
        <v>0.64700000000000002</v>
      </c>
      <c r="J23" s="126"/>
    </row>
    <row r="24" spans="1:10" x14ac:dyDescent="0.3">
      <c r="A24" s="101"/>
      <c r="B24" s="102"/>
      <c r="E24" s="90">
        <v>16</v>
      </c>
      <c r="F24" s="90">
        <v>0.45400000000000001</v>
      </c>
      <c r="G24" s="90">
        <v>0.50700000000000001</v>
      </c>
      <c r="H24" s="90">
        <v>0.59499999999999997</v>
      </c>
      <c r="I24" s="90">
        <v>0.624</v>
      </c>
      <c r="J24" s="126"/>
    </row>
    <row r="25" spans="1:10" x14ac:dyDescent="0.3">
      <c r="A25" s="101"/>
      <c r="B25" s="102"/>
      <c r="E25" s="90">
        <v>17</v>
      </c>
      <c r="F25" s="90">
        <v>0.438</v>
      </c>
      <c r="G25" s="90">
        <v>0.49</v>
      </c>
      <c r="H25" s="90">
        <v>0.57699999999999996</v>
      </c>
      <c r="I25" s="90">
        <v>0.60499999999999998</v>
      </c>
      <c r="J25" s="126"/>
    </row>
    <row r="26" spans="1:10" x14ac:dyDescent="0.3">
      <c r="A26" s="101"/>
      <c r="B26" s="102"/>
      <c r="E26" s="90">
        <v>18</v>
      </c>
      <c r="F26" s="90">
        <v>0.42399999999999999</v>
      </c>
      <c r="G26" s="90">
        <v>0.47499999999999998</v>
      </c>
      <c r="H26" s="90">
        <v>0.56100000000000005</v>
      </c>
      <c r="I26" s="90">
        <v>0.58899999999999997</v>
      </c>
      <c r="J26" s="126"/>
    </row>
    <row r="27" spans="1:10" x14ac:dyDescent="0.3">
      <c r="A27" s="101"/>
      <c r="B27" s="102"/>
      <c r="E27" s="90">
        <v>19</v>
      </c>
      <c r="F27" s="90">
        <v>0.41199999999999998</v>
      </c>
      <c r="G27" s="90">
        <v>0.46200000000000002</v>
      </c>
      <c r="H27" s="90">
        <v>0.54700000000000004</v>
      </c>
      <c r="I27" s="90">
        <v>0.57499999999999996</v>
      </c>
      <c r="J27" s="126"/>
    </row>
    <row r="28" spans="1:10" x14ac:dyDescent="0.3">
      <c r="A28" s="101"/>
      <c r="B28" s="102"/>
      <c r="E28" s="90">
        <v>20</v>
      </c>
      <c r="F28" s="90">
        <v>0.40100000000000002</v>
      </c>
      <c r="G28" s="90">
        <v>0.45</v>
      </c>
      <c r="H28" s="90">
        <v>0.53700000000000003</v>
      </c>
      <c r="I28" s="90">
        <v>0.56200000000000006</v>
      </c>
      <c r="J28" s="126"/>
    </row>
    <row r="29" spans="1:10" x14ac:dyDescent="0.3">
      <c r="A29" s="101"/>
      <c r="B29" s="102"/>
      <c r="E29" s="90">
        <v>20</v>
      </c>
      <c r="F29" s="90">
        <v>0.40100000000000002</v>
      </c>
      <c r="G29" s="90">
        <v>0.45</v>
      </c>
      <c r="H29" s="90">
        <v>0.53700000000000003</v>
      </c>
      <c r="I29" s="90">
        <v>0.56200000000000006</v>
      </c>
      <c r="J29" s="126"/>
    </row>
    <row r="30" spans="1:10" x14ac:dyDescent="0.3">
      <c r="A30" s="101"/>
      <c r="B30" s="102"/>
      <c r="E30" s="90">
        <v>20</v>
      </c>
      <c r="F30" s="90">
        <v>0.40100000000000002</v>
      </c>
      <c r="G30" s="90">
        <v>0.45</v>
      </c>
      <c r="H30" s="90">
        <v>0.53700000000000003</v>
      </c>
      <c r="I30" s="90">
        <v>0.56200000000000006</v>
      </c>
      <c r="J30" s="126"/>
    </row>
    <row r="31" spans="1:10" x14ac:dyDescent="0.3">
      <c r="A31" s="101"/>
      <c r="B31" s="102"/>
      <c r="E31" s="90">
        <v>21</v>
      </c>
      <c r="F31" s="90">
        <v>0.39100000000000001</v>
      </c>
      <c r="G31" s="90">
        <v>0.44</v>
      </c>
      <c r="H31" s="90">
        <v>0.52400000000000002</v>
      </c>
      <c r="I31" s="90">
        <v>0.55100000000000005</v>
      </c>
      <c r="J31" s="126"/>
    </row>
    <row r="32" spans="1:10" x14ac:dyDescent="0.3">
      <c r="A32" s="101"/>
      <c r="B32" s="102"/>
      <c r="E32" s="90">
        <v>22</v>
      </c>
      <c r="F32" s="90">
        <v>0.38200000000000001</v>
      </c>
      <c r="G32" s="90">
        <v>0.43</v>
      </c>
      <c r="H32" s="90">
        <v>0.51400000000000001</v>
      </c>
      <c r="I32" s="90">
        <v>0.54100000000000004</v>
      </c>
      <c r="J32" s="126"/>
    </row>
    <row r="33" spans="1:10" x14ac:dyDescent="0.3">
      <c r="A33" s="101"/>
      <c r="B33" s="102"/>
      <c r="E33" s="90">
        <v>23</v>
      </c>
      <c r="F33" s="90">
        <v>0.374</v>
      </c>
      <c r="G33" s="90">
        <v>0.42099999999999999</v>
      </c>
      <c r="H33" s="90">
        <v>0.505</v>
      </c>
      <c r="I33" s="90">
        <v>0.53200000000000003</v>
      </c>
      <c r="J33" s="126"/>
    </row>
    <row r="34" spans="1:10" x14ac:dyDescent="0.3">
      <c r="A34" s="101"/>
      <c r="B34" s="102"/>
      <c r="E34" s="90">
        <v>24</v>
      </c>
      <c r="F34" s="90">
        <v>0.36699999999999999</v>
      </c>
      <c r="G34" s="90">
        <v>0.41299999999999998</v>
      </c>
      <c r="H34" s="90">
        <v>0.497</v>
      </c>
      <c r="I34" s="90">
        <v>0.52400000000000002</v>
      </c>
      <c r="J34" s="126"/>
    </row>
    <row r="35" spans="1:10" x14ac:dyDescent="0.3">
      <c r="A35" s="101"/>
      <c r="B35" s="102"/>
      <c r="E35" s="90">
        <v>25</v>
      </c>
      <c r="F35" s="90">
        <v>0.36</v>
      </c>
      <c r="G35" s="90">
        <v>0.40600000000000003</v>
      </c>
      <c r="H35" s="90">
        <v>0.48899999999999999</v>
      </c>
      <c r="I35" s="90">
        <v>0.51600000000000001</v>
      </c>
      <c r="J35" s="126"/>
    </row>
    <row r="36" spans="1:10" x14ac:dyDescent="0.3">
      <c r="A36" s="101"/>
      <c r="B36" s="102"/>
      <c r="E36" s="90">
        <v>26</v>
      </c>
      <c r="F36" s="90">
        <v>0.35399999999999998</v>
      </c>
      <c r="G36" s="90">
        <v>0.39900000000000002</v>
      </c>
      <c r="H36" s="90">
        <v>0.48599999999999999</v>
      </c>
      <c r="I36" s="90">
        <v>0.50800000000000001</v>
      </c>
      <c r="J36" s="126"/>
    </row>
    <row r="37" spans="1:10" x14ac:dyDescent="0.3">
      <c r="A37" s="101"/>
      <c r="B37" s="102"/>
      <c r="E37" s="90">
        <v>27</v>
      </c>
      <c r="F37" s="90">
        <v>0.34799999999999998</v>
      </c>
      <c r="G37" s="90">
        <v>0.39300000000000002</v>
      </c>
      <c r="H37" s="90">
        <v>0.47499999999999998</v>
      </c>
      <c r="I37" s="90">
        <v>0.501</v>
      </c>
      <c r="J37" s="126"/>
    </row>
    <row r="38" spans="1:10" x14ac:dyDescent="0.3">
      <c r="A38" s="101"/>
      <c r="B38" s="102"/>
      <c r="E38" s="90">
        <v>28</v>
      </c>
      <c r="F38" s="90">
        <v>0.34200000000000003</v>
      </c>
      <c r="G38" s="90">
        <v>0.38700000000000001</v>
      </c>
      <c r="H38" s="90">
        <v>0.46899999999999997</v>
      </c>
      <c r="I38" s="90">
        <v>0.495</v>
      </c>
      <c r="J38" s="126"/>
    </row>
    <row r="39" spans="1:10" x14ac:dyDescent="0.3">
      <c r="A39" s="103"/>
      <c r="B39" s="104"/>
      <c r="E39" s="90">
        <v>29</v>
      </c>
      <c r="F39" s="90">
        <v>0.33700000000000002</v>
      </c>
      <c r="G39" s="90">
        <v>0.38100000000000001</v>
      </c>
      <c r="H39" s="90">
        <v>0.46300000000000002</v>
      </c>
      <c r="I39" s="90">
        <v>0.48899999999999999</v>
      </c>
      <c r="J39" s="126"/>
    </row>
    <row r="40" spans="1:10" x14ac:dyDescent="0.3">
      <c r="E40" s="90">
        <v>30</v>
      </c>
      <c r="F40" s="90">
        <v>0.33200000000000002</v>
      </c>
      <c r="G40" s="90">
        <v>0.376</v>
      </c>
      <c r="H40" s="90">
        <v>0.45700000000000002</v>
      </c>
      <c r="I40" s="90">
        <v>0.48299999999999998</v>
      </c>
      <c r="J40" s="127"/>
    </row>
  </sheetData>
  <mergeCells count="11">
    <mergeCell ref="J4:J8"/>
    <mergeCell ref="J9:J11"/>
    <mergeCell ref="J12:J18"/>
    <mergeCell ref="J19:J21"/>
    <mergeCell ref="J22:J40"/>
    <mergeCell ref="N2:O2"/>
    <mergeCell ref="E2:E3"/>
    <mergeCell ref="F2:I2"/>
    <mergeCell ref="J2:J3"/>
    <mergeCell ref="L2:L3"/>
    <mergeCell ref="M2:M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y 2 0 7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D L b T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0 7 U a M f B m r E A g A A 1 B s A A B M A H A B G b 3 J t d W x h c y 9 T Z W N 0 a W 9 u M S 5 t I K I Y A C i g F A A A A A A A A A A A A A A A A A A A A A A A A A A A A O 2 W 3 2 s T Q R D H 3 w P 5 H 5 b z J Y E z J N U W t I 0 Q k / Q H r U n N X Q V p p F y T V Q N 3 e 3 K 3 K Z Y S S F u s Q h / 6 4 k P x R R D / g F g N j W l S / 4 X d / 8 i 5 v W i S X r R R A s 3 D 3 s v d z e z u f G f m 5 s O 5 u E Q r N k G a f 0 / M h 0 P h k P v S c H A Z L T / N F L Y S i f i 9 e G J r J u 7 d U B K Z m I Z D C C 5 2 y v f 5 A b v k b 1 m X t V g b f G l 3 J 5 a x S 1 U L E x p Z r J g 4 l r Y J h R c 3 o m T u F z 2 L W 2 S f Y X W X H 4 p d Z 6 z J 6 3 y f t e C k J j 8 o s k + s y T q s g e J 3 E P s A h 9 d 5 H S x t f g R L T h D 7 x h q w r 8 u P + Z t i U F 6 s 5 O 4 o U X U z g 8 2 K V a H Y S S r z i o r S t l m 1 i J u c U 1 G W l O x y h b x I J m Z m E y p 6 X L U p 1 u i u i Z P 9 x 1 j O J v h Z V P X T v K W w j + y S n U H I d 6 B E B G d N x M 5 B y V d w X H h O 1 m Y t B Q q g G 9 u w f 9 2 x L T h s G R t l 7 L i R q 4 V S 0 W Z v R c o 0 t Z J h G o 6 b p E 5 1 K O Y p B O i I e L 9 i f k d w S I v 9 6 M f R H Y O 4 z 2 3 H 8 h P U d 1 9 h N z K + X n V v T 1 n Q V 9 K r 2 c I D q B K F 7 Y j i 1 7 S m I n C s j 7 R m U n r 2 t 7 l s U O y b 9 Z V H w r x C 6 N z d m C f E t 6 f X 8 l p 2 x D F P 8 m t X l t c G c n 8 P X T 8 E s S 3 Q D Q 9 e z y 8 G U v G r C a Y v / I g f 9 8 u h Y R M + 4 l 6 z I 3 + v o d r P s J / U g N 6 e x N p Y H Q F F i J + w c z C 1 Q V j n + g 7 9 W 4 Z Q s k A t S d X a x k 4 N y q l g c n t D U 4 a + 1 6 a Y m l Z P r 9 f w x r X l K 2 B i W H i s 8 g U S V o c E K g t i N H v v Q x 3 v u f z i 1 q L h U I X 8 n + x B T h X y W m 6 K O R W U J z k l O T U + p y S e J o 0 n M Z G j 8 S R c k 8 W T 9 j A 7 z b 9 R Q X k S T x J P E k 8 3 h y c x k a P x J F w T x l N u K T 3 N e M o t a R J P E k 8 S T 1 O D J 2 8 i / 4 A n z z V Z P G 0 U V l N T j K e g P I k n i S e J p 5 v D k 5 j I 0 X g S r s n i K b W 4 p k 8 x n o L y J J 4 k n i S e b g 5 P Y i J H 4 0 m 4 J o C n n 1 B L A Q I t A B Q A A g A I A M t t O 1 H B F P w j o w A A A P U A A A A S A A A A A A A A A A A A A A A A A A A A A A B D b 2 5 m a W c v U G F j a 2 F n Z S 5 4 b W x Q S w E C L Q A U A A I A C A D L b T t R D 8 r p q 6 Q A A A D p A A A A E w A A A A A A A A A A A A A A A A D v A A A A W 0 N v b n R l b n R f V H l w Z X N d L n h t b F B L A Q I t A B Q A A g A I A M t t O 1 G j H w Z q x A I A A N Q b A A A T A A A A A A A A A A A A A A A A A O A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W A A A A A A A A l 1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S F l E U l 8 x M T A 5 M D F f M j A w O T A x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C 0 w O S 0 y N 1 Q x M D o y M j o y M S 4 1 M T Y 3 M z Q 2 W i I g L z 4 8 R W 5 0 c n k g V H l w Z T 0 i R m l s b E N v b H V t b l R 5 c G V z I i B W Y W x 1 Z T 0 i c 0 J n a 0 Z B d z 0 9 I i A v P j x F b n R y e S B U e X B l P S J G a W x s Q 2 9 s d W 1 u T m F t Z X M i I F Z h b H V l P S J z W y Z x d W 9 0 O 1 x 1 M D A z Y 1 B F U l x 1 M D A z Z S Z x d W 9 0 O y w m c X V v d D t c d T A w M 2 N E Q V R F X H U w M D N l J n F 1 b 3 Q 7 L C Z x d W 9 0 O 1 x 1 M D A z Y 0 h Z R F J f Q 0 x P U 0 V c d T A w M 2 U m c X V v d D s s J n F 1 b 3 Q 7 X H U w M D N j S F l E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W U R S X z E x M D k w M V 8 y M D A 5 M D E v 0 J j Q t 9 C 8 0 L X Q v d C 1 0 L 3 Q v d G L 0 L k g 0 Y L Q u N C / L n t c d T A w M 2 N Q R V J c d T A w M 2 U s M X 0 m c X V v d D s s J n F 1 b 3 Q 7 U 2 V j d G l v b j E v S F l E U l 8 x M T A 5 M D F f M j A w O T A x L 9 C Y 0 L f Q v N C 1 0 L 3 Q t d C 9 0 L 3 R i 9 C 5 I N G C 0 L j Q v y 5 7 X H U w M D N j R E F U R V x 1 M D A z Z S w y f S Z x d W 9 0 O y w m c X V v d D t T Z W N 0 a W 9 u M S 9 I W U R S X z E x M D k w M V 8 y M D A 5 M D E v 0 J j Q t 9 C 8 0 L X Q v d C 1 0 L 3 Q v d G L 0 L k g 0 Y L Q u N C / I N G B I N G P 0 L f R i 9 C 6 0 L 7 Q v C 5 7 X H U w M D N j Q 0 x P U 0 V c d T A w M 2 U s M n 0 m c X V v d D s s J n F 1 b 3 Q 7 U 2 V j d G l v b j E v S F l E U l 8 x M T A 5 M D F f M j A w O T A x L 9 C Y 0 L f Q v N C 1 0 L 3 Q t d C 9 0 L 3 R i 9 C 5 I N G C 0 L j Q v y 5 7 X H U w M D N j V k 9 M X H U w M D N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1 I i A v P j x F b n R y e S B U e X B l P S J G a W x s V G F y Z 2 V 0 I i B W Y W x 1 Z T 0 i c 1 N C R V J f M T E w O T A x X z I w M D k w M S I g L z 4 8 R W 5 0 c n k g V H l w Z T 0 i R m l s b E x h c 3 R V c G R h d G V k I i B W Y W x 1 Z T 0 i Z D I w M j A t M D k t M j d U M T A 6 M j M 6 M j A u N z g x O D E 0 N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J F U l 9 D T E 9 T R V x 1 M D A z Z S Z x d W 9 0 O y w m c X V v d D t c d T A w M 2 N T Q k V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R V J f M T E w O T A x X z I w M D k w M S / Q m N C 3 0 L z Q t d C 9 0 L X Q v d C 9 0 Y v Q u S D R g t C 4 0 L 8 u e 1 x 1 M D A z Y 0 R B V E V c d T A w M 2 U s M n 0 m c X V v d D s s J n F 1 b 3 Q 7 U 2 V j d G l v b j E v U 0 J F U l 8 x M T A 5 M D F f M j A w O T A x L 9 C Y 0 L f Q v N C 1 0 L 3 Q t d C 9 0 L 3 R i 9 C 5 I N G C 0 L j Q v y D R g S D R j 9 C 3 0 Y v Q u t C + 0 L w u e 1 x 1 M D A z Y 0 N M T 1 N F X H U w M D N l L D F 9 J n F 1 b 3 Q 7 L C Z x d W 9 0 O 1 N l Y 3 R p b 2 4 x L 1 N C R V J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R V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V G F y Z 2 V 0 I i B W Y W x 1 Z T 0 i c 1 N O R 0 N f M T E w O T A x X z I w M D k w M S I g L z 4 8 R W 5 0 c n k g V H l w Z T 0 i R m l s b E x h c 3 R V c G R h d G V k I i B W Y W x 1 Z T 0 i Z D I w M j A t M D k t M j d U M T A 6 M j Q 6 M j M u M z c 2 N j E 4 M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5 H U 1 9 D T E 9 T R V x 1 M D A z Z S Z x d W 9 0 O y w m c X V v d D t c d T A w M 2 N T T k d T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k d D X z E x M D k w M V 8 y M D A 5 M D E v 0 J j Q t 9 C 8 0 L X Q v d C 1 0 L 3 Q v d G L 0 L k g 0 Y L Q u N C / L n t c d T A w M 2 N E Q V R F X H U w M D N l L D J 9 J n F 1 b 3 Q 7 L C Z x d W 9 0 O 1 N l Y 3 R p b 2 4 x L 1 N O R 0 N f M T E w O T A x X z I w M D k w M S / Q m N C 3 0 L z Q t d C 9 0 L X Q v d C 9 0 Y v Q u S D R g t C 4 0 L 8 g 0 Y E g 0 Y / Q t 9 G L 0 L r Q v t C 8 L n t c d T A w M 2 N D T E 9 T R V x 1 M D A z Z S w x f S Z x d W 9 0 O y w m c X V v d D t T Z W N 0 a W 9 u M S 9 T T k d D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R 0 N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V V J L Q V 9 D T E 9 T R V x 1 M D A z Z S Z x d W 9 0 O y w m c X V v d D t c d T A w M 2 N V U k t B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k t B X z E x M D k w M V 8 y M D A 5 M D E v 0 J j Q t 9 C 8 0 L X Q v d C 1 0 L 3 Q v d G L 0 L k g 0 Y L Q u N C / L n t c d T A w M 2 N E Q V R F X H U w M D N l L D J 9 J n F 1 b 3 Q 7 L C Z x d W 9 0 O 1 N l Y 3 R p b 2 4 x L 1 V S S 0 F f M T E w O T A x X z I w M D k w M S / Q m N C 3 0 L z Q t d C 9 0 L X Q v d C 9 0 Y v Q u S D R g t C 4 0 L 8 g 0 Y E g 0 Y / Q t 9 G L 0 L r Q v t C 8 L n t c d T A w M 2 N D T E 9 T R V x 1 M D A z Z S w x f S Z x d W 9 0 O y w m c X V v d D t T Z W N 0 a W 9 u M S 9 V U k t B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Q U Z M V F 8 x M T A 5 M D F f M j A w O T A x I i A v P j x F b n R y e S B U e X B l P S J G a W x s R X J y b 3 J D b 3 V u d C I g V m F s d W U 9 I m w w I i A v P j x F b n R y e S B U e X B l P S J G a W x s T G F z d F V w Z G F 0 Z W Q i I F Z h b H V l P S J k M j A y M C 0 w O S 0 y N 1 Q x M D o 0 N j o y M y 4 3 M z M 3 N T I z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M V F 8 x M T A 5 M D F f M j A w O T A x L 9 C Y 0 L f Q v N C 1 0 L 3 Q t d C 9 0 L 3 R i 9 C 5 I N G C 0 L j Q v y 5 7 X H U w M D N j R E F U R V x 1 M D A z Z S w y f S Z x d W 9 0 O y w m c X V v d D t T Z W N 0 a W 9 u M S 9 B R k x U X z E x M D k w M V 8 y M D A 5 M D E v 0 J j Q t 9 C 8 0 L X Q v d C 1 0 L 3 Q v d G L 0 L k g 0 Y L Q u N C / I N G B I N G P 0 L f R i 9 C 6 0 L 7 Q v C 5 7 X H U w M D N j Q 0 x P U 0 V c d T A w M 2 U s M X 0 m c X V v d D s s J n F 1 b 3 Q 7 U 2 V j d G l v b j E v Q U Z M V F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D b 2 x 1 b W 5 O Y W 1 l c y I g V m F s d W U 9 I n N b J n F 1 b 3 Q 7 X H U w M D N j R E F U R V x 1 M D A z Z S Z x d W 9 0 O y w m c X V v d D t c d T A w M 2 N B R k x U X 0 N M T 1 N F X H U w M D N l J n F 1 b 3 Q 7 L C Z x d W 9 0 O 1 x 1 M D A z Y 0 F G T F R f V k 9 M X H U w M D N l J n F 1 b 3 Q 7 X S I g L z 4 8 R W 5 0 c n k g V H l w Z T 0 i R m l s b E N v b H V t b l R 5 c G V z I i B W Y W x 1 Z T 0 i c 0 N R V U Q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M T Q i I C 8 + P C 9 T d G F i b G V F b n R y a W V z P j w v S X R l b T 4 8 S X R l b T 4 8 S X R l b U x v Y 2 F 0 a W 9 u P j x J d G V t V H l w Z T 5 G b 3 J t d W x h P C 9 J d G V t V H l w Z T 4 8 S X R l b V B h d G g + U 2 V j d G l v b j E v Q U Z M V F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C K z 5 g g 6 F O i b a R w W r y Z H k A A A A A A g A A A A A A E G Y A A A A B A A A g A A A A I V b o q y D N 2 Y G i + s 4 N U i O J V A C W R i D E M S c u O 9 B w U V f C 3 L E A A A A A D o A A A A A C A A A g A A A A x d T M s J 4 a c f Z 0 l m H Y c c R k c x r X O 8 4 N 1 P N J i M K D v u w c p x 1 Q A A A A 7 u D g r c c 4 h j k 1 W C 2 / E i A N c y e q e R r q D 3 i d S n D i K x f a W 2 R K L 0 Y X g h l R c Q b k W Y 2 7 R L s N 7 B R K L m X a A T o E x O 4 g s f 5 y x x x L h I f B X 9 q b g 4 P B g f f j y 7 Z A A A A A M 9 0 9 u 4 b U i f A 9 L Z P 2 B j m C 8 H e Z K x / 4 p E Q V o y q v L a l 8 l 7 d N 0 D t B 9 9 f V j W b W 5 s 2 i s e L g W R e t I e b 6 D U 8 Z F M V 4 I f w T B A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Выбросы</vt:lpstr>
      <vt:lpstr>Пропуски</vt:lpstr>
      <vt:lpstr>Импутация</vt:lpstr>
      <vt:lpstr>Шовене</vt:lpstr>
      <vt:lpstr>Шовене (1)</vt:lpstr>
      <vt:lpstr>Шовене (2)</vt:lpstr>
      <vt:lpstr>Диксон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2015-06-05T18:17:20Z</dcterms:created>
  <dcterms:modified xsi:type="dcterms:W3CDTF">2021-10-07T11:02:45Z</dcterms:modified>
</cp:coreProperties>
</file>