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Тема 5 Порфель\"/>
    </mc:Choice>
  </mc:AlternateContent>
  <xr:revisionPtr revIDLastSave="0" documentId="13_ncr:1_{17A33092-BE79-4E79-A1F7-FBE165BF3BF6}" xr6:coauthVersionLast="47" xr6:coauthVersionMax="47" xr10:uidLastSave="{00000000-0000-0000-0000-000000000000}"/>
  <bookViews>
    <workbookView xWindow="96" yWindow="132" windowWidth="21960" windowHeight="11880" activeTab="2" xr2:uid="{00000000-000D-0000-FFFF-FFFF00000000}"/>
  </bookViews>
  <sheets>
    <sheet name="Задание" sheetId="1" r:id="rId1"/>
    <sheet name="Регр" sheetId="9" r:id="rId2"/>
    <sheet name="Лист1" sheetId="10" r:id="rId3"/>
    <sheet name="Data" sheetId="5" r:id="rId4"/>
    <sheet name="Меры" sheetId="3" r:id="rId5"/>
    <sheet name="F" sheetId="2" r:id="rId6"/>
    <sheet name="Params" sheetId="4" r:id="rId7"/>
  </sheets>
  <definedNames>
    <definedName name="solver_adj" localSheetId="3" hidden="1">Data!$U$33</definedName>
    <definedName name="solver_adj" localSheetId="2" hidden="1">Лист1!$B$26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Data!$U$33</definedName>
    <definedName name="solver_lhs1" localSheetId="2" hidden="1">Лист1!$B$26</definedName>
    <definedName name="solver_lhs2" localSheetId="3" hidden="1">Data!$U$33</definedName>
    <definedName name="solver_lhs2" localSheetId="2" hidden="1">Лист1!$B$26</definedName>
    <definedName name="solver_lhs3" localSheetId="3" hidden="1">Data!$U$14</definedName>
    <definedName name="solver_lhs3" localSheetId="2" hidden="1">Лист1!$B$19</definedName>
    <definedName name="solver_lhs4" localSheetId="3" hidden="1">Data!$V$11</definedName>
    <definedName name="solver_lhs5" localSheetId="3" hidden="1">Data!$W$11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2</definedName>
    <definedName name="solver_num" localSheetId="2" hidden="1">2</definedName>
    <definedName name="solver_nwt" localSheetId="3" hidden="1">1</definedName>
    <definedName name="solver_nwt" localSheetId="2" hidden="1">1</definedName>
    <definedName name="solver_opt" localSheetId="3" hidden="1">Data!$U$35</definedName>
    <definedName name="solver_opt" localSheetId="2" hidden="1">Лист1!$F$26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1</definedName>
    <definedName name="solver_rel1" localSheetId="2" hidden="1">1</definedName>
    <definedName name="solver_rel2" localSheetId="3" hidden="1">3</definedName>
    <definedName name="solver_rel2" localSheetId="2" hidden="1">3</definedName>
    <definedName name="solver_rel3" localSheetId="3" hidden="1">2</definedName>
    <definedName name="solver_rel3" localSheetId="2" hidden="1">3</definedName>
    <definedName name="solver_rel4" localSheetId="3" hidden="1">3</definedName>
    <definedName name="solver_rel5" localSheetId="3" hidden="1">3</definedName>
    <definedName name="solver_rhs1" localSheetId="3" hidden="1">1</definedName>
    <definedName name="solver_rhs1" localSheetId="2" hidden="1">1</definedName>
    <definedName name="solver_rhs2" localSheetId="3" hidden="1">0</definedName>
    <definedName name="solver_rhs2" localSheetId="2" hidden="1">0</definedName>
    <definedName name="solver_rhs3" localSheetId="3" hidden="1">1</definedName>
    <definedName name="solver_rhs3" localSheetId="2" hidden="1">0.15</definedName>
    <definedName name="solver_rhs4" localSheetId="3" hidden="1">0</definedName>
    <definedName name="solver_rhs5" localSheetId="3" hidden="1">0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0" l="1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N3" i="10"/>
  <c r="O3" i="10"/>
  <c r="N4" i="10"/>
  <c r="O4" i="10"/>
  <c r="N5" i="10"/>
  <c r="O5" i="10"/>
  <c r="N6" i="10"/>
  <c r="O6" i="10"/>
  <c r="N7" i="10"/>
  <c r="O7" i="10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N2" i="10"/>
  <c r="O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2" i="10"/>
  <c r="C26" i="10"/>
  <c r="D26" i="10" s="1"/>
  <c r="B25" i="10"/>
  <c r="C25" i="10"/>
  <c r="C24" i="10"/>
  <c r="B24" i="10"/>
  <c r="C18" i="10"/>
  <c r="B17" i="10"/>
  <c r="C17" i="10"/>
  <c r="C16" i="10"/>
  <c r="B16" i="10"/>
  <c r="C11" i="10"/>
  <c r="D11" i="10" s="1"/>
  <c r="G3" i="10"/>
  <c r="K3" i="10" s="1"/>
  <c r="B10" i="10"/>
  <c r="F3" i="10" s="1"/>
  <c r="C10" i="10"/>
  <c r="C9" i="10"/>
  <c r="B9" i="10"/>
  <c r="C2" i="10" a="1"/>
  <c r="C2" i="10" s="1"/>
  <c r="J3" i="10" l="1"/>
  <c r="G2" i="10" a="1"/>
  <c r="G2" i="10" s="1"/>
  <c r="K2" i="10" s="1"/>
  <c r="F2" i="10"/>
  <c r="J2" i="10" s="1"/>
  <c r="E24" i="10"/>
  <c r="B19" i="10"/>
  <c r="D16" i="10"/>
  <c r="D18" i="10"/>
  <c r="D9" i="10"/>
  <c r="D24" i="10" s="1"/>
  <c r="E25" i="10" l="1" a="1"/>
  <c r="E25" i="10" s="1"/>
  <c r="D17" i="10" a="1"/>
  <c r="D17" i="10" s="1"/>
  <c r="F24" i="10"/>
  <c r="D10" i="10" a="1"/>
  <c r="D10" i="10" s="1"/>
  <c r="D25" i="10" s="1"/>
  <c r="F25" i="10" l="1"/>
  <c r="F26" i="10" s="1"/>
  <c r="AC6" i="5"/>
  <c r="AC7" i="5"/>
  <c r="AC8" i="5"/>
  <c r="AC9" i="5"/>
  <c r="AC10" i="5"/>
  <c r="AC11" i="5"/>
  <c r="AC12" i="5"/>
  <c r="AC13" i="5"/>
  <c r="AC14" i="5"/>
  <c r="AC5" i="5"/>
  <c r="AB6" i="5"/>
  <c r="AB7" i="5"/>
  <c r="AB8" i="5"/>
  <c r="AB9" i="5"/>
  <c r="AB10" i="5"/>
  <c r="AB11" i="5"/>
  <c r="AB12" i="5"/>
  <c r="AB13" i="5"/>
  <c r="AB14" i="5"/>
  <c r="X5" i="5"/>
  <c r="X4" i="5"/>
  <c r="AB5" i="5" s="1"/>
  <c r="AA6" i="5" l="1"/>
  <c r="AA7" i="5"/>
  <c r="AA8" i="5"/>
  <c r="AA9" i="5"/>
  <c r="AA10" i="5"/>
  <c r="AA11" i="5"/>
  <c r="AA12" i="5"/>
  <c r="AA13" i="5"/>
  <c r="AA14" i="5"/>
  <c r="AA5" i="5"/>
  <c r="V33" i="5"/>
  <c r="U35" i="5" s="1"/>
  <c r="V7" i="5"/>
  <c r="U31" i="5"/>
  <c r="V31" i="5"/>
  <c r="V30" i="5"/>
  <c r="V29" i="5"/>
  <c r="U30" i="5"/>
  <c r="U29" i="5"/>
  <c r="P5" i="5"/>
  <c r="Q5" i="5"/>
  <c r="P6" i="5"/>
  <c r="Q6" i="5"/>
  <c r="P7" i="5"/>
  <c r="Q7" i="5"/>
  <c r="P8" i="5"/>
  <c r="Q8" i="5"/>
  <c r="P9" i="5"/>
  <c r="Q9" i="5"/>
  <c r="P10" i="5"/>
  <c r="Q10" i="5"/>
  <c r="P11" i="5"/>
  <c r="Q11" i="5"/>
  <c r="P12" i="5"/>
  <c r="Q12" i="5"/>
  <c r="P13" i="5"/>
  <c r="Q13" i="5"/>
  <c r="P14" i="5"/>
  <c r="Q14" i="5"/>
  <c r="P15" i="5"/>
  <c r="Q15" i="5"/>
  <c r="P16" i="5"/>
  <c r="Q16" i="5"/>
  <c r="P17" i="5"/>
  <c r="Q17" i="5"/>
  <c r="P18" i="5"/>
  <c r="Q18" i="5"/>
  <c r="P19" i="5"/>
  <c r="Q19" i="5"/>
  <c r="P20" i="5"/>
  <c r="Q20" i="5"/>
  <c r="P21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P33" i="5"/>
  <c r="Q33" i="5"/>
  <c r="P34" i="5"/>
  <c r="Q34" i="5"/>
  <c r="P35" i="5"/>
  <c r="Q35" i="5"/>
  <c r="P36" i="5"/>
  <c r="Q36" i="5"/>
  <c r="P37" i="5"/>
  <c r="Q37" i="5"/>
  <c r="P38" i="5"/>
  <c r="Q38" i="5"/>
  <c r="P39" i="5"/>
  <c r="Q39" i="5"/>
  <c r="P40" i="5"/>
  <c r="Q40" i="5"/>
  <c r="P41" i="5"/>
  <c r="Q41" i="5"/>
  <c r="P42" i="5"/>
  <c r="Q42" i="5"/>
  <c r="P43" i="5"/>
  <c r="Q43" i="5"/>
  <c r="P44" i="5"/>
  <c r="Q44" i="5"/>
  <c r="P45" i="5"/>
  <c r="Q45" i="5"/>
  <c r="P46" i="5"/>
  <c r="Q46" i="5"/>
  <c r="P47" i="5"/>
  <c r="Q47" i="5"/>
  <c r="P4" i="5"/>
  <c r="Q4" i="5"/>
  <c r="P3" i="5"/>
  <c r="Q3" i="5"/>
  <c r="O3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" i="5"/>
  <c r="U36" i="5" l="1"/>
  <c r="U34" i="5"/>
  <c r="U14" i="5"/>
  <c r="K3" i="5"/>
  <c r="U3" i="5" s="1"/>
  <c r="L3" i="5"/>
  <c r="V3" i="5" s="1"/>
  <c r="M3" i="5"/>
  <c r="W3" i="5" s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" i="5"/>
  <c r="K5" i="5"/>
  <c r="N5" i="5" s="1"/>
  <c r="K6" i="5"/>
  <c r="N6" i="5" s="1"/>
  <c r="K7" i="5"/>
  <c r="N7" i="5" s="1"/>
  <c r="K8" i="5"/>
  <c r="N8" i="5" s="1"/>
  <c r="K9" i="5"/>
  <c r="N9" i="5" s="1"/>
  <c r="K10" i="5"/>
  <c r="N10" i="5" s="1"/>
  <c r="K11" i="5"/>
  <c r="N11" i="5" s="1"/>
  <c r="K12" i="5"/>
  <c r="N12" i="5" s="1"/>
  <c r="K13" i="5"/>
  <c r="N13" i="5" s="1"/>
  <c r="K14" i="5"/>
  <c r="N14" i="5" s="1"/>
  <c r="K15" i="5"/>
  <c r="N15" i="5" s="1"/>
  <c r="K16" i="5"/>
  <c r="N16" i="5" s="1"/>
  <c r="K17" i="5"/>
  <c r="N17" i="5" s="1"/>
  <c r="K18" i="5"/>
  <c r="N18" i="5" s="1"/>
  <c r="K19" i="5"/>
  <c r="N19" i="5" s="1"/>
  <c r="K20" i="5"/>
  <c r="N20" i="5" s="1"/>
  <c r="K21" i="5"/>
  <c r="N21" i="5" s="1"/>
  <c r="K22" i="5"/>
  <c r="N22" i="5" s="1"/>
  <c r="K23" i="5"/>
  <c r="N23" i="5" s="1"/>
  <c r="K24" i="5"/>
  <c r="N24" i="5" s="1"/>
  <c r="K25" i="5"/>
  <c r="N25" i="5" s="1"/>
  <c r="K26" i="5"/>
  <c r="N26" i="5" s="1"/>
  <c r="K27" i="5"/>
  <c r="N27" i="5" s="1"/>
  <c r="K28" i="5"/>
  <c r="N28" i="5" s="1"/>
  <c r="K29" i="5"/>
  <c r="N29" i="5" s="1"/>
  <c r="K30" i="5"/>
  <c r="N30" i="5" s="1"/>
  <c r="K31" i="5"/>
  <c r="N31" i="5" s="1"/>
  <c r="K32" i="5"/>
  <c r="N32" i="5" s="1"/>
  <c r="K33" i="5"/>
  <c r="N33" i="5" s="1"/>
  <c r="K34" i="5"/>
  <c r="N34" i="5" s="1"/>
  <c r="K35" i="5"/>
  <c r="N35" i="5" s="1"/>
  <c r="K36" i="5"/>
  <c r="N36" i="5" s="1"/>
  <c r="K37" i="5"/>
  <c r="N37" i="5" s="1"/>
  <c r="K38" i="5"/>
  <c r="N38" i="5" s="1"/>
  <c r="K39" i="5"/>
  <c r="N39" i="5" s="1"/>
  <c r="K40" i="5"/>
  <c r="N40" i="5" s="1"/>
  <c r="K41" i="5"/>
  <c r="N41" i="5" s="1"/>
  <c r="K42" i="5"/>
  <c r="N42" i="5" s="1"/>
  <c r="K43" i="5"/>
  <c r="N43" i="5" s="1"/>
  <c r="K44" i="5"/>
  <c r="N44" i="5" s="1"/>
  <c r="K45" i="5"/>
  <c r="N45" i="5" s="1"/>
  <c r="K46" i="5"/>
  <c r="N46" i="5" s="1"/>
  <c r="K47" i="5"/>
  <c r="N47" i="5" s="1"/>
  <c r="K4" i="5"/>
  <c r="N4" i="5" s="1"/>
  <c r="B2" i="4" a="1"/>
  <c r="B2" i="4" s="1"/>
  <c r="U7" i="3"/>
  <c r="T7" i="3" s="1"/>
  <c r="S7" i="3" s="1"/>
  <c r="R7" i="3" s="1"/>
  <c r="Q7" i="3" s="1"/>
  <c r="P7" i="3" s="1"/>
  <c r="O7" i="3" s="1"/>
  <c r="N7" i="3" s="1"/>
  <c r="M7" i="3" s="1"/>
  <c r="L7" i="3" s="1"/>
  <c r="W5" i="5" l="1"/>
  <c r="W4" i="5"/>
  <c r="V5" i="5"/>
  <c r="U4" i="5"/>
  <c r="V4" i="5"/>
  <c r="U5" i="5"/>
  <c r="U13" i="5" l="1"/>
  <c r="U12" i="5"/>
  <c r="U9" i="5"/>
  <c r="U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A48D5-802B-4AD9-96A0-ED7B159434F4}" keepAlive="1" name="Запрос — Data1" description="Соединение с запросом &quot;Data&quot; в книге." type="5" refreshedVersion="7" background="1" saveData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D9189A00-7CC1-47E4-949A-0F689F03D8FC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4BBBE0C3-D46D-440E-B4C3-04C47D7B6ACE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A4DCB617-E2BD-4CD6-A8B5-57A60B85E526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93C346DA-5025-44F8-84A6-BD907AB7DE66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<sst xmlns="http://schemas.openxmlformats.org/spreadsheetml/2006/main" count="239" uniqueCount="179">
  <si>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</si>
  <si>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</si>
  <si>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</si>
  <si>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</si>
  <si>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</si>
  <si>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</si>
  <si>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</si>
  <si>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</si>
  <si>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</si>
  <si>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</si>
  <si>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</si>
  <si>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</si>
  <si>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</si>
  <si>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</si>
  <si>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</si>
  <si>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</si>
  <si>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</si>
  <si>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</si>
  <si>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</si>
  <si>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</si>
  <si>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</si>
  <si>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</si>
  <si>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</si>
  <si>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</si>
  <si>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</si>
  <si>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</si>
  <si>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</si>
  <si>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</si>
  <si>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</si>
  <si>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</si>
  <si>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</si>
  <si>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</si>
  <si>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</si>
  <si>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</si>
  <si>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</si>
  <si>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</si>
  <si>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</si>
  <si>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</si>
  <si>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</si>
  <si>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</si>
  <si>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</si>
  <si>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</si>
  <si>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</si>
  <si>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</si>
  <si>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</si>
  <si>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</si>
  <si>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</si>
  <si>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</si>
  <si>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</si>
  <si>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</si>
  <si>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</si>
  <si>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</si>
  <si>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</si>
  <si>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</si>
  <si>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</si>
  <si>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</si>
  <si>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</si>
  <si>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</si>
  <si>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</si>
  <si>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</si>
  <si>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</si>
  <si>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Общий итог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</si>
  <si>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</si>
  <si>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</si>
  <si>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</si>
  <si>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</si>
  <si>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</si>
  <si>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</si>
  <si>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</si>
  <si>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</si>
  <si>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</si>
  <si>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</si>
  <si>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</si>
  <si>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</si>
  <si>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</si>
  <si>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</si>
  <si>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</si>
  <si>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</si>
  <si>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</si>
  <si>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</si>
  <si>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</si>
  <si>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</si>
  <si>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</si>
  <si>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</si>
  <si>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</si>
  <si>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</si>
  <si>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</si>
  <si>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</si>
  <si>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</si>
  <si>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</si>
  <si>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</si>
  <si>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</si>
  <si>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</si>
  <si>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</si>
  <si>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</si>
  <si>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</si>
  <si>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</si>
  <si>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</si>
  <si>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</si>
  <si>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</si>
  <si>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</si>
  <si>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</si>
  <si>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</si>
  <si>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</si>
  <si>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</si>
  <si>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</si>
  <si>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</si>
  <si>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Названия столбцов</t>
  </si>
  <si>
    <t>GAZP</t>
  </si>
  <si>
    <t>SBER</t>
  </si>
  <si>
    <t>Сумма по полю &lt;CLOSE&gt;</t>
  </si>
  <si>
    <t>Ср. доходность, %</t>
  </si>
  <si>
    <t>Ср. риск, %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</si>
  <si>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</si>
  <si>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</si>
  <si>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</si>
  <si>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</si>
  <si>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</si>
  <si>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</si>
  <si>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</si>
  <si>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</si>
  <si>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</si>
  <si>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</si>
  <si>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</si>
  <si>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</si>
  <si>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</si>
  <si>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</si>
  <si>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</si>
  <si>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</si>
  <si>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</si>
  <si>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</si>
  <si>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</si>
  <si>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</si>
  <si>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</si>
  <si>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</si>
  <si>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</si>
  <si>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</si>
  <si>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NLMK = 412,17 - 0,51*GAZP - 0,04*SBER</t>
  </si>
  <si>
    <t>GAZP (X1)</t>
  </si>
  <si>
    <t>SBER (X2)</t>
  </si>
  <si>
    <t>SELG</t>
  </si>
  <si>
    <t>Sigma_2</t>
  </si>
  <si>
    <t>R_2</t>
  </si>
  <si>
    <t>w_2</t>
  </si>
  <si>
    <t>w_3</t>
  </si>
  <si>
    <t>R_3</t>
  </si>
  <si>
    <t>Sigma_3</t>
  </si>
  <si>
    <t>Sum_w_3</t>
  </si>
  <si>
    <t>P3</t>
  </si>
  <si>
    <t>AKRN</t>
  </si>
  <si>
    <t>BANE</t>
  </si>
  <si>
    <t>LKOH</t>
  </si>
  <si>
    <t>P2</t>
  </si>
  <si>
    <t>P4</t>
  </si>
  <si>
    <t>w_4</t>
  </si>
  <si>
    <t>R_4</t>
  </si>
  <si>
    <t>Sigma_4</t>
  </si>
  <si>
    <t>Sum_w_4</t>
  </si>
  <si>
    <t>Ср.риск,%</t>
  </si>
  <si>
    <t>Ср.доходность,%</t>
  </si>
  <si>
    <t>R</t>
  </si>
  <si>
    <t>Sigma</t>
  </si>
  <si>
    <t>Ср.д%</t>
  </si>
  <si>
    <t>Ср.риск%</t>
  </si>
  <si>
    <t>W</t>
  </si>
  <si>
    <t>Портфель минимального риска</t>
  </si>
  <si>
    <t>Corr(r)</t>
  </si>
  <si>
    <t>Sg</t>
  </si>
  <si>
    <t>Sg*Corr(r)</t>
  </si>
  <si>
    <t>Портфель максимального дохода</t>
  </si>
  <si>
    <t>Div</t>
  </si>
  <si>
    <t>Портфель Фишера</t>
  </si>
  <si>
    <t>PF</t>
  </si>
  <si>
    <t>Pr</t>
  </si>
  <si>
    <t>Ц.функ</t>
  </si>
  <si>
    <t>Дата</t>
  </si>
  <si>
    <t>P_min</t>
  </si>
  <si>
    <t>P_max</t>
  </si>
  <si>
    <t>P_Fisher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</si>
</sst>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16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3" applyNumberFormat="1" applyFont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0" fillId="0" borderId="18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Continuous"/>
    </xf>
    <xf numFmtId="0" fontId="11" fillId="0" borderId="0" xfId="0" applyFon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2" fillId="0" borderId="0" xfId="0" applyFont="1"/>
    <xf numFmtId="0" fontId="0" fillId="0" borderId="10" xfId="0" applyBorder="1"/>
    <xf numFmtId="0" fontId="3" fillId="2" borderId="18" xfId="0" applyFont="1" applyFill="1" applyBorder="1" applyAlignment="1">
      <alignment horizontal="center"/>
    </xf>
    <xf numFmtId="0" fontId="0" fillId="0" borderId="10" xfId="0" applyNumberFormat="1" applyBorder="1"/>
    <xf numFmtId="0" fontId="13" fillId="0" borderId="0" xfId="0" applyFont="1"/>
    <xf numFmtId="0" fontId="14" fillId="0" borderId="0" xfId="0" applyFont="1"/>
  </cellXfs>
  <cellStyles count="4">
    <cellStyle name="Обычный" xfId="0" builtinId="0"/>
    <cellStyle name="Обычный 2" xfId="1" xr:uid="{DFA88403-7874-4CFE-8111-5046ED369C16}"/>
    <cellStyle name="Процентный" xfId="3" builtinId="5"/>
    <cellStyle name="Процентный 2" xfId="2" xr:uid="{1B6EFA44-0EAC-4E88-97CF-AFD05BC6869C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 портфеля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Лист1!$P$1</c:f>
              <c:strCache>
                <c:ptCount val="1"/>
                <c:pt idx="0">
                  <c:v>P_min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Лист1!$M$2:$M$46</c:f>
              <c:strCache>
                <c:ptCount val="45"/>
                <c:pt idx="0">
                  <c:v>02.авг</c:v>
                </c:pt>
                <c:pt idx="1">
                  <c:v>03.авг</c:v>
                </c:pt>
                <c:pt idx="2">
                  <c:v>04.авг</c:v>
                </c:pt>
                <c:pt idx="3">
                  <c:v>05.авг</c:v>
                </c:pt>
                <c:pt idx="4">
                  <c:v>06.авг</c:v>
                </c:pt>
                <c:pt idx="5">
                  <c:v>09.авг</c:v>
                </c:pt>
                <c:pt idx="6">
                  <c:v>10.авг</c:v>
                </c:pt>
                <c:pt idx="7">
                  <c:v>11.авг</c:v>
                </c:pt>
                <c:pt idx="8">
                  <c:v>12.авг</c:v>
                </c:pt>
                <c:pt idx="9">
                  <c:v>13.авг</c:v>
                </c:pt>
                <c:pt idx="10">
                  <c:v>16.авг</c:v>
                </c:pt>
                <c:pt idx="11">
                  <c:v>17.авг</c:v>
                </c:pt>
                <c:pt idx="12">
                  <c:v>18.авг</c:v>
                </c:pt>
                <c:pt idx="13">
                  <c:v>19.авг</c:v>
                </c:pt>
                <c:pt idx="14">
                  <c:v>20.авг</c:v>
                </c:pt>
                <c:pt idx="15">
                  <c:v>23.авг</c:v>
                </c:pt>
                <c:pt idx="16">
                  <c:v>24.авг</c:v>
                </c:pt>
                <c:pt idx="17">
                  <c:v>25.авг</c:v>
                </c:pt>
                <c:pt idx="18">
                  <c:v>26.авг</c:v>
                </c:pt>
                <c:pt idx="19">
                  <c:v>27.авг</c:v>
                </c:pt>
                <c:pt idx="20">
                  <c:v>30.авг</c:v>
                </c:pt>
                <c:pt idx="21">
                  <c:v>31.авг</c:v>
                </c:pt>
                <c:pt idx="22">
                  <c:v>01.сен</c:v>
                </c:pt>
                <c:pt idx="23">
                  <c:v>02.сен</c:v>
                </c:pt>
                <c:pt idx="24">
                  <c:v>03.сен</c:v>
                </c:pt>
                <c:pt idx="25">
                  <c:v>06.сен</c:v>
                </c:pt>
                <c:pt idx="26">
                  <c:v>07.сен</c:v>
                </c:pt>
                <c:pt idx="27">
                  <c:v>08.сен</c:v>
                </c:pt>
                <c:pt idx="28">
                  <c:v>09.сен</c:v>
                </c:pt>
                <c:pt idx="29">
                  <c:v>10.сен</c:v>
                </c:pt>
                <c:pt idx="30">
                  <c:v>13.сен</c:v>
                </c:pt>
                <c:pt idx="31">
                  <c:v>14.сен</c:v>
                </c:pt>
                <c:pt idx="32">
                  <c:v>15.сен</c:v>
                </c:pt>
                <c:pt idx="33">
                  <c:v>16.сен</c:v>
                </c:pt>
                <c:pt idx="34">
                  <c:v>17.сен</c:v>
                </c:pt>
                <c:pt idx="35">
                  <c:v>20.сен</c:v>
                </c:pt>
                <c:pt idx="36">
                  <c:v>21.сен</c:v>
                </c:pt>
                <c:pt idx="37">
                  <c:v>22.сен</c:v>
                </c:pt>
                <c:pt idx="38">
                  <c:v>23.сен</c:v>
                </c:pt>
                <c:pt idx="39">
                  <c:v>24.сен</c:v>
                </c:pt>
                <c:pt idx="40">
                  <c:v>27.сен</c:v>
                </c:pt>
                <c:pt idx="41">
                  <c:v>28.сен</c:v>
                </c:pt>
                <c:pt idx="42">
                  <c:v>29.сен</c:v>
                </c:pt>
                <c:pt idx="43">
                  <c:v>30.сен</c:v>
                </c:pt>
                <c:pt idx="44">
                  <c:v>01.окт</c:v>
                </c:pt>
              </c:strCache>
            </c:strRef>
          </c:cat>
          <c:val>
            <c:numRef>
              <c:f>Лист1!$P$2:$P$46</c:f>
              <c:numCache>
                <c:formatCode>General</c:formatCode>
                <c:ptCount val="45"/>
                <c:pt idx="0">
                  <c:v>297.20414043855953</c:v>
                </c:pt>
                <c:pt idx="1">
                  <c:v>299.15246973679939</c:v>
                </c:pt>
                <c:pt idx="2">
                  <c:v>300.19292978527523</c:v>
                </c:pt>
                <c:pt idx="3">
                  <c:v>301.75289346658769</c:v>
                </c:pt>
                <c:pt idx="4">
                  <c:v>301.78157385496331</c:v>
                </c:pt>
                <c:pt idx="5">
                  <c:v>307.96391041716845</c:v>
                </c:pt>
                <c:pt idx="6">
                  <c:v>310.5658111437358</c:v>
                </c:pt>
                <c:pt idx="7">
                  <c:v>311.27415254782534</c:v>
                </c:pt>
                <c:pt idx="8">
                  <c:v>311.92682809203916</c:v>
                </c:pt>
                <c:pt idx="9">
                  <c:v>311.73542373377381</c:v>
                </c:pt>
                <c:pt idx="10">
                  <c:v>313.22544794661178</c:v>
                </c:pt>
                <c:pt idx="11">
                  <c:v>317.46123487181592</c:v>
                </c:pt>
                <c:pt idx="12">
                  <c:v>316.13286925488848</c:v>
                </c:pt>
                <c:pt idx="13">
                  <c:v>314.31846247511169</c:v>
                </c:pt>
                <c:pt idx="14">
                  <c:v>310.0817433459676</c:v>
                </c:pt>
                <c:pt idx="15">
                  <c:v>314.37112591233711</c:v>
                </c:pt>
                <c:pt idx="16">
                  <c:v>312.52422518520041</c:v>
                </c:pt>
                <c:pt idx="17">
                  <c:v>311.4447820861667</c:v>
                </c:pt>
                <c:pt idx="18">
                  <c:v>309.25937046393614</c:v>
                </c:pt>
                <c:pt idx="19">
                  <c:v>314.34129540334141</c:v>
                </c:pt>
                <c:pt idx="20">
                  <c:v>317.39647700076466</c:v>
                </c:pt>
                <c:pt idx="21">
                  <c:v>317.44265133479206</c:v>
                </c:pt>
                <c:pt idx="22">
                  <c:v>324.35992736376363</c:v>
                </c:pt>
                <c:pt idx="23">
                  <c:v>321.13523002651539</c:v>
                </c:pt>
                <c:pt idx="24">
                  <c:v>324.16698547377757</c:v>
                </c:pt>
                <c:pt idx="25">
                  <c:v>329.16278450369259</c:v>
                </c:pt>
                <c:pt idx="26">
                  <c:v>326.79357142832737</c:v>
                </c:pt>
                <c:pt idx="27">
                  <c:v>329.76912832986307</c:v>
                </c:pt>
                <c:pt idx="28">
                  <c:v>325.33184019390313</c:v>
                </c:pt>
                <c:pt idx="29">
                  <c:v>326.33476997576213</c:v>
                </c:pt>
                <c:pt idx="30">
                  <c:v>329.92484261427592</c:v>
                </c:pt>
                <c:pt idx="31">
                  <c:v>332.36680387236879</c:v>
                </c:pt>
                <c:pt idx="32">
                  <c:v>338.13938256523073</c:v>
                </c:pt>
                <c:pt idx="33">
                  <c:v>332.41056900567713</c:v>
                </c:pt>
                <c:pt idx="34">
                  <c:v>331.88646489036012</c:v>
                </c:pt>
                <c:pt idx="35">
                  <c:v>326.34544794205681</c:v>
                </c:pt>
                <c:pt idx="36">
                  <c:v>328.92487893296345</c:v>
                </c:pt>
                <c:pt idx="37">
                  <c:v>333.82337772220768</c:v>
                </c:pt>
                <c:pt idx="38">
                  <c:v>334.76703389603722</c:v>
                </c:pt>
                <c:pt idx="39">
                  <c:v>334.31730023953207</c:v>
                </c:pt>
                <c:pt idx="40">
                  <c:v>342.75190072315115</c:v>
                </c:pt>
                <c:pt idx="41">
                  <c:v>340.96529055348589</c:v>
                </c:pt>
                <c:pt idx="42">
                  <c:v>343.71214285266922</c:v>
                </c:pt>
                <c:pt idx="43">
                  <c:v>350.31940677693001</c:v>
                </c:pt>
                <c:pt idx="44">
                  <c:v>350.14529055348589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5-4035-B5D8-CA2FB5ED795E}"/>
            </c:ext>
          </c:extLst>
        </c:ser>
        <c:ser>
          <c:idx val="1"/>
          <c:order val="1"/>
          <c:tx>
            <c:strRef>
              <c:f>Лист1!$Q$1</c:f>
              <c:strCache>
                <c:ptCount val="1"/>
                <c:pt idx="0">
                  <c:v>P_max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Лист1!$M$2:$M$46</c:f>
              <c:strCache>
                <c:ptCount val="45"/>
                <c:pt idx="0">
                  <c:v>02.авг</c:v>
                </c:pt>
                <c:pt idx="1">
                  <c:v>03.авг</c:v>
                </c:pt>
                <c:pt idx="2">
                  <c:v>04.авг</c:v>
                </c:pt>
                <c:pt idx="3">
                  <c:v>05.авг</c:v>
                </c:pt>
                <c:pt idx="4">
                  <c:v>06.авг</c:v>
                </c:pt>
                <c:pt idx="5">
                  <c:v>09.авг</c:v>
                </c:pt>
                <c:pt idx="6">
                  <c:v>10.авг</c:v>
                </c:pt>
                <c:pt idx="7">
                  <c:v>11.авг</c:v>
                </c:pt>
                <c:pt idx="8">
                  <c:v>12.авг</c:v>
                </c:pt>
                <c:pt idx="9">
                  <c:v>13.авг</c:v>
                </c:pt>
                <c:pt idx="10">
                  <c:v>16.авг</c:v>
                </c:pt>
                <c:pt idx="11">
                  <c:v>17.авг</c:v>
                </c:pt>
                <c:pt idx="12">
                  <c:v>18.авг</c:v>
                </c:pt>
                <c:pt idx="13">
                  <c:v>19.авг</c:v>
                </c:pt>
                <c:pt idx="14">
                  <c:v>20.авг</c:v>
                </c:pt>
                <c:pt idx="15">
                  <c:v>23.авг</c:v>
                </c:pt>
                <c:pt idx="16">
                  <c:v>24.авг</c:v>
                </c:pt>
                <c:pt idx="17">
                  <c:v>25.авг</c:v>
                </c:pt>
                <c:pt idx="18">
                  <c:v>26.авг</c:v>
                </c:pt>
                <c:pt idx="19">
                  <c:v>27.авг</c:v>
                </c:pt>
                <c:pt idx="20">
                  <c:v>30.авг</c:v>
                </c:pt>
                <c:pt idx="21">
                  <c:v>31.авг</c:v>
                </c:pt>
                <c:pt idx="22">
                  <c:v>01.сен</c:v>
                </c:pt>
                <c:pt idx="23">
                  <c:v>02.сен</c:v>
                </c:pt>
                <c:pt idx="24">
                  <c:v>03.сен</c:v>
                </c:pt>
                <c:pt idx="25">
                  <c:v>06.сен</c:v>
                </c:pt>
                <c:pt idx="26">
                  <c:v>07.сен</c:v>
                </c:pt>
                <c:pt idx="27">
                  <c:v>08.сен</c:v>
                </c:pt>
                <c:pt idx="28">
                  <c:v>09.сен</c:v>
                </c:pt>
                <c:pt idx="29">
                  <c:v>10.сен</c:v>
                </c:pt>
                <c:pt idx="30">
                  <c:v>13.сен</c:v>
                </c:pt>
                <c:pt idx="31">
                  <c:v>14.сен</c:v>
                </c:pt>
                <c:pt idx="32">
                  <c:v>15.сен</c:v>
                </c:pt>
                <c:pt idx="33">
                  <c:v>16.сен</c:v>
                </c:pt>
                <c:pt idx="34">
                  <c:v>17.сен</c:v>
                </c:pt>
                <c:pt idx="35">
                  <c:v>20.сен</c:v>
                </c:pt>
                <c:pt idx="36">
                  <c:v>21.сен</c:v>
                </c:pt>
                <c:pt idx="37">
                  <c:v>22.сен</c:v>
                </c:pt>
                <c:pt idx="38">
                  <c:v>23.сен</c:v>
                </c:pt>
                <c:pt idx="39">
                  <c:v>24.сен</c:v>
                </c:pt>
                <c:pt idx="40">
                  <c:v>27.сен</c:v>
                </c:pt>
                <c:pt idx="41">
                  <c:v>28.сен</c:v>
                </c:pt>
                <c:pt idx="42">
                  <c:v>29.сен</c:v>
                </c:pt>
                <c:pt idx="43">
                  <c:v>30.сен</c:v>
                </c:pt>
                <c:pt idx="44">
                  <c:v>01.окт</c:v>
                </c:pt>
              </c:strCache>
            </c:strRef>
          </c:cat>
          <c:val>
            <c:numRef>
              <c:f>Лист1!$Q$2:$Q$46</c:f>
              <c:numCache>
                <c:formatCode>General</c:formatCode>
                <c:ptCount val="45"/>
                <c:pt idx="0">
                  <c:v>288.36379766238394</c:v>
                </c:pt>
                <c:pt idx="1">
                  <c:v>288.95207422582757</c:v>
                </c:pt>
                <c:pt idx="2">
                  <c:v>289.83147539781436</c:v>
                </c:pt>
                <c:pt idx="3">
                  <c:v>288.38948057567853</c:v>
                </c:pt>
                <c:pt idx="4">
                  <c:v>285.28198673019835</c:v>
                </c:pt>
                <c:pt idx="5">
                  <c:v>289.96558096951946</c:v>
                </c:pt>
                <c:pt idx="6">
                  <c:v>291.99930177069501</c:v>
                </c:pt>
                <c:pt idx="7">
                  <c:v>293.58004542243344</c:v>
                </c:pt>
                <c:pt idx="8">
                  <c:v>296.11621505003285</c:v>
                </c:pt>
                <c:pt idx="9">
                  <c:v>295.63848380023148</c:v>
                </c:pt>
                <c:pt idx="10">
                  <c:v>297.89801153407257</c:v>
                </c:pt>
                <c:pt idx="11">
                  <c:v>301.27481778466853</c:v>
                </c:pt>
                <c:pt idx="12">
                  <c:v>298.30454639908902</c:v>
                </c:pt>
                <c:pt idx="13">
                  <c:v>296.86594366445331</c:v>
                </c:pt>
                <c:pt idx="14">
                  <c:v>295.27327442433744</c:v>
                </c:pt>
                <c:pt idx="15">
                  <c:v>300.26505264650632</c:v>
                </c:pt>
                <c:pt idx="16">
                  <c:v>300.83403506670504</c:v>
                </c:pt>
                <c:pt idx="17">
                  <c:v>298.97614073130768</c:v>
                </c:pt>
                <c:pt idx="18">
                  <c:v>296.6430918056289</c:v>
                </c:pt>
                <c:pt idx="19">
                  <c:v>301.92634034064548</c:v>
                </c:pt>
                <c:pt idx="20">
                  <c:v>307.0573919017051</c:v>
                </c:pt>
                <c:pt idx="21">
                  <c:v>307.47042256551305</c:v>
                </c:pt>
                <c:pt idx="22">
                  <c:v>314.66060391297992</c:v>
                </c:pt>
                <c:pt idx="23">
                  <c:v>313.66388770049656</c:v>
                </c:pt>
                <c:pt idx="24">
                  <c:v>318.90125498412237</c:v>
                </c:pt>
                <c:pt idx="25">
                  <c:v>328.96593476576163</c:v>
                </c:pt>
                <c:pt idx="26">
                  <c:v>327.58544423773179</c:v>
                </c:pt>
                <c:pt idx="27">
                  <c:v>327.93484668096028</c:v>
                </c:pt>
                <c:pt idx="28">
                  <c:v>324.68760468794699</c:v>
                </c:pt>
                <c:pt idx="29">
                  <c:v>326.41529941400665</c:v>
                </c:pt>
                <c:pt idx="30">
                  <c:v>332.31388261552985</c:v>
                </c:pt>
                <c:pt idx="31">
                  <c:v>337.95912597268222</c:v>
                </c:pt>
                <c:pt idx="32">
                  <c:v>342.53718466491728</c:v>
                </c:pt>
                <c:pt idx="33">
                  <c:v>337.55997919564584</c:v>
                </c:pt>
                <c:pt idx="34">
                  <c:v>334.09655058440399</c:v>
                </c:pt>
                <c:pt idx="35">
                  <c:v>325.7996373050662</c:v>
                </c:pt>
                <c:pt idx="36">
                  <c:v>334.31587743766568</c:v>
                </c:pt>
                <c:pt idx="37">
                  <c:v>339.54544169524843</c:v>
                </c:pt>
                <c:pt idx="38">
                  <c:v>342.12652978004985</c:v>
                </c:pt>
                <c:pt idx="39">
                  <c:v>342.75052196680485</c:v>
                </c:pt>
                <c:pt idx="40">
                  <c:v>353.26994012942077</c:v>
                </c:pt>
                <c:pt idx="41">
                  <c:v>352.04703602746713</c:v>
                </c:pt>
                <c:pt idx="42">
                  <c:v>358.22981102508305</c:v>
                </c:pt>
                <c:pt idx="43">
                  <c:v>359.18211884150685</c:v>
                </c:pt>
                <c:pt idx="44">
                  <c:v>361.22703602746714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5-4035-B5D8-CA2FB5ED795E}"/>
            </c:ext>
          </c:extLst>
        </c:ser>
        <c:ser>
          <c:idx val="2"/>
          <c:order val="2"/>
          <c:tx>
            <c:strRef>
              <c:f>Лист1!$R$1</c:f>
              <c:strCache>
                <c:ptCount val="1"/>
                <c:pt idx="0">
                  <c:v>P_Fisher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Лист1!$M$2:$M$46</c:f>
              <c:strCache>
                <c:ptCount val="45"/>
                <c:pt idx="0">
                  <c:v>02.авг</c:v>
                </c:pt>
                <c:pt idx="1">
                  <c:v>03.авг</c:v>
                </c:pt>
                <c:pt idx="2">
                  <c:v>04.авг</c:v>
                </c:pt>
                <c:pt idx="3">
                  <c:v>05.авг</c:v>
                </c:pt>
                <c:pt idx="4">
                  <c:v>06.авг</c:v>
                </c:pt>
                <c:pt idx="5">
                  <c:v>09.авг</c:v>
                </c:pt>
                <c:pt idx="6">
                  <c:v>10.авг</c:v>
                </c:pt>
                <c:pt idx="7">
                  <c:v>11.авг</c:v>
                </c:pt>
                <c:pt idx="8">
                  <c:v>12.авг</c:v>
                </c:pt>
                <c:pt idx="9">
                  <c:v>13.авг</c:v>
                </c:pt>
                <c:pt idx="10">
                  <c:v>16.авг</c:v>
                </c:pt>
                <c:pt idx="11">
                  <c:v>17.авг</c:v>
                </c:pt>
                <c:pt idx="12">
                  <c:v>18.авг</c:v>
                </c:pt>
                <c:pt idx="13">
                  <c:v>19.авг</c:v>
                </c:pt>
                <c:pt idx="14">
                  <c:v>20.авг</c:v>
                </c:pt>
                <c:pt idx="15">
                  <c:v>23.авг</c:v>
                </c:pt>
                <c:pt idx="16">
                  <c:v>24.авг</c:v>
                </c:pt>
                <c:pt idx="17">
                  <c:v>25.авг</c:v>
                </c:pt>
                <c:pt idx="18">
                  <c:v>26.авг</c:v>
                </c:pt>
                <c:pt idx="19">
                  <c:v>27.авг</c:v>
                </c:pt>
                <c:pt idx="20">
                  <c:v>30.авг</c:v>
                </c:pt>
                <c:pt idx="21">
                  <c:v>31.авг</c:v>
                </c:pt>
                <c:pt idx="22">
                  <c:v>01.сен</c:v>
                </c:pt>
                <c:pt idx="23">
                  <c:v>02.сен</c:v>
                </c:pt>
                <c:pt idx="24">
                  <c:v>03.сен</c:v>
                </c:pt>
                <c:pt idx="25">
                  <c:v>06.сен</c:v>
                </c:pt>
                <c:pt idx="26">
                  <c:v>07.сен</c:v>
                </c:pt>
                <c:pt idx="27">
                  <c:v>08.сен</c:v>
                </c:pt>
                <c:pt idx="28">
                  <c:v>09.сен</c:v>
                </c:pt>
                <c:pt idx="29">
                  <c:v>10.сен</c:v>
                </c:pt>
                <c:pt idx="30">
                  <c:v>13.сен</c:v>
                </c:pt>
                <c:pt idx="31">
                  <c:v>14.сен</c:v>
                </c:pt>
                <c:pt idx="32">
                  <c:v>15.сен</c:v>
                </c:pt>
                <c:pt idx="33">
                  <c:v>16.сен</c:v>
                </c:pt>
                <c:pt idx="34">
                  <c:v>17.сен</c:v>
                </c:pt>
                <c:pt idx="35">
                  <c:v>20.сен</c:v>
                </c:pt>
                <c:pt idx="36">
                  <c:v>21.сен</c:v>
                </c:pt>
                <c:pt idx="37">
                  <c:v>22.сен</c:v>
                </c:pt>
                <c:pt idx="38">
                  <c:v>23.сен</c:v>
                </c:pt>
                <c:pt idx="39">
                  <c:v>24.сен</c:v>
                </c:pt>
                <c:pt idx="40">
                  <c:v>27.сен</c:v>
                </c:pt>
                <c:pt idx="41">
                  <c:v>28.сен</c:v>
                </c:pt>
                <c:pt idx="42">
                  <c:v>29.сен</c:v>
                </c:pt>
                <c:pt idx="43">
                  <c:v>30.сен</c:v>
                </c:pt>
                <c:pt idx="44">
                  <c:v>01.окт</c:v>
                </c:pt>
              </c:strCache>
            </c:strRef>
          </c:cat>
          <c:val>
            <c:numRef>
              <c:f>Лист1!$R$2:$R$46</c:f>
              <c:numCache>
                <c:formatCode>General</c:formatCode>
                <c:ptCount val="45"/>
                <c:pt idx="0">
                  <c:v>293.12963317577203</c:v>
                </c:pt>
                <c:pt idx="1">
                  <c:v>294.45111520281387</c:v>
                </c:pt>
                <c:pt idx="2">
                  <c:v>295.41734333759518</c:v>
                </c:pt>
                <c:pt idx="3">
                  <c:v>295.59370662754611</c:v>
                </c:pt>
                <c:pt idx="4">
                  <c:v>294.17692669648142</c:v>
                </c:pt>
                <c:pt idx="5">
                  <c:v>299.66849406180722</c:v>
                </c:pt>
                <c:pt idx="6">
                  <c:v>302.00852109284114</c:v>
                </c:pt>
                <c:pt idx="7">
                  <c:v>303.11895202944254</c:v>
                </c:pt>
                <c:pt idx="8">
                  <c:v>304.63972856436158</c:v>
                </c:pt>
                <c:pt idx="9">
                  <c:v>304.3163563595283</c:v>
                </c:pt>
                <c:pt idx="10">
                  <c:v>306.16104416001775</c:v>
                </c:pt>
                <c:pt idx="11">
                  <c:v>310.00092754551787</c:v>
                </c:pt>
                <c:pt idx="12">
                  <c:v>307.91580880842696</c:v>
                </c:pt>
                <c:pt idx="13">
                  <c:v>306.27460982727064</c:v>
                </c:pt>
                <c:pt idx="14">
                  <c:v>303.25653128127811</c:v>
                </c:pt>
                <c:pt idx="15">
                  <c:v>307.86964747125978</c:v>
                </c:pt>
                <c:pt idx="16">
                  <c:v>307.13622544954069</c:v>
                </c:pt>
                <c:pt idx="17">
                  <c:v>305.69799476765013</c:v>
                </c:pt>
                <c:pt idx="18">
                  <c:v>303.44453722453295</c:v>
                </c:pt>
                <c:pt idx="19">
                  <c:v>308.61925205605644</c:v>
                </c:pt>
                <c:pt idx="20">
                  <c:v>312.63120054109777</c:v>
                </c:pt>
                <c:pt idx="21">
                  <c:v>312.84645867854044</c:v>
                </c:pt>
                <c:pt idx="22">
                  <c:v>319.88951656127216</c:v>
                </c:pt>
                <c:pt idx="23">
                  <c:v>317.69169403013126</c:v>
                </c:pt>
                <c:pt idx="24">
                  <c:v>321.7400142954877</c:v>
                </c:pt>
                <c:pt idx="25">
                  <c:v>329.07205660917714</c:v>
                </c:pt>
                <c:pt idx="26">
                  <c:v>327.15854500399212</c:v>
                </c:pt>
                <c:pt idx="27">
                  <c:v>328.92370931278674</c:v>
                </c:pt>
                <c:pt idx="28">
                  <c:v>325.03491253912512</c:v>
                </c:pt>
                <c:pt idx="29">
                  <c:v>326.37188593260936</c:v>
                </c:pt>
                <c:pt idx="30">
                  <c:v>331.02594933407784</c:v>
                </c:pt>
                <c:pt idx="31">
                  <c:v>334.9443008756503</c:v>
                </c:pt>
                <c:pt idx="32">
                  <c:v>340.16632620861134</c:v>
                </c:pt>
                <c:pt idx="33">
                  <c:v>334.78392824629879</c:v>
                </c:pt>
                <c:pt idx="34">
                  <c:v>332.90509170605696</c:v>
                </c:pt>
                <c:pt idx="35">
                  <c:v>326.09388423453652</c:v>
                </c:pt>
                <c:pt idx="36">
                  <c:v>331.40958604412685</c:v>
                </c:pt>
                <c:pt idx="37">
                  <c:v>336.46067265596531</c:v>
                </c:pt>
                <c:pt idx="38">
                  <c:v>338.15901995235572</c:v>
                </c:pt>
                <c:pt idx="39">
                  <c:v>338.2041657204806</c:v>
                </c:pt>
                <c:pt idx="40">
                  <c:v>347.599657086923</c:v>
                </c:pt>
                <c:pt idx="41">
                  <c:v>346.07285861518858</c:v>
                </c:pt>
                <c:pt idx="42">
                  <c:v>350.40332507318806</c:v>
                </c:pt>
                <c:pt idx="43">
                  <c:v>354.40422402773055</c:v>
                </c:pt>
                <c:pt idx="44">
                  <c:v>355.25285861518859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5-4035-B5D8-CA2FB5ED7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4732656"/>
        <c:axId val="1621139456"/>
      </c:lineChart>
      <c:catAx>
        <c:axId val="12047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1139456"/>
        <c:crosses val="autoZero"/>
        <c:auto val="1"/>
        <c:lblAlgn val="ctr"/>
        <c:lblOffset val="100"/>
        <c:noMultiLvlLbl val="0"/>
      </c:catAx>
      <c:valAx>
        <c:axId val="1621139456"/>
        <c:scaling>
          <c:orientation val="minMax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7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Data!$AC$4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Data!$AB$5:$AB$14</c:f>
              <c:numCache>
                <c:formatCode>General</c:formatCode>
                <c:ptCount val="10"/>
                <c:pt idx="0">
                  <c:v>6.4662193968901174E-2</c:v>
                </c:pt>
                <c:pt idx="1">
                  <c:v>7.3033061312845038E-2</c:v>
                </c:pt>
                <c:pt idx="2">
                  <c:v>8.1403928656788888E-2</c:v>
                </c:pt>
                <c:pt idx="3">
                  <c:v>8.9774796000732737E-2</c:v>
                </c:pt>
                <c:pt idx="4">
                  <c:v>9.8145663344676601E-2</c:v>
                </c:pt>
                <c:pt idx="5">
                  <c:v>0.10651653068862045</c:v>
                </c:pt>
                <c:pt idx="6">
                  <c:v>0.11488739803256431</c:v>
                </c:pt>
                <c:pt idx="7">
                  <c:v>0.12325826537650818</c:v>
                </c:pt>
                <c:pt idx="8">
                  <c:v>0.13162913272045204</c:v>
                </c:pt>
                <c:pt idx="9">
                  <c:v>0.14000000006439589</c:v>
                </c:pt>
              </c:numCache>
            </c:numRef>
          </c:xVal>
          <c:yVal>
            <c:numRef>
              <c:f>Data!$AC$5:$AC$14</c:f>
              <c:numCache>
                <c:formatCode>General</c:formatCode>
                <c:ptCount val="10"/>
                <c:pt idx="0">
                  <c:v>0.1262388929996813</c:v>
                </c:pt>
                <c:pt idx="1">
                  <c:v>0.11366157287696439</c:v>
                </c:pt>
                <c:pt idx="2">
                  <c:v>0.10149785493187634</c:v>
                </c:pt>
                <c:pt idx="3">
                  <c:v>8.9915751270315133E-2</c:v>
                </c:pt>
                <c:pt idx="4">
                  <c:v>7.9170931919893245E-2</c:v>
                </c:pt>
                <c:pt idx="5">
                  <c:v>6.9651970248154491E-2</c:v>
                </c:pt>
                <c:pt idx="6">
                  <c:v>6.1926761756622289E-2</c:v>
                </c:pt>
                <c:pt idx="7">
                  <c:v>5.6732856861781131E-2</c:v>
                </c:pt>
                <c:pt idx="8">
                  <c:v>5.4794859590690338E-2</c:v>
                </c:pt>
                <c:pt idx="9">
                  <c:v>5.6449115061742307E-2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5-4923-A179-1DA2D8266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26704"/>
        <c:axId val="477729616"/>
      </c:scatterChart>
      <c:valAx>
        <c:axId val="477726704"/>
        <c:scaling>
          <c:orientation val="minMax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729616"/>
        <c:crosses val="autoZero"/>
        <c:crossBetween val="midCat"/>
      </c:valAx>
      <c:valAx>
        <c:axId val="4777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72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403860</xdr:colOff>
      <xdr:row>22</xdr:row>
      <xdr:rowOff>38100</xdr:rowOff>
    </xdr:from>
    <xdr:to>
      <xdr:col>26</xdr:col>
      <xdr:colOff>487680</xdr:colOff>
      <xdr:row>43</xdr:row>
      <xdr:rowOff>68580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4042F0-7C41-414F-94AB-46465C795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578167</xdr:colOff>
      <xdr:row>15</xdr:row>
      <xdr:rowOff>172402</xdr:rowOff>
    </xdr:from>
    <xdr:to>
      <xdr:col>32</xdr:col>
      <xdr:colOff>273367</xdr:colOff>
      <xdr:row>30</xdr:row>
      <xdr:rowOff>37147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2C2EED-C3E8-4041-94C3-F755BC995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512.459473379633" backgroundQuery="1" createdVersion="7" refreshedVersion="7" minRefreshableVersion="3" recordCount="270" xr:uid="{A522D346-FAE5-49C0-9274-4A32169D9A11}">
  <cacheSource type="external" connectionId="1"/>
  <cacheFields count="4">
    <cacheField name="&lt;TICKER&gt;" numFmtId="0">
      <sharedItems count="6">
        <s v="AKRN"/>
        <s v="BANE"/>
        <s v="GAZP"/>
        <s v="LKOH"/>
        <s v="SBER"/>
        <s v="SELG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3" base="1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CLOSE&gt;" numFmtId="0">
      <sharedItems containsSemiMixedTypes="0" containsString="0" containsNumber="1" minValue="43.14" maxValue="7168"/>
    </cacheField>
    <cacheField name="Месяцы" numFmtId="0" databaseField="0">
      <fieldGroup base="1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x v="0"/>
    <n v="6052"/>
  </r>
  <r>
    <x v="0"/>
    <x v="1"/>
    <n v="6008"/>
  </r>
  <r>
    <x v="0"/>
    <x v="2"/>
    <n v="5946"/>
  </r>
  <r>
    <x v="0"/>
    <x v="3"/>
    <n v="5994"/>
  </r>
  <r>
    <x v="0"/>
    <x v="4"/>
    <n v="5980"/>
  </r>
  <r>
    <x v="0"/>
    <x v="5"/>
    <n v="5980"/>
  </r>
  <r>
    <x v="0"/>
    <x v="6"/>
    <n v="5972"/>
  </r>
  <r>
    <x v="0"/>
    <x v="7"/>
    <n v="6000"/>
  </r>
  <r>
    <x v="0"/>
    <x v="8"/>
    <n v="5928"/>
  </r>
  <r>
    <x v="0"/>
    <x v="9"/>
    <n v="5900"/>
  </r>
  <r>
    <x v="0"/>
    <x v="10"/>
    <n v="5916"/>
  </r>
  <r>
    <x v="0"/>
    <x v="11"/>
    <n v="5908"/>
  </r>
  <r>
    <x v="0"/>
    <x v="12"/>
    <n v="5924"/>
  </r>
  <r>
    <x v="0"/>
    <x v="13"/>
    <n v="5948"/>
  </r>
  <r>
    <x v="0"/>
    <x v="14"/>
    <n v="5972"/>
  </r>
  <r>
    <x v="0"/>
    <x v="15"/>
    <n v="6026"/>
  </r>
  <r>
    <x v="0"/>
    <x v="16"/>
    <n v="6090"/>
  </r>
  <r>
    <x v="0"/>
    <x v="17"/>
    <n v="6508"/>
  </r>
  <r>
    <x v="0"/>
    <x v="18"/>
    <n v="6422"/>
  </r>
  <r>
    <x v="0"/>
    <x v="19"/>
    <n v="6534"/>
  </r>
  <r>
    <x v="0"/>
    <x v="20"/>
    <n v="6466"/>
  </r>
  <r>
    <x v="0"/>
    <x v="21"/>
    <n v="6562"/>
  </r>
  <r>
    <x v="0"/>
    <x v="22"/>
    <n v="6536"/>
  </r>
  <r>
    <x v="0"/>
    <x v="23"/>
    <n v="6688"/>
  </r>
  <r>
    <x v="0"/>
    <x v="24"/>
    <n v="6780"/>
  </r>
  <r>
    <x v="0"/>
    <x v="25"/>
    <n v="6942"/>
  </r>
  <r>
    <x v="0"/>
    <x v="26"/>
    <n v="6460"/>
  </r>
  <r>
    <x v="0"/>
    <x v="27"/>
    <n v="6702"/>
  </r>
  <r>
    <x v="0"/>
    <x v="28"/>
    <n v="6524"/>
  </r>
  <r>
    <x v="0"/>
    <x v="29"/>
    <n v="6658"/>
  </r>
  <r>
    <x v="0"/>
    <x v="30"/>
    <n v="6740"/>
  </r>
  <r>
    <x v="0"/>
    <x v="31"/>
    <n v="6828"/>
  </r>
  <r>
    <x v="0"/>
    <x v="32"/>
    <n v="6806"/>
  </r>
  <r>
    <x v="0"/>
    <x v="33"/>
    <n v="6730"/>
  </r>
  <r>
    <x v="0"/>
    <x v="34"/>
    <n v="6678"/>
  </r>
  <r>
    <x v="0"/>
    <x v="35"/>
    <n v="6410"/>
  </r>
  <r>
    <x v="0"/>
    <x v="36"/>
    <n v="7020"/>
  </r>
  <r>
    <x v="0"/>
    <x v="37"/>
    <n v="7018"/>
  </r>
  <r>
    <x v="0"/>
    <x v="38"/>
    <n v="7132"/>
  </r>
  <r>
    <x v="0"/>
    <x v="39"/>
    <n v="7074"/>
  </r>
  <r>
    <x v="0"/>
    <x v="40"/>
    <n v="7064"/>
  </r>
  <r>
    <x v="0"/>
    <x v="41"/>
    <n v="6970"/>
  </r>
  <r>
    <x v="0"/>
    <x v="42"/>
    <n v="6850"/>
  </r>
  <r>
    <x v="0"/>
    <x v="43"/>
    <n v="7000"/>
  </r>
  <r>
    <x v="0"/>
    <x v="44"/>
    <n v="7168"/>
  </r>
  <r>
    <x v="1"/>
    <x v="0"/>
    <n v="1400"/>
  </r>
  <r>
    <x v="1"/>
    <x v="1"/>
    <n v="1387"/>
  </r>
  <r>
    <x v="1"/>
    <x v="2"/>
    <n v="1395.5"/>
  </r>
  <r>
    <x v="1"/>
    <x v="3"/>
    <n v="1360"/>
  </r>
  <r>
    <x v="1"/>
    <x v="4"/>
    <n v="1355"/>
  </r>
  <r>
    <x v="1"/>
    <x v="5"/>
    <n v="1336"/>
  </r>
  <r>
    <x v="1"/>
    <x v="6"/>
    <n v="1343"/>
  </r>
  <r>
    <x v="1"/>
    <x v="7"/>
    <n v="1360"/>
  </r>
  <r>
    <x v="1"/>
    <x v="8"/>
    <n v="1357"/>
  </r>
  <r>
    <x v="1"/>
    <x v="9"/>
    <n v="1397"/>
  </r>
  <r>
    <x v="1"/>
    <x v="10"/>
    <n v="1415"/>
  </r>
  <r>
    <x v="1"/>
    <x v="11"/>
    <n v="1519.5"/>
  </r>
  <r>
    <x v="1"/>
    <x v="12"/>
    <n v="1520.5"/>
  </r>
  <r>
    <x v="1"/>
    <x v="13"/>
    <n v="1457.5"/>
  </r>
  <r>
    <x v="1"/>
    <x v="14"/>
    <n v="1445.5"/>
  </r>
  <r>
    <x v="1"/>
    <x v="15"/>
    <n v="1473"/>
  </r>
  <r>
    <x v="1"/>
    <x v="16"/>
    <n v="1464.5"/>
  </r>
  <r>
    <x v="1"/>
    <x v="17"/>
    <n v="1458"/>
  </r>
  <r>
    <x v="1"/>
    <x v="18"/>
    <n v="1435"/>
  </r>
  <r>
    <x v="1"/>
    <x v="19"/>
    <n v="1442"/>
  </r>
  <r>
    <x v="1"/>
    <x v="20"/>
    <n v="1446.5"/>
  </r>
  <r>
    <x v="1"/>
    <x v="21"/>
    <n v="1445"/>
  </r>
  <r>
    <x v="1"/>
    <x v="22"/>
    <n v="1454"/>
  </r>
  <r>
    <x v="1"/>
    <x v="23"/>
    <n v="1486"/>
  </r>
  <r>
    <x v="1"/>
    <x v="24"/>
    <n v="1461.5"/>
  </r>
  <r>
    <x v="1"/>
    <x v="25"/>
    <n v="1448"/>
  </r>
  <r>
    <x v="1"/>
    <x v="26"/>
    <n v="1448.5"/>
  </r>
  <r>
    <x v="1"/>
    <x v="27"/>
    <n v="1441"/>
  </r>
  <r>
    <x v="1"/>
    <x v="28"/>
    <n v="1452.5"/>
  </r>
  <r>
    <x v="1"/>
    <x v="29"/>
    <n v="1446"/>
  </r>
  <r>
    <x v="1"/>
    <x v="30"/>
    <n v="1454"/>
  </r>
  <r>
    <x v="1"/>
    <x v="31"/>
    <n v="1436.5"/>
  </r>
  <r>
    <x v="1"/>
    <x v="32"/>
    <n v="1518.5"/>
  </r>
  <r>
    <x v="1"/>
    <x v="33"/>
    <n v="1455"/>
  </r>
  <r>
    <x v="1"/>
    <x v="34"/>
    <n v="1463.5"/>
  </r>
  <r>
    <x v="1"/>
    <x v="35"/>
    <n v="1418"/>
  </r>
  <r>
    <x v="1"/>
    <x v="36"/>
    <n v="1405"/>
  </r>
  <r>
    <x v="1"/>
    <x v="37"/>
    <n v="1416.5"/>
  </r>
  <r>
    <x v="1"/>
    <x v="38"/>
    <n v="1414.5"/>
  </r>
  <r>
    <x v="1"/>
    <x v="39"/>
    <n v="1415"/>
  </r>
  <r>
    <x v="1"/>
    <x v="40"/>
    <n v="1443"/>
  </r>
  <r>
    <x v="1"/>
    <x v="41"/>
    <n v="1472"/>
  </r>
  <r>
    <x v="1"/>
    <x v="42"/>
    <n v="1449.5"/>
  </r>
  <r>
    <x v="1"/>
    <x v="43"/>
    <n v="1454"/>
  </r>
  <r>
    <x v="1"/>
    <x v="44"/>
    <n v="1464"/>
  </r>
  <r>
    <x v="2"/>
    <x v="0"/>
    <n v="286.75"/>
  </r>
  <r>
    <x v="2"/>
    <x v="1"/>
    <n v="287.08999999999997"/>
  </r>
  <r>
    <x v="2"/>
    <x v="2"/>
    <n v="287.94"/>
  </r>
  <r>
    <x v="2"/>
    <x v="3"/>
    <n v="285.95"/>
  </r>
  <r>
    <x v="2"/>
    <x v="4"/>
    <n v="282.27"/>
  </r>
  <r>
    <x v="2"/>
    <x v="5"/>
    <n v="286.68"/>
  </r>
  <r>
    <x v="2"/>
    <x v="6"/>
    <n v="288.61"/>
  </r>
  <r>
    <x v="2"/>
    <x v="7"/>
    <n v="290.35000000000002"/>
  </r>
  <r>
    <x v="2"/>
    <x v="8"/>
    <n v="293.23"/>
  </r>
  <r>
    <x v="2"/>
    <x v="9"/>
    <n v="292.7"/>
  </r>
  <r>
    <x v="2"/>
    <x v="10"/>
    <n v="295.10000000000002"/>
  </r>
  <r>
    <x v="2"/>
    <x v="11"/>
    <n v="298.32"/>
  </r>
  <r>
    <x v="2"/>
    <x v="12"/>
    <n v="295.05"/>
  </r>
  <r>
    <x v="2"/>
    <x v="13"/>
    <n v="293.68"/>
  </r>
  <r>
    <x v="2"/>
    <x v="14"/>
    <n v="292.57"/>
  </r>
  <r>
    <x v="2"/>
    <x v="15"/>
    <n v="297.69"/>
  </r>
  <r>
    <x v="2"/>
    <x v="16"/>
    <n v="298.7"/>
  </r>
  <r>
    <x v="2"/>
    <x v="17"/>
    <n v="296.7"/>
  </r>
  <r>
    <x v="2"/>
    <x v="18"/>
    <n v="294.33999999999997"/>
  </r>
  <r>
    <x v="2"/>
    <x v="19"/>
    <n v="299.66000000000003"/>
  </r>
  <r>
    <x v="2"/>
    <x v="20"/>
    <n v="305.17"/>
  </r>
  <r>
    <x v="2"/>
    <x v="21"/>
    <n v="305.64999999999998"/>
  </r>
  <r>
    <x v="2"/>
    <x v="22"/>
    <n v="312.89"/>
  </r>
  <r>
    <x v="2"/>
    <x v="23"/>
    <n v="312.3"/>
  </r>
  <r>
    <x v="2"/>
    <x v="24"/>
    <n v="317.94"/>
  </r>
  <r>
    <x v="2"/>
    <x v="25"/>
    <n v="328.93"/>
  </r>
  <r>
    <x v="2"/>
    <x v="26"/>
    <n v="327.73"/>
  </r>
  <r>
    <x v="2"/>
    <x v="27"/>
    <n v="327.60000000000002"/>
  </r>
  <r>
    <x v="2"/>
    <x v="28"/>
    <n v="324.57"/>
  </r>
  <r>
    <x v="2"/>
    <x v="29"/>
    <n v="326.43"/>
  </r>
  <r>
    <x v="2"/>
    <x v="30"/>
    <n v="332.75"/>
  </r>
  <r>
    <x v="2"/>
    <x v="31"/>
    <n v="338.98"/>
  </r>
  <r>
    <x v="2"/>
    <x v="32"/>
    <n v="343.34"/>
  </r>
  <r>
    <x v="2"/>
    <x v="33"/>
    <n v="338.5"/>
  </r>
  <r>
    <x v="2"/>
    <x v="34"/>
    <n v="334.5"/>
  </r>
  <r>
    <x v="2"/>
    <x v="35"/>
    <n v="325.7"/>
  </r>
  <r>
    <x v="2"/>
    <x v="36"/>
    <n v="335.3"/>
  </r>
  <r>
    <x v="2"/>
    <x v="37"/>
    <n v="340.59"/>
  </r>
  <r>
    <x v="2"/>
    <x v="38"/>
    <n v="343.47"/>
  </r>
  <r>
    <x v="2"/>
    <x v="39"/>
    <n v="344.29"/>
  </r>
  <r>
    <x v="2"/>
    <x v="40"/>
    <n v="355.19"/>
  </r>
  <r>
    <x v="2"/>
    <x v="41"/>
    <n v="354.07"/>
  </r>
  <r>
    <x v="2"/>
    <x v="42"/>
    <n v="360.88"/>
  </r>
  <r>
    <x v="2"/>
    <x v="43"/>
    <n v="360.8"/>
  </r>
  <r>
    <x v="2"/>
    <x v="44"/>
    <n v="363.25"/>
  </r>
  <r>
    <x v="3"/>
    <x v="0"/>
    <n v="6308"/>
  </r>
  <r>
    <x v="3"/>
    <x v="1"/>
    <n v="6297"/>
  </r>
  <r>
    <x v="3"/>
    <x v="2"/>
    <n v="6235"/>
  </r>
  <r>
    <x v="3"/>
    <x v="3"/>
    <n v="6312"/>
  </r>
  <r>
    <x v="3"/>
    <x v="4"/>
    <n v="6236"/>
  </r>
  <r>
    <x v="3"/>
    <x v="5"/>
    <n v="6290"/>
  </r>
  <r>
    <x v="3"/>
    <x v="6"/>
    <n v="6423.5"/>
  </r>
  <r>
    <x v="3"/>
    <x v="7"/>
    <n v="6450"/>
  </r>
  <r>
    <x v="3"/>
    <x v="8"/>
    <n v="6504.5"/>
  </r>
  <r>
    <x v="3"/>
    <x v="9"/>
    <n v="6429.5"/>
  </r>
  <r>
    <x v="3"/>
    <x v="10"/>
    <n v="6495.5"/>
  </r>
  <r>
    <x v="3"/>
    <x v="11"/>
    <n v="6567.5"/>
  </r>
  <r>
    <x v="3"/>
    <x v="12"/>
    <n v="6445"/>
  </r>
  <r>
    <x v="3"/>
    <x v="13"/>
    <n v="6332"/>
  </r>
  <r>
    <x v="3"/>
    <x v="14"/>
    <n v="6339.5"/>
  </r>
  <r>
    <x v="3"/>
    <x v="15"/>
    <n v="6475.5"/>
  </r>
  <r>
    <x v="3"/>
    <x v="16"/>
    <n v="6488"/>
  </r>
  <r>
    <x v="3"/>
    <x v="17"/>
    <n v="6431"/>
  </r>
  <r>
    <x v="3"/>
    <x v="18"/>
    <n v="6343.5"/>
  </r>
  <r>
    <x v="3"/>
    <x v="19"/>
    <n v="6429.5"/>
  </r>
  <r>
    <x v="3"/>
    <x v="20"/>
    <n v="6439"/>
  </r>
  <r>
    <x v="3"/>
    <x v="21"/>
    <n v="6283.5"/>
  </r>
  <r>
    <x v="3"/>
    <x v="22"/>
    <n v="6334"/>
  </r>
  <r>
    <x v="3"/>
    <x v="23"/>
    <n v="6350.5"/>
  </r>
  <r>
    <x v="3"/>
    <x v="24"/>
    <n v="6330"/>
  </r>
  <r>
    <x v="3"/>
    <x v="25"/>
    <n v="6325"/>
  </r>
  <r>
    <x v="3"/>
    <x v="26"/>
    <n v="6280"/>
  </r>
  <r>
    <x v="3"/>
    <x v="27"/>
    <n v="6341.5"/>
  </r>
  <r>
    <x v="3"/>
    <x v="28"/>
    <n v="6269.5"/>
  </r>
  <r>
    <x v="3"/>
    <x v="29"/>
    <n v="6300"/>
  </r>
  <r>
    <x v="3"/>
    <x v="30"/>
    <n v="6420.5"/>
  </r>
  <r>
    <x v="3"/>
    <x v="31"/>
    <n v="6570"/>
  </r>
  <r>
    <x v="3"/>
    <x v="32"/>
    <n v="6724.5"/>
  </r>
  <r>
    <x v="3"/>
    <x v="33"/>
    <n v="6664"/>
  </r>
  <r>
    <x v="3"/>
    <x v="34"/>
    <n v="6600.5"/>
  </r>
  <r>
    <x v="3"/>
    <x v="35"/>
    <n v="6551"/>
  </r>
  <r>
    <x v="3"/>
    <x v="36"/>
    <n v="6605"/>
  </r>
  <r>
    <x v="3"/>
    <x v="37"/>
    <n v="6702"/>
  </r>
  <r>
    <x v="3"/>
    <x v="38"/>
    <n v="6801"/>
  </r>
  <r>
    <x v="3"/>
    <x v="39"/>
    <n v="6825"/>
  </r>
  <r>
    <x v="3"/>
    <x v="40"/>
    <n v="6986"/>
  </r>
  <r>
    <x v="3"/>
    <x v="41"/>
    <n v="6968"/>
  </r>
  <r>
    <x v="3"/>
    <x v="42"/>
    <n v="6992"/>
  </r>
  <r>
    <x v="3"/>
    <x v="43"/>
    <n v="6903.5"/>
  </r>
  <r>
    <x v="3"/>
    <x v="44"/>
    <n v="6987.5"/>
  </r>
  <r>
    <x v="4"/>
    <x v="0"/>
    <n v="306.51"/>
  </r>
  <r>
    <x v="4"/>
    <x v="1"/>
    <n v="309.89"/>
  </r>
  <r>
    <x v="4"/>
    <x v="2"/>
    <n v="311.10000000000002"/>
  </r>
  <r>
    <x v="4"/>
    <x v="3"/>
    <n v="315.82"/>
  </r>
  <r>
    <x v="4"/>
    <x v="4"/>
    <n v="319.14999999999998"/>
  </r>
  <r>
    <x v="4"/>
    <x v="5"/>
    <n v="326.91000000000003"/>
  </r>
  <r>
    <x v="4"/>
    <x v="6"/>
    <n v="330.11"/>
  </r>
  <r>
    <x v="4"/>
    <x v="7"/>
    <n v="329.9"/>
  </r>
  <r>
    <x v="4"/>
    <x v="8"/>
    <n v="328.57"/>
  </r>
  <r>
    <x v="4"/>
    <x v="9"/>
    <n v="328.68"/>
  </r>
  <r>
    <x v="4"/>
    <x v="10"/>
    <n v="329.36"/>
  </r>
  <r>
    <x v="4"/>
    <x v="11"/>
    <n v="334.5"/>
  </r>
  <r>
    <x v="4"/>
    <x v="12"/>
    <n v="334.9"/>
  </r>
  <r>
    <x v="4"/>
    <x v="13"/>
    <n v="332.69"/>
  </r>
  <r>
    <x v="4"/>
    <x v="14"/>
    <n v="325.67"/>
  </r>
  <r>
    <x v="4"/>
    <x v="15"/>
    <n v="329.22"/>
  </r>
  <r>
    <x v="4"/>
    <x v="16"/>
    <n v="324.83"/>
  </r>
  <r>
    <x v="4"/>
    <x v="17"/>
    <n v="324.57"/>
  </r>
  <r>
    <x v="4"/>
    <x v="18"/>
    <n v="322.54000000000002"/>
  </r>
  <r>
    <x v="4"/>
    <x v="19"/>
    <n v="327.41000000000003"/>
  </r>
  <r>
    <x v="4"/>
    <x v="20"/>
    <n v="328.28"/>
  </r>
  <r>
    <x v="4"/>
    <x v="21"/>
    <n v="327.94"/>
  </r>
  <r>
    <x v="4"/>
    <x v="22"/>
    <n v="334.57"/>
  </r>
  <r>
    <x v="4"/>
    <x v="23"/>
    <n v="329"/>
  </r>
  <r>
    <x v="4"/>
    <x v="24"/>
    <n v="329.71"/>
  </r>
  <r>
    <x v="4"/>
    <x v="25"/>
    <n v="329.37"/>
  </r>
  <r>
    <x v="4"/>
    <x v="26"/>
    <n v="325.95999999999998"/>
  </r>
  <r>
    <x v="4"/>
    <x v="27"/>
    <n v="331.7"/>
  </r>
  <r>
    <x v="4"/>
    <x v="28"/>
    <n v="326.01"/>
  </r>
  <r>
    <x v="4"/>
    <x v="29"/>
    <n v="326.25"/>
  </r>
  <r>
    <x v="4"/>
    <x v="30"/>
    <n v="327.41000000000003"/>
  </r>
  <r>
    <x v="4"/>
    <x v="31"/>
    <n v="326.48"/>
  </r>
  <r>
    <x v="4"/>
    <x v="32"/>
    <n v="333.51"/>
  </r>
  <r>
    <x v="4"/>
    <x v="33"/>
    <n v="326.99"/>
  </r>
  <r>
    <x v="4"/>
    <x v="34"/>
    <n v="329.56"/>
  </r>
  <r>
    <x v="4"/>
    <x v="35"/>
    <n v="326.92"/>
  </r>
  <r>
    <x v="4"/>
    <x v="36"/>
    <n v="323.25"/>
  </r>
  <r>
    <x v="4"/>
    <x v="37"/>
    <n v="327.8"/>
  </r>
  <r>
    <x v="4"/>
    <x v="38"/>
    <n v="327.02"/>
  </r>
  <r>
    <x v="4"/>
    <x v="39"/>
    <n v="325.44"/>
  </r>
  <r>
    <x v="4"/>
    <x v="40"/>
    <n v="331.68"/>
  </r>
  <r>
    <x v="4"/>
    <x v="41"/>
    <n v="329.3"/>
  </r>
  <r>
    <x v="4"/>
    <x v="42"/>
    <n v="328.43"/>
  </r>
  <r>
    <x v="4"/>
    <x v="43"/>
    <n v="340.99"/>
  </r>
  <r>
    <x v="4"/>
    <x v="44"/>
    <n v="338.48"/>
  </r>
  <r>
    <x v="5"/>
    <x v="0"/>
    <n v="43.77"/>
  </r>
  <r>
    <x v="5"/>
    <x v="1"/>
    <n v="43.79"/>
  </r>
  <r>
    <x v="5"/>
    <x v="2"/>
    <n v="43.86"/>
  </r>
  <r>
    <x v="5"/>
    <x v="3"/>
    <n v="44.17"/>
  </r>
  <r>
    <x v="5"/>
    <x v="4"/>
    <n v="43.91"/>
  </r>
  <r>
    <x v="5"/>
    <x v="5"/>
    <n v="43.72"/>
  </r>
  <r>
    <x v="5"/>
    <x v="6"/>
    <n v="43.54"/>
  </r>
  <r>
    <x v="5"/>
    <x v="7"/>
    <n v="43.64"/>
  </r>
  <r>
    <x v="5"/>
    <x v="8"/>
    <n v="43.79"/>
  </r>
  <r>
    <x v="5"/>
    <x v="9"/>
    <n v="43.8"/>
  </r>
  <r>
    <x v="5"/>
    <x v="10"/>
    <n v="43.77"/>
  </r>
  <r>
    <x v="5"/>
    <x v="11"/>
    <n v="44.24"/>
  </r>
  <r>
    <x v="5"/>
    <x v="12"/>
    <n v="44.08"/>
  </r>
  <r>
    <x v="5"/>
    <x v="13"/>
    <n v="44.02"/>
  </r>
  <r>
    <x v="5"/>
    <x v="14"/>
    <n v="43.87"/>
  </r>
  <r>
    <x v="5"/>
    <x v="15"/>
    <n v="43.99"/>
  </r>
  <r>
    <x v="5"/>
    <x v="16"/>
    <n v="44.26"/>
  </r>
  <r>
    <x v="5"/>
    <x v="17"/>
    <n v="44"/>
  </r>
  <r>
    <x v="5"/>
    <x v="18"/>
    <n v="43.29"/>
  </r>
  <r>
    <x v="5"/>
    <x v="19"/>
    <n v="43.61"/>
  </r>
  <r>
    <x v="5"/>
    <x v="20"/>
    <n v="43.14"/>
  </r>
  <r>
    <x v="5"/>
    <x v="21"/>
    <n v="43.62"/>
  </r>
  <r>
    <x v="5"/>
    <x v="22"/>
    <n v="43.65"/>
  </r>
  <r>
    <x v="5"/>
    <x v="23"/>
    <n v="43.72"/>
  </r>
  <r>
    <x v="5"/>
    <x v="24"/>
    <n v="44"/>
  </r>
  <r>
    <x v="5"/>
    <x v="25"/>
    <n v="45"/>
  </r>
  <r>
    <x v="5"/>
    <x v="26"/>
    <n v="44.52"/>
  </r>
  <r>
    <x v="5"/>
    <x v="27"/>
    <n v="44.88"/>
  </r>
  <r>
    <x v="5"/>
    <x v="28"/>
    <n v="44.49"/>
  </r>
  <r>
    <x v="5"/>
    <x v="29"/>
    <n v="45.5"/>
  </r>
  <r>
    <x v="5"/>
    <x v="30"/>
    <n v="45.01"/>
  </r>
  <r>
    <x v="5"/>
    <x v="31"/>
    <n v="44.79"/>
  </r>
  <r>
    <x v="5"/>
    <x v="32"/>
    <n v="44.66"/>
  </r>
  <r>
    <x v="5"/>
    <x v="33"/>
    <n v="44.51"/>
  </r>
  <r>
    <x v="5"/>
    <x v="34"/>
    <n v="44"/>
  </r>
  <r>
    <x v="5"/>
    <x v="35"/>
    <n v="43.68"/>
  </r>
  <r>
    <x v="5"/>
    <x v="36"/>
    <n v="44"/>
  </r>
  <r>
    <x v="5"/>
    <x v="37"/>
    <n v="43.85"/>
  </r>
  <r>
    <x v="5"/>
    <x v="38"/>
    <n v="44.5"/>
  </r>
  <r>
    <x v="5"/>
    <x v="39"/>
    <n v="45.02"/>
  </r>
  <r>
    <x v="5"/>
    <x v="40"/>
    <n v="45.15"/>
  </r>
  <r>
    <x v="5"/>
    <x v="41"/>
    <n v="45.8"/>
  </r>
  <r>
    <x v="5"/>
    <x v="42"/>
    <n v="45.69"/>
  </r>
  <r>
    <x v="5"/>
    <x v="43"/>
    <n v="45.62"/>
  </r>
  <r>
    <x v="5"/>
    <x v="44"/>
    <n v="45.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7DA94-E481-469F-B8A5-7C423B462AA8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fieldListSortAscending="1">
  <location ref="A1:H48" firstHeaderRow="1" firstDataRow="2" firstDataCol="1"/>
  <pivotFields count="4">
    <pivotField axis="axisCol" showAll="0">
      <items count="7">
        <item x="2"/>
        <item x="4"/>
        <item x="5"/>
        <item x="0"/>
        <item x="1"/>
        <item x="3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6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Сумма по полю &lt;CLOSE&gt;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68CDC-D4FF-4FF5-9C94-87013E5DB949}" name="Таблица3" displayName="Таблица3" ref="M1:R46" totalsRowShown="0">
  <autoFilter ref="M1:R46" xr:uid="{43C68CDC-D4FF-4FF5-9C94-87013E5DB949}"/>
  <tableColumns count="6">
    <tableColumn id="1" xr3:uid="{E42392AE-FB63-4131-8536-068D5A4A6F61}" name="Дата">
      <calculatedColumnFormula>Data!A3</calculatedColumnFormula>
    </tableColumn>
    <tableColumn id="2" xr3:uid="{9F979D86-46CC-40FE-BFE2-59789093BF70}" name="GAZP">
      <calculatedColumnFormula>Data!B3</calculatedColumnFormula>
    </tableColumn>
    <tableColumn id="3" xr3:uid="{EC672F7E-38FF-432D-AB27-3268146A4421}" name="SBER">
      <calculatedColumnFormula>Data!C3</calculatedColumnFormula>
    </tableColumn>
    <tableColumn id="4" xr3:uid="{F3C04F3D-1F3D-4134-AE3C-DD828DDD29F6}" name="P_min" dataDxfId="2">
      <calculatedColumnFormula>$B$11*N2+$C$11*O2</calculatedColumnFormula>
    </tableColumn>
    <tableColumn id="5" xr3:uid="{0F131DF9-F7F2-4B5F-8D0B-D6D1E64666B9}" name="P_max" dataDxfId="1">
      <calculatedColumnFormula>$B$18*N2+$C$18*O2</calculatedColumnFormula>
    </tableColumn>
    <tableColumn id="6" xr3:uid="{3037F375-EAE5-496A-9698-EF08F218A30B}" name="P_Fisher" dataDxfId="0">
      <calculatedColumnFormula>$B$26*N2+$C$26*O2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E78A-A0A2-438E-A1AF-F8ADB5EB785C}">
  <dimension ref="A1:I22"/>
  <sheetViews>
    <sheetView workbookViewId="0">
      <selection activeCell="B25" sqref="B25"/>
    </sheetView>
  </sheetViews>
  <sheetFormatPr defaultRowHeight="14.4" x14ac:dyDescent="0.3"/>
  <cols>
    <col min="1" max="1" width="15.6640625" customWidth="1"/>
    <col min="2" max="2" width="16.5546875" customWidth="1"/>
    <col min="3" max="3" width="14" customWidth="1"/>
    <col min="4" max="4" width="13.44140625" customWidth="1"/>
  </cols>
  <sheetData>
    <row r="1" spans="1:9" x14ac:dyDescent="0.3">
      <c r="A1" t="s">
        <v>113</v>
      </c>
    </row>
    <row r="2" spans="1:9" ht="15" thickBot="1" x14ac:dyDescent="0.35"/>
    <row r="3" spans="1:9" x14ac:dyDescent="0.3">
      <c r="A3" s="49" t="s">
        <v>114</v>
      </c>
      <c r="B3" s="49"/>
    </row>
    <row r="4" spans="1:9" x14ac:dyDescent="0.3">
      <c r="A4" s="46" t="s">
        <v>115</v>
      </c>
      <c r="B4" s="46">
        <v>0.89545666594185436</v>
      </c>
    </row>
    <row r="5" spans="1:9" x14ac:dyDescent="0.3">
      <c r="A5" s="46" t="s">
        <v>116</v>
      </c>
      <c r="B5" s="46">
        <v>0.80184264057970178</v>
      </c>
    </row>
    <row r="6" spans="1:9" x14ac:dyDescent="0.3">
      <c r="A6" s="46" t="s">
        <v>117</v>
      </c>
      <c r="B6" s="46">
        <v>0.79240657584540186</v>
      </c>
    </row>
    <row r="7" spans="1:9" x14ac:dyDescent="0.3">
      <c r="A7" s="46" t="s">
        <v>118</v>
      </c>
      <c r="B7" s="46">
        <v>6.5288293148573899</v>
      </c>
    </row>
    <row r="8" spans="1:9" ht="15" thickBot="1" x14ac:dyDescent="0.35">
      <c r="A8" s="47" t="s">
        <v>119</v>
      </c>
      <c r="B8" s="47">
        <v>45</v>
      </c>
    </row>
    <row r="10" spans="1:9" ht="15" thickBot="1" x14ac:dyDescent="0.35">
      <c r="A10" t="s">
        <v>120</v>
      </c>
    </row>
    <row r="11" spans="1:9" x14ac:dyDescent="0.3">
      <c r="A11" s="48"/>
      <c r="B11" s="48" t="s">
        <v>125</v>
      </c>
      <c r="C11" s="48" t="s">
        <v>126</v>
      </c>
      <c r="D11" s="48" t="s">
        <v>127</v>
      </c>
      <c r="E11" s="48" t="s">
        <v>128</v>
      </c>
      <c r="F11" s="48" t="s">
        <v>129</v>
      </c>
    </row>
    <row r="12" spans="1:9" x14ac:dyDescent="0.3">
      <c r="A12" s="46" t="s">
        <v>121</v>
      </c>
      <c r="B12" s="46">
        <v>2</v>
      </c>
      <c r="C12" s="46">
        <v>7244.3406066532625</v>
      </c>
      <c r="D12" s="46">
        <v>3622.1703033266313</v>
      </c>
      <c r="E12" s="46">
        <v>84.976381908977245</v>
      </c>
      <c r="F12" s="46">
        <v>1.7266898391503373E-15</v>
      </c>
    </row>
    <row r="13" spans="1:9" x14ac:dyDescent="0.3">
      <c r="A13" s="46" t="s">
        <v>122</v>
      </c>
      <c r="B13" s="46">
        <v>42</v>
      </c>
      <c r="C13" s="46">
        <v>1790.2757133467314</v>
      </c>
      <c r="D13" s="46">
        <v>42.625612222541221</v>
      </c>
      <c r="E13" s="46"/>
      <c r="F13" s="46"/>
    </row>
    <row r="14" spans="1:9" ht="15" thickBot="1" x14ac:dyDescent="0.35">
      <c r="A14" s="47" t="s">
        <v>123</v>
      </c>
      <c r="B14" s="47">
        <v>44</v>
      </c>
      <c r="C14" s="47">
        <v>9034.6163199999937</v>
      </c>
      <c r="D14" s="47"/>
      <c r="E14" s="47"/>
      <c r="F14" s="47"/>
    </row>
    <row r="15" spans="1:9" ht="15" thickBot="1" x14ac:dyDescent="0.35"/>
    <row r="16" spans="1:9" x14ac:dyDescent="0.3">
      <c r="A16" s="48"/>
      <c r="B16" s="48" t="s">
        <v>130</v>
      </c>
      <c r="C16" s="48" t="s">
        <v>118</v>
      </c>
      <c r="D16" s="48" t="s">
        <v>131</v>
      </c>
      <c r="E16" s="48" t="s">
        <v>132</v>
      </c>
      <c r="F16" s="48" t="s">
        <v>133</v>
      </c>
      <c r="G16" s="48" t="s">
        <v>134</v>
      </c>
      <c r="H16" s="48" t="s">
        <v>135</v>
      </c>
      <c r="I16" s="48" t="s">
        <v>136</v>
      </c>
    </row>
    <row r="17" spans="1:9" x14ac:dyDescent="0.3">
      <c r="A17" s="46" t="s">
        <v>124</v>
      </c>
      <c r="B17" s="46">
        <v>412.16556827960932</v>
      </c>
      <c r="C17" s="46">
        <v>50.31371103848398</v>
      </c>
      <c r="D17" s="46">
        <v>8.1919134918184007</v>
      </c>
      <c r="E17" s="46">
        <v>3.0240141031820065E-10</v>
      </c>
      <c r="F17" s="46">
        <v>310.62838863195032</v>
      </c>
      <c r="G17" s="46">
        <v>513.70274792726832</v>
      </c>
      <c r="H17" s="46">
        <v>310.62838863195032</v>
      </c>
      <c r="I17" s="46">
        <v>513.70274792726832</v>
      </c>
    </row>
    <row r="18" spans="1:9" x14ac:dyDescent="0.3">
      <c r="A18" s="46" t="s">
        <v>138</v>
      </c>
      <c r="B18" s="46">
        <v>-0.51405314796585411</v>
      </c>
      <c r="C18" s="46">
        <v>4.4603726501576756E-2</v>
      </c>
      <c r="D18" s="46">
        <v>-11.524892386461973</v>
      </c>
      <c r="E18" s="46">
        <v>1.373982474856803E-14</v>
      </c>
      <c r="F18" s="46">
        <v>-0.60406711229620436</v>
      </c>
      <c r="G18" s="46">
        <v>-0.42403918363550386</v>
      </c>
      <c r="H18" s="46">
        <v>-0.60406711229620436</v>
      </c>
      <c r="I18" s="46">
        <v>-0.42403918363550386</v>
      </c>
    </row>
    <row r="19" spans="1:9" ht="15" thickBot="1" x14ac:dyDescent="0.35">
      <c r="A19" s="47" t="s">
        <v>139</v>
      </c>
      <c r="B19" s="47">
        <v>-3.5035556556257993E-2</v>
      </c>
      <c r="C19" s="47">
        <v>0.16837845530274592</v>
      </c>
      <c r="D19" s="47">
        <v>-0.20807624403765768</v>
      </c>
      <c r="E19" s="47">
        <v>0.83617517745958603</v>
      </c>
      <c r="F19" s="47">
        <v>-0.37483703635156312</v>
      </c>
      <c r="G19" s="47">
        <v>0.30476592323904711</v>
      </c>
      <c r="H19" s="47">
        <v>-0.37483703635156312</v>
      </c>
      <c r="I19" s="47">
        <v>0.30476592323904711</v>
      </c>
    </row>
    <row r="22" spans="1:9" ht="23.4" x14ac:dyDescent="0.45">
      <c r="B22" s="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E5C3-D6FD-45DC-8464-D03DEF5BB453}">
  <dimension ref="A1:R46"/>
  <sheetViews>
    <sheetView tabSelected="1" topLeftCell="H15" workbookViewId="0">
      <selection activeCell="F26" sqref="F26"/>
    </sheetView>
  </sheetViews>
  <sheetFormatPr defaultRowHeight="14.4" x14ac:dyDescent="0.3"/>
  <cols>
    <col min="13" max="13" width="9.88671875" bestFit="1" customWidth="1"/>
  </cols>
  <sheetData>
    <row r="1" spans="1:18" x14ac:dyDescent="0.3">
      <c r="A1" s="112" t="s">
        <v>166</v>
      </c>
      <c r="B1" s="48" t="s">
        <v>108</v>
      </c>
      <c r="C1" s="48" t="s">
        <v>109</v>
      </c>
      <c r="E1" s="112" t="s">
        <v>167</v>
      </c>
      <c r="F1" s="48" t="s">
        <v>108</v>
      </c>
      <c r="G1" s="48" t="s">
        <v>109</v>
      </c>
      <c r="I1" s="112" t="s">
        <v>168</v>
      </c>
      <c r="J1" s="48" t="s">
        <v>108</v>
      </c>
      <c r="K1" s="48" t="s">
        <v>109</v>
      </c>
      <c r="M1" t="s">
        <v>175</v>
      </c>
      <c r="N1" t="s">
        <v>108</v>
      </c>
      <c r="O1" t="s">
        <v>109</v>
      </c>
      <c r="P1" t="s">
        <v>176</v>
      </c>
      <c r="Q1" t="s">
        <v>177</v>
      </c>
      <c r="R1" t="s">
        <v>178</v>
      </c>
    </row>
    <row r="2" spans="1:18" x14ac:dyDescent="0.3">
      <c r="A2" s="46" t="s">
        <v>108</v>
      </c>
      <c r="B2" s="46">
        <v>1</v>
      </c>
      <c r="C2" s="46" cm="1">
        <f t="array" ref="C2">TRANSPOSE(B3)</f>
        <v>0.30442095915213602</v>
      </c>
      <c r="E2" s="46" t="s">
        <v>108</v>
      </c>
      <c r="F2">
        <f>B10^2</f>
        <v>7.8801251460222568E-3</v>
      </c>
      <c r="G2" cm="1">
        <f t="array" ref="G2">TRANSPOSE(F3)</f>
        <v>7.5676773659537917E-3</v>
      </c>
      <c r="I2" s="46" t="s">
        <v>108</v>
      </c>
      <c r="J2">
        <f>B2*F2</f>
        <v>7.8801251460222568E-3</v>
      </c>
      <c r="K2">
        <f>C2*G2</f>
        <v>2.3037596022975637E-3</v>
      </c>
      <c r="M2" t="str">
        <f>Data!A3</f>
        <v>02.авг</v>
      </c>
      <c r="N2">
        <f>Data!B3</f>
        <v>286.75</v>
      </c>
      <c r="O2">
        <f>Data!C3</f>
        <v>306.51</v>
      </c>
      <c r="P2">
        <f t="shared" ref="P2:P46" si="0">$B$11*N2+$C$11*O2</f>
        <v>297.20414043855953</v>
      </c>
      <c r="Q2">
        <f t="shared" ref="Q2:Q46" si="1">$B$18*N2+$C$18*O2</f>
        <v>288.36379766238394</v>
      </c>
      <c r="R2">
        <f t="shared" ref="R2:R46" si="2">$B$26*N2+$C$26*O2</f>
        <v>293.12963317577203</v>
      </c>
    </row>
    <row r="3" spans="1:18" ht="15" thickBot="1" x14ac:dyDescent="0.35">
      <c r="A3" s="47" t="s">
        <v>109</v>
      </c>
      <c r="B3" s="47">
        <v>0.30442095915213602</v>
      </c>
      <c r="C3" s="47">
        <v>1</v>
      </c>
      <c r="E3" s="47" t="s">
        <v>109</v>
      </c>
      <c r="F3" s="113">
        <f>B10*C10</f>
        <v>7.5676773659537917E-3</v>
      </c>
      <c r="G3" s="111">
        <f>C10^2</f>
        <v>7.2676181727999636E-3</v>
      </c>
      <c r="I3" s="47" t="s">
        <v>109</v>
      </c>
      <c r="J3" s="111">
        <f>B3*F3</f>
        <v>2.3037596022975637E-3</v>
      </c>
      <c r="K3" s="111">
        <f>C3*G3</f>
        <v>7.2676181727999636E-3</v>
      </c>
      <c r="M3" t="str">
        <f>Data!A4</f>
        <v>03.авг</v>
      </c>
      <c r="N3">
        <f>Data!B4</f>
        <v>287.08999999999997</v>
      </c>
      <c r="O3">
        <f>Data!C4</f>
        <v>309.89</v>
      </c>
      <c r="P3">
        <f t="shared" si="0"/>
        <v>299.15246973679939</v>
      </c>
      <c r="Q3">
        <f t="shared" si="1"/>
        <v>288.95207422582757</v>
      </c>
      <c r="R3">
        <f t="shared" si="2"/>
        <v>294.45111520281387</v>
      </c>
    </row>
    <row r="4" spans="1:18" x14ac:dyDescent="0.3">
      <c r="M4" t="str">
        <f>Data!A5</f>
        <v>04.авг</v>
      </c>
      <c r="N4">
        <f>Data!B5</f>
        <v>287.94</v>
      </c>
      <c r="O4">
        <f>Data!C5</f>
        <v>311.10000000000002</v>
      </c>
      <c r="P4">
        <f t="shared" si="0"/>
        <v>300.19292978527523</v>
      </c>
      <c r="Q4">
        <f t="shared" si="1"/>
        <v>289.83147539781436</v>
      </c>
      <c r="R4">
        <f t="shared" si="2"/>
        <v>295.41734333759518</v>
      </c>
    </row>
    <row r="5" spans="1:18" x14ac:dyDescent="0.3">
      <c r="M5" t="str">
        <f>Data!A6</f>
        <v>05.авг</v>
      </c>
      <c r="N5">
        <f>Data!B6</f>
        <v>285.95</v>
      </c>
      <c r="O5">
        <f>Data!C6</f>
        <v>315.82</v>
      </c>
      <c r="P5">
        <f t="shared" si="0"/>
        <v>301.75289346658769</v>
      </c>
      <c r="Q5">
        <f t="shared" si="1"/>
        <v>288.38948057567853</v>
      </c>
      <c r="R5">
        <f t="shared" si="2"/>
        <v>295.59370662754611</v>
      </c>
    </row>
    <row r="6" spans="1:18" x14ac:dyDescent="0.3">
      <c r="M6" t="str">
        <f>Data!A7</f>
        <v>06.авг</v>
      </c>
      <c r="N6">
        <f>Data!B7</f>
        <v>282.27</v>
      </c>
      <c r="O6">
        <f>Data!C7</f>
        <v>319.14999999999998</v>
      </c>
      <c r="P6">
        <f t="shared" si="0"/>
        <v>301.78157385496331</v>
      </c>
      <c r="Q6">
        <f t="shared" si="1"/>
        <v>285.28198673019835</v>
      </c>
      <c r="R6">
        <f t="shared" si="2"/>
        <v>294.17692669648142</v>
      </c>
    </row>
    <row r="7" spans="1:18" ht="21" x14ac:dyDescent="0.4">
      <c r="A7" s="110" t="s">
        <v>165</v>
      </c>
      <c r="M7" t="str">
        <f>Data!A8</f>
        <v>09.авг</v>
      </c>
      <c r="N7">
        <f>Data!B8</f>
        <v>286.68</v>
      </c>
      <c r="O7">
        <f>Data!C8</f>
        <v>326.91000000000003</v>
      </c>
      <c r="P7">
        <f t="shared" si="0"/>
        <v>307.96391041716845</v>
      </c>
      <c r="Q7">
        <f t="shared" si="1"/>
        <v>289.96558096951946</v>
      </c>
      <c r="R7">
        <f t="shared" si="2"/>
        <v>299.66849406180722</v>
      </c>
    </row>
    <row r="8" spans="1:18" x14ac:dyDescent="0.3">
      <c r="B8" s="43" t="s">
        <v>108</v>
      </c>
      <c r="C8" s="43" t="s">
        <v>109</v>
      </c>
      <c r="D8" s="43" t="s">
        <v>33</v>
      </c>
      <c r="M8" t="str">
        <f>Data!A9</f>
        <v>10.авг</v>
      </c>
      <c r="N8">
        <f>Data!B9</f>
        <v>288.61</v>
      </c>
      <c r="O8">
        <f>Data!C9</f>
        <v>330.11</v>
      </c>
      <c r="P8">
        <f t="shared" si="0"/>
        <v>310.5658111437358</v>
      </c>
      <c r="Q8">
        <f t="shared" si="1"/>
        <v>291.99930177069501</v>
      </c>
      <c r="R8">
        <f t="shared" si="2"/>
        <v>302.00852109284114</v>
      </c>
    </row>
    <row r="9" spans="1:18" x14ac:dyDescent="0.3">
      <c r="A9" s="43" t="s">
        <v>162</v>
      </c>
      <c r="B9" s="44">
        <f>Data!U4</f>
        <v>0.24633258859900181</v>
      </c>
      <c r="C9" s="44">
        <f>Data!V4</f>
        <v>0.10511499843391411</v>
      </c>
      <c r="D9">
        <f>SUMPRODUCT(B11:C11,B9:C9)</f>
        <v>0.17162061896434763</v>
      </c>
      <c r="M9" t="str">
        <f>Data!A10</f>
        <v>11.авг</v>
      </c>
      <c r="N9">
        <f>Data!B10</f>
        <v>290.35000000000002</v>
      </c>
      <c r="O9">
        <f>Data!C10</f>
        <v>329.9</v>
      </c>
      <c r="P9">
        <f t="shared" si="0"/>
        <v>311.27415254782534</v>
      </c>
      <c r="Q9">
        <f t="shared" si="1"/>
        <v>293.58004542243344</v>
      </c>
      <c r="R9">
        <f t="shared" si="2"/>
        <v>303.11895202944254</v>
      </c>
    </row>
    <row r="10" spans="1:18" x14ac:dyDescent="0.3">
      <c r="A10" s="43" t="s">
        <v>163</v>
      </c>
      <c r="B10" s="44">
        <f>Data!U5</f>
        <v>8.8770068976103969E-2</v>
      </c>
      <c r="C10" s="44">
        <f>Data!V5</f>
        <v>8.5250326526060669E-2</v>
      </c>
      <c r="D10" cm="1">
        <f t="array" ref="D10">SQRT(MMULT(MMULT(B11:C11,$J$2:$K$3),TRANSPOSE(B11:C11)))</f>
        <v>7.0213369271254239E-2</v>
      </c>
      <c r="M10" t="str">
        <f>Data!A11</f>
        <v>12.авг</v>
      </c>
      <c r="N10">
        <f>Data!B11</f>
        <v>293.23</v>
      </c>
      <c r="O10">
        <f>Data!C11</f>
        <v>328.57</v>
      </c>
      <c r="P10">
        <f t="shared" si="0"/>
        <v>311.92682809203916</v>
      </c>
      <c r="Q10">
        <f t="shared" si="1"/>
        <v>296.11621505003285</v>
      </c>
      <c r="R10">
        <f t="shared" si="2"/>
        <v>304.63972856436158</v>
      </c>
    </row>
    <row r="11" spans="1:18" x14ac:dyDescent="0.3">
      <c r="A11" s="43" t="s">
        <v>164</v>
      </c>
      <c r="B11">
        <v>0.47094430978949864</v>
      </c>
      <c r="C11">
        <f>1-B11</f>
        <v>0.52905569021050136</v>
      </c>
      <c r="D11">
        <f>SUM(B11:C11)</f>
        <v>1</v>
      </c>
      <c r="M11" t="str">
        <f>Data!A12</f>
        <v>13.авг</v>
      </c>
      <c r="N11">
        <f>Data!B12</f>
        <v>292.7</v>
      </c>
      <c r="O11">
        <f>Data!C12</f>
        <v>328.68</v>
      </c>
      <c r="P11">
        <f t="shared" si="0"/>
        <v>311.73542373377381</v>
      </c>
      <c r="Q11">
        <f t="shared" si="1"/>
        <v>295.63848380023148</v>
      </c>
      <c r="R11">
        <f t="shared" si="2"/>
        <v>304.3163563595283</v>
      </c>
    </row>
    <row r="12" spans="1:18" x14ac:dyDescent="0.3">
      <c r="M12" t="str">
        <f>Data!A13</f>
        <v>16.авг</v>
      </c>
      <c r="N12">
        <f>Data!B13</f>
        <v>295.10000000000002</v>
      </c>
      <c r="O12">
        <f>Data!C13</f>
        <v>329.36</v>
      </c>
      <c r="P12">
        <f t="shared" si="0"/>
        <v>313.22544794661178</v>
      </c>
      <c r="Q12">
        <f t="shared" si="1"/>
        <v>297.89801153407257</v>
      </c>
      <c r="R12">
        <f t="shared" si="2"/>
        <v>306.16104416001775</v>
      </c>
    </row>
    <row r="13" spans="1:18" x14ac:dyDescent="0.3">
      <c r="M13" t="str">
        <f>Data!A14</f>
        <v>17.авг</v>
      </c>
      <c r="N13">
        <f>Data!B14</f>
        <v>298.32</v>
      </c>
      <c r="O13">
        <f>Data!C14</f>
        <v>334.5</v>
      </c>
      <c r="P13">
        <f t="shared" si="0"/>
        <v>317.46123487181592</v>
      </c>
      <c r="Q13">
        <f t="shared" si="1"/>
        <v>301.27481778466853</v>
      </c>
      <c r="R13">
        <f t="shared" si="2"/>
        <v>310.00092754551787</v>
      </c>
    </row>
    <row r="14" spans="1:18" ht="21" x14ac:dyDescent="0.4">
      <c r="A14" s="114" t="s">
        <v>169</v>
      </c>
      <c r="M14" t="str">
        <f>Data!A15</f>
        <v>18.авг</v>
      </c>
      <c r="N14">
        <f>Data!B15</f>
        <v>295.05</v>
      </c>
      <c r="O14">
        <f>Data!C15</f>
        <v>334.9</v>
      </c>
      <c r="P14">
        <f t="shared" si="0"/>
        <v>316.13286925488848</v>
      </c>
      <c r="Q14">
        <f t="shared" si="1"/>
        <v>298.30454639908902</v>
      </c>
      <c r="R14">
        <f t="shared" si="2"/>
        <v>307.91580880842696</v>
      </c>
    </row>
    <row r="15" spans="1:18" x14ac:dyDescent="0.3">
      <c r="B15" s="43" t="s">
        <v>108</v>
      </c>
      <c r="C15" s="43" t="s">
        <v>109</v>
      </c>
      <c r="D15" s="43" t="s">
        <v>33</v>
      </c>
      <c r="M15" t="str">
        <f>Data!A16</f>
        <v>19.авг</v>
      </c>
      <c r="N15">
        <f>Data!B16</f>
        <v>293.68</v>
      </c>
      <c r="O15">
        <f>Data!C16</f>
        <v>332.69</v>
      </c>
      <c r="P15">
        <f t="shared" si="0"/>
        <v>314.31846247511169</v>
      </c>
      <c r="Q15">
        <f t="shared" si="1"/>
        <v>296.86594366445331</v>
      </c>
      <c r="R15">
        <f t="shared" si="2"/>
        <v>306.27460982727064</v>
      </c>
    </row>
    <row r="16" spans="1:18" x14ac:dyDescent="0.3">
      <c r="A16" s="43" t="s">
        <v>162</v>
      </c>
      <c r="B16" s="44">
        <f>Data!U4</f>
        <v>0.24633258859900181</v>
      </c>
      <c r="C16" s="44">
        <f>Data!V4</f>
        <v>0.10511499843391411</v>
      </c>
      <c r="D16">
        <f>SUMPRODUCT(B16:C16,B18:C18)</f>
        <v>0.23479935899900639</v>
      </c>
      <c r="M16" t="str">
        <f>Data!A17</f>
        <v>20.авг</v>
      </c>
      <c r="N16">
        <f>Data!B17</f>
        <v>292.57</v>
      </c>
      <c r="O16">
        <f>Data!C17</f>
        <v>325.67</v>
      </c>
      <c r="P16">
        <f t="shared" si="0"/>
        <v>310.0817433459676</v>
      </c>
      <c r="Q16">
        <f t="shared" si="1"/>
        <v>295.27327442433744</v>
      </c>
      <c r="R16">
        <f t="shared" si="2"/>
        <v>303.25653128127811</v>
      </c>
    </row>
    <row r="17" spans="1:18" x14ac:dyDescent="0.3">
      <c r="A17" s="43" t="s">
        <v>163</v>
      </c>
      <c r="B17" s="44">
        <f>Data!U5</f>
        <v>8.8770068976103969E-2</v>
      </c>
      <c r="C17" s="44">
        <f>Data!V5</f>
        <v>8.5250326526060669E-2</v>
      </c>
      <c r="D17" cm="1">
        <f t="array" ref="D17">SQRT(MMULT(MMULT(B18:C18,$J$2:$K$3),TRANSPOSE(B18:C18)))</f>
        <v>8.3902237811825375E-2</v>
      </c>
      <c r="M17" t="str">
        <f>Data!A18</f>
        <v>23.авг</v>
      </c>
      <c r="N17">
        <f>Data!B18</f>
        <v>297.69</v>
      </c>
      <c r="O17">
        <f>Data!C18</f>
        <v>329.22</v>
      </c>
      <c r="P17">
        <f t="shared" si="0"/>
        <v>314.37112591233711</v>
      </c>
      <c r="Q17">
        <f t="shared" si="1"/>
        <v>300.26505264650632</v>
      </c>
      <c r="R17">
        <f t="shared" si="2"/>
        <v>307.86964747125978</v>
      </c>
    </row>
    <row r="18" spans="1:18" x14ac:dyDescent="0.3">
      <c r="A18" s="43" t="s">
        <v>164</v>
      </c>
      <c r="B18">
        <v>0.91833007781457876</v>
      </c>
      <c r="C18">
        <f>1-B18</f>
        <v>8.166992218542124E-2</v>
      </c>
      <c r="D18">
        <f>SUM(B18:C18)</f>
        <v>1</v>
      </c>
      <c r="M18" t="str">
        <f>Data!A19</f>
        <v>24.авг</v>
      </c>
      <c r="N18">
        <f>Data!B19</f>
        <v>298.7</v>
      </c>
      <c r="O18">
        <f>Data!C19</f>
        <v>324.83</v>
      </c>
      <c r="P18">
        <f t="shared" si="0"/>
        <v>312.52422518520041</v>
      </c>
      <c r="Q18">
        <f t="shared" si="1"/>
        <v>300.83403506670504</v>
      </c>
      <c r="R18">
        <f t="shared" si="2"/>
        <v>307.13622544954069</v>
      </c>
    </row>
    <row r="19" spans="1:18" x14ac:dyDescent="0.3">
      <c r="A19" s="43" t="s">
        <v>170</v>
      </c>
      <c r="B19">
        <f>(10000-(B18*100)^2-(C18*100)^2)/10000</f>
        <v>0.14999989199129687</v>
      </c>
      <c r="M19" t="str">
        <f>Data!A20</f>
        <v>25.авг</v>
      </c>
      <c r="N19">
        <f>Data!B20</f>
        <v>296.7</v>
      </c>
      <c r="O19">
        <f>Data!C20</f>
        <v>324.57</v>
      </c>
      <c r="P19">
        <f t="shared" si="0"/>
        <v>311.4447820861667</v>
      </c>
      <c r="Q19">
        <f t="shared" si="1"/>
        <v>298.97614073130768</v>
      </c>
      <c r="R19">
        <f t="shared" si="2"/>
        <v>305.69799476765013</v>
      </c>
    </row>
    <row r="20" spans="1:18" x14ac:dyDescent="0.3">
      <c r="M20" t="str">
        <f>Data!A21</f>
        <v>26.авг</v>
      </c>
      <c r="N20">
        <f>Data!B21</f>
        <v>294.33999999999997</v>
      </c>
      <c r="O20">
        <f>Data!C21</f>
        <v>322.54000000000002</v>
      </c>
      <c r="P20">
        <f t="shared" si="0"/>
        <v>309.25937046393614</v>
      </c>
      <c r="Q20">
        <f t="shared" si="1"/>
        <v>296.6430918056289</v>
      </c>
      <c r="R20">
        <f t="shared" si="2"/>
        <v>303.44453722453295</v>
      </c>
    </row>
    <row r="21" spans="1:18" x14ac:dyDescent="0.3">
      <c r="M21" t="str">
        <f>Data!A22</f>
        <v>27.авг</v>
      </c>
      <c r="N21">
        <f>Data!B22</f>
        <v>299.66000000000003</v>
      </c>
      <c r="O21">
        <f>Data!C22</f>
        <v>327.41000000000003</v>
      </c>
      <c r="P21">
        <f t="shared" si="0"/>
        <v>314.34129540334141</v>
      </c>
      <c r="Q21">
        <f t="shared" si="1"/>
        <v>301.92634034064548</v>
      </c>
      <c r="R21">
        <f t="shared" si="2"/>
        <v>308.61925205605644</v>
      </c>
    </row>
    <row r="22" spans="1:18" ht="21" x14ac:dyDescent="0.4">
      <c r="A22" s="115" t="s">
        <v>171</v>
      </c>
      <c r="M22" t="str">
        <f>Data!A23</f>
        <v>30.авг</v>
      </c>
      <c r="N22">
        <f>Data!B23</f>
        <v>305.17</v>
      </c>
      <c r="O22">
        <f>Data!C23</f>
        <v>328.28</v>
      </c>
      <c r="P22">
        <f t="shared" si="0"/>
        <v>317.39647700076466</v>
      </c>
      <c r="Q22">
        <f t="shared" si="1"/>
        <v>307.0573919017051</v>
      </c>
      <c r="R22">
        <f t="shared" si="2"/>
        <v>312.63120054109777</v>
      </c>
    </row>
    <row r="23" spans="1:18" x14ac:dyDescent="0.3">
      <c r="B23" s="43" t="s">
        <v>108</v>
      </c>
      <c r="C23" s="43" t="s">
        <v>109</v>
      </c>
      <c r="D23" s="43" t="s">
        <v>172</v>
      </c>
      <c r="E23" s="43" t="s">
        <v>173</v>
      </c>
      <c r="F23" s="43" t="s">
        <v>174</v>
      </c>
      <c r="M23" t="str">
        <f>Data!A24</f>
        <v>31.авг</v>
      </c>
      <c r="N23">
        <f>Data!B24</f>
        <v>305.64999999999998</v>
      </c>
      <c r="O23">
        <f>Data!C24</f>
        <v>327.94</v>
      </c>
      <c r="P23">
        <f t="shared" si="0"/>
        <v>317.44265133479206</v>
      </c>
      <c r="Q23">
        <f t="shared" si="1"/>
        <v>307.47042256551305</v>
      </c>
      <c r="R23">
        <f t="shared" si="2"/>
        <v>312.84645867854044</v>
      </c>
    </row>
    <row r="24" spans="1:18" x14ac:dyDescent="0.3">
      <c r="A24" s="43" t="s">
        <v>162</v>
      </c>
      <c r="B24" s="44">
        <f>Data!U4</f>
        <v>0.24633258859900181</v>
      </c>
      <c r="C24" s="44">
        <f>Data!V4</f>
        <v>0.10511499843391411</v>
      </c>
      <c r="D24">
        <f>GEOMEAN(D9,D16)</f>
        <v>0.20073966056522449</v>
      </c>
      <c r="E24">
        <f>SUMPRODUCT(B26:C26,B24:C24)</f>
        <v>0.2007396522012399</v>
      </c>
      <c r="F24">
        <f>ABS(D24-E24)</f>
        <v>8.3639845882554908E-9</v>
      </c>
      <c r="M24" t="str">
        <f>Data!A25</f>
        <v>01.сен</v>
      </c>
      <c r="N24">
        <f>Data!B25</f>
        <v>312.89</v>
      </c>
      <c r="O24">
        <f>Data!C25</f>
        <v>334.57</v>
      </c>
      <c r="P24">
        <f t="shared" si="0"/>
        <v>324.35992736376363</v>
      </c>
      <c r="Q24">
        <f t="shared" si="1"/>
        <v>314.66060391297992</v>
      </c>
      <c r="R24">
        <f t="shared" si="2"/>
        <v>319.88951656127216</v>
      </c>
    </row>
    <row r="25" spans="1:18" x14ac:dyDescent="0.3">
      <c r="A25" s="43" t="s">
        <v>163</v>
      </c>
      <c r="B25" s="44">
        <f>Data!U5</f>
        <v>8.8770068976103969E-2</v>
      </c>
      <c r="C25" s="44">
        <f>Data!V5</f>
        <v>8.5250326526060669E-2</v>
      </c>
      <c r="D25">
        <f>GEOMEAN(D10,D17)</f>
        <v>7.675323319682556E-2</v>
      </c>
      <c r="E25" cm="1">
        <f t="array" ref="E25">SQRT(MMULT(MMULT(B26:C26,$J$2:$K$3),TRANSPOSE(B26:C26)))</f>
        <v>7.3335326200412387E-2</v>
      </c>
      <c r="F25">
        <f>ABS(D25-E25)</f>
        <v>3.4179069964131725E-3</v>
      </c>
      <c r="M25" t="str">
        <f>Data!A26</f>
        <v>02.сен</v>
      </c>
      <c r="N25">
        <f>Data!B26</f>
        <v>312.3</v>
      </c>
      <c r="O25">
        <f>Data!C26</f>
        <v>329</v>
      </c>
      <c r="P25">
        <f t="shared" si="0"/>
        <v>321.13523002651539</v>
      </c>
      <c r="Q25">
        <f t="shared" si="1"/>
        <v>313.66388770049656</v>
      </c>
      <c r="R25">
        <f t="shared" si="2"/>
        <v>317.69169403013126</v>
      </c>
    </row>
    <row r="26" spans="1:18" x14ac:dyDescent="0.3">
      <c r="A26" t="s">
        <v>164</v>
      </c>
      <c r="B26">
        <v>0.67714407005202126</v>
      </c>
      <c r="C26">
        <f>1-B26</f>
        <v>0.32285592994797874</v>
      </c>
      <c r="D26">
        <f>SUM(B26:C26)</f>
        <v>1</v>
      </c>
      <c r="F26">
        <f>SUM(F24:F25)</f>
        <v>3.4179153603977608E-3</v>
      </c>
      <c r="M26" t="str">
        <f>Data!A27</f>
        <v>03.сен</v>
      </c>
      <c r="N26">
        <f>Data!B27</f>
        <v>317.94</v>
      </c>
      <c r="O26">
        <f>Data!C27</f>
        <v>329.71</v>
      </c>
      <c r="P26">
        <f t="shared" si="0"/>
        <v>324.16698547377757</v>
      </c>
      <c r="Q26">
        <f t="shared" si="1"/>
        <v>318.90125498412237</v>
      </c>
      <c r="R26">
        <f t="shared" si="2"/>
        <v>321.7400142954877</v>
      </c>
    </row>
    <row r="27" spans="1:18" x14ac:dyDescent="0.3">
      <c r="M27" t="str">
        <f>Data!A28</f>
        <v>06.сен</v>
      </c>
      <c r="N27">
        <f>Data!B28</f>
        <v>328.93</v>
      </c>
      <c r="O27">
        <f>Data!C28</f>
        <v>329.37</v>
      </c>
      <c r="P27">
        <f t="shared" si="0"/>
        <v>329.16278450369259</v>
      </c>
      <c r="Q27">
        <f t="shared" si="1"/>
        <v>328.96593476576163</v>
      </c>
      <c r="R27">
        <f t="shared" si="2"/>
        <v>329.07205660917714</v>
      </c>
    </row>
    <row r="28" spans="1:18" x14ac:dyDescent="0.3">
      <c r="M28" t="str">
        <f>Data!A29</f>
        <v>07.сен</v>
      </c>
      <c r="N28">
        <f>Data!B29</f>
        <v>327.73</v>
      </c>
      <c r="O28">
        <f>Data!C29</f>
        <v>325.95999999999998</v>
      </c>
      <c r="P28">
        <f t="shared" si="0"/>
        <v>326.79357142832737</v>
      </c>
      <c r="Q28">
        <f t="shared" si="1"/>
        <v>327.58544423773179</v>
      </c>
      <c r="R28">
        <f t="shared" si="2"/>
        <v>327.15854500399212</v>
      </c>
    </row>
    <row r="29" spans="1:18" x14ac:dyDescent="0.3">
      <c r="M29" t="str">
        <f>Data!A30</f>
        <v>08.сен</v>
      </c>
      <c r="N29">
        <f>Data!B30</f>
        <v>327.60000000000002</v>
      </c>
      <c r="O29">
        <f>Data!C30</f>
        <v>331.7</v>
      </c>
      <c r="P29">
        <f t="shared" si="0"/>
        <v>329.76912832986307</v>
      </c>
      <c r="Q29">
        <f t="shared" si="1"/>
        <v>327.93484668096028</v>
      </c>
      <c r="R29">
        <f t="shared" si="2"/>
        <v>328.92370931278674</v>
      </c>
    </row>
    <row r="30" spans="1:18" x14ac:dyDescent="0.3">
      <c r="M30" t="str">
        <f>Data!A31</f>
        <v>09.сен</v>
      </c>
      <c r="N30">
        <f>Data!B31</f>
        <v>324.57</v>
      </c>
      <c r="O30">
        <f>Data!C31</f>
        <v>326.01</v>
      </c>
      <c r="P30">
        <f t="shared" si="0"/>
        <v>325.33184019390313</v>
      </c>
      <c r="Q30">
        <f t="shared" si="1"/>
        <v>324.68760468794699</v>
      </c>
      <c r="R30">
        <f t="shared" si="2"/>
        <v>325.03491253912512</v>
      </c>
    </row>
    <row r="31" spans="1:18" x14ac:dyDescent="0.3">
      <c r="M31" t="str">
        <f>Data!A32</f>
        <v>10.сен</v>
      </c>
      <c r="N31">
        <f>Data!B32</f>
        <v>326.43</v>
      </c>
      <c r="O31">
        <f>Data!C32</f>
        <v>326.25</v>
      </c>
      <c r="P31">
        <f t="shared" si="0"/>
        <v>326.33476997576213</v>
      </c>
      <c r="Q31">
        <f t="shared" si="1"/>
        <v>326.41529941400665</v>
      </c>
      <c r="R31">
        <f t="shared" si="2"/>
        <v>326.37188593260936</v>
      </c>
    </row>
    <row r="32" spans="1:18" x14ac:dyDescent="0.3">
      <c r="M32" t="str">
        <f>Data!A33</f>
        <v>13.сен</v>
      </c>
      <c r="N32">
        <f>Data!B33</f>
        <v>332.75</v>
      </c>
      <c r="O32">
        <f>Data!C33</f>
        <v>327.41000000000003</v>
      </c>
      <c r="P32">
        <f t="shared" si="0"/>
        <v>329.92484261427592</v>
      </c>
      <c r="Q32">
        <f t="shared" si="1"/>
        <v>332.31388261552985</v>
      </c>
      <c r="R32">
        <f t="shared" si="2"/>
        <v>331.02594933407784</v>
      </c>
    </row>
    <row r="33" spans="13:18" x14ac:dyDescent="0.3">
      <c r="M33" t="str">
        <f>Data!A34</f>
        <v>14.сен</v>
      </c>
      <c r="N33">
        <f>Data!B34</f>
        <v>338.98</v>
      </c>
      <c r="O33">
        <f>Data!C34</f>
        <v>326.48</v>
      </c>
      <c r="P33">
        <f t="shared" si="0"/>
        <v>332.36680387236879</v>
      </c>
      <c r="Q33">
        <f t="shared" si="1"/>
        <v>337.95912597268222</v>
      </c>
      <c r="R33">
        <f t="shared" si="2"/>
        <v>334.9443008756503</v>
      </c>
    </row>
    <row r="34" spans="13:18" x14ac:dyDescent="0.3">
      <c r="M34" t="str">
        <f>Data!A35</f>
        <v>15.сен</v>
      </c>
      <c r="N34">
        <f>Data!B35</f>
        <v>343.34</v>
      </c>
      <c r="O34">
        <f>Data!C35</f>
        <v>333.51</v>
      </c>
      <c r="P34">
        <f t="shared" si="0"/>
        <v>338.13938256523073</v>
      </c>
      <c r="Q34">
        <f t="shared" si="1"/>
        <v>342.53718466491728</v>
      </c>
      <c r="R34">
        <f t="shared" si="2"/>
        <v>340.16632620861134</v>
      </c>
    </row>
    <row r="35" spans="13:18" x14ac:dyDescent="0.3">
      <c r="M35" t="str">
        <f>Data!A36</f>
        <v>16.сен</v>
      </c>
      <c r="N35">
        <f>Data!B36</f>
        <v>338.5</v>
      </c>
      <c r="O35">
        <f>Data!C36</f>
        <v>326.99</v>
      </c>
      <c r="P35">
        <f t="shared" si="0"/>
        <v>332.41056900567713</v>
      </c>
      <c r="Q35">
        <f t="shared" si="1"/>
        <v>337.55997919564584</v>
      </c>
      <c r="R35">
        <f t="shared" si="2"/>
        <v>334.78392824629879</v>
      </c>
    </row>
    <row r="36" spans="13:18" x14ac:dyDescent="0.3">
      <c r="M36" t="str">
        <f>Data!A37</f>
        <v>17.сен</v>
      </c>
      <c r="N36">
        <f>Data!B37</f>
        <v>334.5</v>
      </c>
      <c r="O36">
        <f>Data!C37</f>
        <v>329.56</v>
      </c>
      <c r="P36">
        <f t="shared" si="0"/>
        <v>331.88646489036012</v>
      </c>
      <c r="Q36">
        <f t="shared" si="1"/>
        <v>334.09655058440399</v>
      </c>
      <c r="R36">
        <f t="shared" si="2"/>
        <v>332.90509170605696</v>
      </c>
    </row>
    <row r="37" spans="13:18" x14ac:dyDescent="0.3">
      <c r="M37" t="str">
        <f>Data!A38</f>
        <v>20.сен</v>
      </c>
      <c r="N37">
        <f>Data!B38</f>
        <v>325.7</v>
      </c>
      <c r="O37">
        <f>Data!C38</f>
        <v>326.92</v>
      </c>
      <c r="P37">
        <f t="shared" si="0"/>
        <v>326.34544794205681</v>
      </c>
      <c r="Q37">
        <f t="shared" si="1"/>
        <v>325.7996373050662</v>
      </c>
      <c r="R37">
        <f t="shared" si="2"/>
        <v>326.09388423453652</v>
      </c>
    </row>
    <row r="38" spans="13:18" x14ac:dyDescent="0.3">
      <c r="M38" t="str">
        <f>Data!A39</f>
        <v>21.сен</v>
      </c>
      <c r="N38">
        <f>Data!B39</f>
        <v>335.3</v>
      </c>
      <c r="O38">
        <f>Data!C39</f>
        <v>323.25</v>
      </c>
      <c r="P38">
        <f t="shared" si="0"/>
        <v>328.92487893296345</v>
      </c>
      <c r="Q38">
        <f t="shared" si="1"/>
        <v>334.31587743766568</v>
      </c>
      <c r="R38">
        <f t="shared" si="2"/>
        <v>331.40958604412685</v>
      </c>
    </row>
    <row r="39" spans="13:18" x14ac:dyDescent="0.3">
      <c r="M39" t="str">
        <f>Data!A40</f>
        <v>22.сен</v>
      </c>
      <c r="N39">
        <f>Data!B40</f>
        <v>340.59</v>
      </c>
      <c r="O39">
        <f>Data!C40</f>
        <v>327.8</v>
      </c>
      <c r="P39">
        <f t="shared" si="0"/>
        <v>333.82337772220768</v>
      </c>
      <c r="Q39">
        <f t="shared" si="1"/>
        <v>339.54544169524843</v>
      </c>
      <c r="R39">
        <f t="shared" si="2"/>
        <v>336.46067265596531</v>
      </c>
    </row>
    <row r="40" spans="13:18" x14ac:dyDescent="0.3">
      <c r="M40" t="str">
        <f>Data!A41</f>
        <v>23.сен</v>
      </c>
      <c r="N40">
        <f>Data!B41</f>
        <v>343.47</v>
      </c>
      <c r="O40">
        <f>Data!C41</f>
        <v>327.02</v>
      </c>
      <c r="P40">
        <f t="shared" si="0"/>
        <v>334.76703389603722</v>
      </c>
      <c r="Q40">
        <f t="shared" si="1"/>
        <v>342.12652978004985</v>
      </c>
      <c r="R40">
        <f t="shared" si="2"/>
        <v>338.15901995235572</v>
      </c>
    </row>
    <row r="41" spans="13:18" x14ac:dyDescent="0.3">
      <c r="M41" t="str">
        <f>Data!A42</f>
        <v>24.сен</v>
      </c>
      <c r="N41">
        <f>Data!B42</f>
        <v>344.29</v>
      </c>
      <c r="O41">
        <f>Data!C42</f>
        <v>325.44</v>
      </c>
      <c r="P41">
        <f t="shared" si="0"/>
        <v>334.31730023953207</v>
      </c>
      <c r="Q41">
        <f t="shared" si="1"/>
        <v>342.75052196680485</v>
      </c>
      <c r="R41">
        <f t="shared" si="2"/>
        <v>338.2041657204806</v>
      </c>
    </row>
    <row r="42" spans="13:18" x14ac:dyDescent="0.3">
      <c r="M42" t="str">
        <f>Data!A43</f>
        <v>27.сен</v>
      </c>
      <c r="N42">
        <f>Data!B43</f>
        <v>355.19</v>
      </c>
      <c r="O42">
        <f>Data!C43</f>
        <v>331.68</v>
      </c>
      <c r="P42">
        <f t="shared" si="0"/>
        <v>342.75190072315115</v>
      </c>
      <c r="Q42">
        <f t="shared" si="1"/>
        <v>353.26994012942077</v>
      </c>
      <c r="R42">
        <f t="shared" si="2"/>
        <v>347.599657086923</v>
      </c>
    </row>
    <row r="43" spans="13:18" x14ac:dyDescent="0.3">
      <c r="M43" t="str">
        <f>Data!A44</f>
        <v>28.сен</v>
      </c>
      <c r="N43">
        <f>Data!B44</f>
        <v>354.07</v>
      </c>
      <c r="O43">
        <f>Data!C44</f>
        <v>329.3</v>
      </c>
      <c r="P43">
        <f t="shared" si="0"/>
        <v>340.96529055348589</v>
      </c>
      <c r="Q43">
        <f t="shared" si="1"/>
        <v>352.04703602746713</v>
      </c>
      <c r="R43">
        <f t="shared" si="2"/>
        <v>346.07285861518858</v>
      </c>
    </row>
    <row r="44" spans="13:18" x14ac:dyDescent="0.3">
      <c r="M44" t="str">
        <f>Data!A45</f>
        <v>29.сен</v>
      </c>
      <c r="N44">
        <f>Data!B45</f>
        <v>360.88</v>
      </c>
      <c r="O44">
        <f>Data!C45</f>
        <v>328.43</v>
      </c>
      <c r="P44">
        <f t="shared" si="0"/>
        <v>343.71214285266922</v>
      </c>
      <c r="Q44">
        <f t="shared" si="1"/>
        <v>358.22981102508305</v>
      </c>
      <c r="R44">
        <f t="shared" si="2"/>
        <v>350.40332507318806</v>
      </c>
    </row>
    <row r="45" spans="13:18" x14ac:dyDescent="0.3">
      <c r="M45" t="str">
        <f>Data!A46</f>
        <v>30.сен</v>
      </c>
      <c r="N45">
        <f>Data!B46</f>
        <v>360.8</v>
      </c>
      <c r="O45">
        <f>Data!C46</f>
        <v>340.99</v>
      </c>
      <c r="P45">
        <f t="shared" si="0"/>
        <v>350.31940677693001</v>
      </c>
      <c r="Q45">
        <f t="shared" si="1"/>
        <v>359.18211884150685</v>
      </c>
      <c r="R45">
        <f t="shared" si="2"/>
        <v>354.40422402773055</v>
      </c>
    </row>
    <row r="46" spans="13:18" x14ac:dyDescent="0.3">
      <c r="M46" t="str">
        <f>Data!A47</f>
        <v>01.окт</v>
      </c>
      <c r="N46">
        <f>Data!B47</f>
        <v>363.25</v>
      </c>
      <c r="O46">
        <f>Data!C47</f>
        <v>338.48</v>
      </c>
      <c r="P46">
        <f t="shared" si="0"/>
        <v>350.14529055348589</v>
      </c>
      <c r="Q46">
        <f t="shared" si="1"/>
        <v>361.22703602746714</v>
      </c>
      <c r="R46">
        <f t="shared" si="2"/>
        <v>355.25285861518859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BE90-10ED-4DF1-89C8-8AD0147DB6BE}">
  <dimension ref="A1:AC48"/>
  <sheetViews>
    <sheetView topLeftCell="A31" workbookViewId="0">
      <selection activeCell="U7" sqref="U7"/>
    </sheetView>
  </sheetViews>
  <sheetFormatPr defaultRowHeight="14.4" x14ac:dyDescent="0.3"/>
  <cols>
    <col min="1" max="1" width="15.88671875" customWidth="1"/>
    <col min="2" max="2" width="11.44140625" customWidth="1"/>
    <col min="3" max="3" width="9" bestFit="1" customWidth="1"/>
    <col min="4" max="4" width="8" bestFit="1" customWidth="1"/>
    <col min="5" max="7" width="7" bestFit="1" customWidth="1"/>
    <col min="8" max="8" width="11.88671875" customWidth="1"/>
    <col min="9" max="9" width="9.44140625" customWidth="1"/>
    <col min="10" max="10" width="11.88671875" customWidth="1"/>
    <col min="11" max="11" width="12.44140625" customWidth="1"/>
    <col min="12" max="12" width="10.5546875" customWidth="1"/>
    <col min="20" max="20" width="10.88671875" customWidth="1"/>
    <col min="21" max="21" width="9.88671875" customWidth="1"/>
    <col min="22" max="22" width="9.6640625" customWidth="1"/>
  </cols>
  <sheetData>
    <row r="1" spans="1:29" x14ac:dyDescent="0.3">
      <c r="A1" s="39" t="s">
        <v>110</v>
      </c>
      <c r="B1" s="39" t="s">
        <v>107</v>
      </c>
    </row>
    <row r="2" spans="1:29" x14ac:dyDescent="0.3">
      <c r="A2" s="39" t="s">
        <v>60</v>
      </c>
      <c r="B2" t="s">
        <v>108</v>
      </c>
      <c r="C2" t="s">
        <v>109</v>
      </c>
      <c r="D2" t="s">
        <v>140</v>
      </c>
      <c r="E2" t="s">
        <v>149</v>
      </c>
      <c r="F2" t="s">
        <v>150</v>
      </c>
      <c r="G2" t="s">
        <v>151</v>
      </c>
      <c r="H2" t="s">
        <v>61</v>
      </c>
    </row>
    <row r="3" spans="1:29" x14ac:dyDescent="0.3">
      <c r="A3" s="40" t="s">
        <v>62</v>
      </c>
      <c r="B3" s="41">
        <v>286.75</v>
      </c>
      <c r="C3" s="41">
        <v>306.51</v>
      </c>
      <c r="D3" s="41">
        <v>43.77</v>
      </c>
      <c r="E3" s="41">
        <v>6052</v>
      </c>
      <c r="F3" s="41">
        <v>1400</v>
      </c>
      <c r="G3" s="41">
        <v>6308</v>
      </c>
      <c r="H3" s="41">
        <v>14397.029999999999</v>
      </c>
      <c r="I3" s="41"/>
      <c r="J3" s="41"/>
      <c r="K3" s="43" t="str">
        <f>B2</f>
        <v>GAZP</v>
      </c>
      <c r="L3" s="43" t="str">
        <f>C2</f>
        <v>SBER</v>
      </c>
      <c r="M3" s="43" t="str">
        <f>D2</f>
        <v>SELG</v>
      </c>
      <c r="N3" s="43" t="s">
        <v>148</v>
      </c>
      <c r="O3" s="43" t="str">
        <f>E2</f>
        <v>AKRN</v>
      </c>
      <c r="P3" s="43" t="str">
        <f t="shared" ref="P3:Q3" si="0">F2</f>
        <v>BANE</v>
      </c>
      <c r="Q3" s="43" t="str">
        <f t="shared" si="0"/>
        <v>LKOH</v>
      </c>
      <c r="U3" s="43" t="str">
        <f>K3</f>
        <v>GAZP</v>
      </c>
      <c r="V3" s="43" t="str">
        <f>L3</f>
        <v>SBER</v>
      </c>
      <c r="W3" s="43" t="str">
        <f>M3</f>
        <v>SELG</v>
      </c>
      <c r="X3" s="43" t="s">
        <v>150</v>
      </c>
    </row>
    <row r="4" spans="1:29" x14ac:dyDescent="0.3">
      <c r="A4" s="40" t="s">
        <v>63</v>
      </c>
      <c r="B4" s="41">
        <v>287.08999999999997</v>
      </c>
      <c r="C4" s="41">
        <v>309.89</v>
      </c>
      <c r="D4" s="41">
        <v>43.79</v>
      </c>
      <c r="E4" s="41">
        <v>6008</v>
      </c>
      <c r="F4" s="41">
        <v>1387</v>
      </c>
      <c r="G4" s="41">
        <v>6297</v>
      </c>
      <c r="H4" s="41">
        <v>14332.77</v>
      </c>
      <c r="I4" s="41"/>
      <c r="J4" s="41"/>
      <c r="K4" s="42">
        <f>(B4-B3)/B3</f>
        <v>1.1857018308630339E-3</v>
      </c>
      <c r="L4" s="45">
        <f>(C4-C3)/C3</f>
        <v>1.1027372679521046E-2</v>
      </c>
      <c r="M4" s="45">
        <f>(D4-D3)/D3</f>
        <v>4.5693397304080464E-4</v>
      </c>
      <c r="N4" s="45">
        <f>$U$11*K4+$V$11*L4+$W$11*M4</f>
        <v>3.2599392028422811E-3</v>
      </c>
      <c r="O4" s="45">
        <f>(E4-E3)/E3</f>
        <v>-7.2703238598810314E-3</v>
      </c>
      <c r="P4" s="45">
        <f t="shared" ref="P4:Q4" si="1">(F4-F3)/F3</f>
        <v>-9.285714285714286E-3</v>
      </c>
      <c r="Q4" s="45">
        <f t="shared" si="1"/>
        <v>-1.7438173747622067E-3</v>
      </c>
      <c r="S4" s="43" t="s">
        <v>111</v>
      </c>
      <c r="U4" s="44">
        <f>AVERAGE(K4:K47)*COUNT(B3:B47)</f>
        <v>0.24633258859900181</v>
      </c>
      <c r="V4" s="44">
        <f>AVERAGE(L4:L47)*COUNT(C3:C47)</f>
        <v>0.10511499843391411</v>
      </c>
      <c r="W4" s="44">
        <f>AVERAGE(M4:M47)*COUNT(D3:D47)</f>
        <v>3.4793809146010414E-2</v>
      </c>
      <c r="X4">
        <f>AVERAGE(P4:P47)*COUNT(F3:F48)</f>
        <v>5.6291326624957311E-2</v>
      </c>
      <c r="Z4" s="43" t="s">
        <v>148</v>
      </c>
      <c r="AA4" s="43" t="s">
        <v>150</v>
      </c>
      <c r="AB4" s="43" t="s">
        <v>160</v>
      </c>
      <c r="AC4" s="43" t="s">
        <v>161</v>
      </c>
    </row>
    <row r="5" spans="1:29" x14ac:dyDescent="0.3">
      <c r="A5" s="40" t="s">
        <v>64</v>
      </c>
      <c r="B5" s="41">
        <v>287.94</v>
      </c>
      <c r="C5" s="41">
        <v>311.10000000000002</v>
      </c>
      <c r="D5" s="41">
        <v>43.86</v>
      </c>
      <c r="E5" s="41">
        <v>5946</v>
      </c>
      <c r="F5" s="41">
        <v>1395.5</v>
      </c>
      <c r="G5" s="41">
        <v>6235</v>
      </c>
      <c r="H5" s="41">
        <v>14219.4</v>
      </c>
      <c r="I5" s="41"/>
      <c r="J5" s="41"/>
      <c r="K5" s="42">
        <f t="shared" ref="K5:K47" si="2">(B5-B4)/B4</f>
        <v>2.9607440175555499E-3</v>
      </c>
      <c r="L5" s="45">
        <f t="shared" ref="L5:L47" si="3">(C5-C4)/C4</f>
        <v>3.9046113136920729E-3</v>
      </c>
      <c r="M5" s="45">
        <f t="shared" ref="M5:M47" si="4">(D5-D4)/D4</f>
        <v>1.5985384791048249E-3</v>
      </c>
      <c r="N5" s="45">
        <f t="shared" ref="N5:N47" si="5">$U$11*K5+$V$11*L5+$W$11*M5</f>
        <v>2.7139373137557341E-3</v>
      </c>
      <c r="O5" s="45">
        <f t="shared" ref="O5:O47" si="6">(E5-E4)/E4</f>
        <v>-1.0319573901464714E-2</v>
      </c>
      <c r="P5" s="45">
        <f t="shared" ref="P5:P47" si="7">(F5-F4)/F4</f>
        <v>6.1283345349675555E-3</v>
      </c>
      <c r="Q5" s="45">
        <f t="shared" ref="Q5:Q47" si="8">(G5-G4)/G4</f>
        <v>-9.8459583928855003E-3</v>
      </c>
      <c r="S5" s="43" t="s">
        <v>112</v>
      </c>
      <c r="U5" s="44">
        <f>_xlfn.STDEV.S(K4:K47)/(1/SQRT(COUNT(B3:B47)))</f>
        <v>8.8770068976103969E-2</v>
      </c>
      <c r="V5" s="44">
        <f>_xlfn.STDEV.S(L4:L47)/(1/SQRT(COUNT(C3:C47)))</f>
        <v>8.5250326526060669E-2</v>
      </c>
      <c r="W5" s="44">
        <f>_xlfn.STDEV.S(M4:M47)/(1/SQRT(COUNT(D3:D47)))</f>
        <v>5.8688670882493479E-2</v>
      </c>
      <c r="X5">
        <f>_xlfn.STDEV.S(P4:P47)/(1/SQRT(COUNT(F3:F47)))</f>
        <v>0.13911768193342899</v>
      </c>
      <c r="Z5">
        <v>0.1</v>
      </c>
      <c r="AA5">
        <f>1-Z5</f>
        <v>0.9</v>
      </c>
      <c r="AB5">
        <f>Z5*$U$12+AA5*$X$4</f>
        <v>6.4662193968901174E-2</v>
      </c>
      <c r="AC5">
        <f>SQRT(Z5^2*$U$13^2+AA5^2*$X$5^2+Z5*AA5*$U$13*$X$5*CORREL($N$4:$N$47,$P$4:$P$47))</f>
        <v>0.1262388929996813</v>
      </c>
    </row>
    <row r="6" spans="1:29" x14ac:dyDescent="0.3">
      <c r="A6" s="40" t="s">
        <v>65</v>
      </c>
      <c r="B6" s="41">
        <v>285.95</v>
      </c>
      <c r="C6" s="41">
        <v>315.82</v>
      </c>
      <c r="D6" s="41">
        <v>44.17</v>
      </c>
      <c r="E6" s="41">
        <v>5994</v>
      </c>
      <c r="F6" s="41">
        <v>1360</v>
      </c>
      <c r="G6" s="41">
        <v>6312</v>
      </c>
      <c r="H6" s="41">
        <v>14311.939999999999</v>
      </c>
      <c r="I6" s="41"/>
      <c r="J6" s="41"/>
      <c r="K6" s="42">
        <f t="shared" si="2"/>
        <v>-6.9111620476488477E-3</v>
      </c>
      <c r="L6" s="45">
        <f t="shared" si="3"/>
        <v>1.5171970427515172E-2</v>
      </c>
      <c r="M6" s="45">
        <f t="shared" si="4"/>
        <v>7.0679434564524003E-3</v>
      </c>
      <c r="N6" s="45">
        <f t="shared" si="5"/>
        <v>3.1287001797042401E-3</v>
      </c>
      <c r="O6" s="45">
        <f t="shared" si="6"/>
        <v>8.0726538849646822E-3</v>
      </c>
      <c r="P6" s="45">
        <f t="shared" si="7"/>
        <v>-2.5438910784664995E-2</v>
      </c>
      <c r="Q6" s="45">
        <f t="shared" si="8"/>
        <v>1.2349639133921411E-2</v>
      </c>
      <c r="Z6">
        <v>0.2</v>
      </c>
      <c r="AA6">
        <f t="shared" ref="AA6:AA14" si="9">1-Z6</f>
        <v>0.8</v>
      </c>
      <c r="AB6">
        <f t="shared" ref="AB6:AB14" si="10">Z6*$U$12+AA6*$X$4</f>
        <v>7.3033061312845038E-2</v>
      </c>
      <c r="AC6">
        <f t="shared" ref="AC6:AC14" si="11">SQRT(Z6^2*$U$13^2+AA6^2*$X$5^2+Z6*AA6*$U$13*$X$5*CORREL($N$4:$N$47,$P$4:$P$47))</f>
        <v>0.11366157287696439</v>
      </c>
    </row>
    <row r="7" spans="1:29" x14ac:dyDescent="0.3">
      <c r="A7" s="40" t="s">
        <v>66</v>
      </c>
      <c r="B7" s="41">
        <v>282.27</v>
      </c>
      <c r="C7" s="41">
        <v>319.14999999999998</v>
      </c>
      <c r="D7" s="41">
        <v>43.91</v>
      </c>
      <c r="E7" s="41">
        <v>5980</v>
      </c>
      <c r="F7" s="41">
        <v>1355</v>
      </c>
      <c r="G7" s="41">
        <v>6236</v>
      </c>
      <c r="H7" s="41">
        <v>14216.33</v>
      </c>
      <c r="I7" s="41"/>
      <c r="J7" s="41"/>
      <c r="K7" s="42">
        <f t="shared" si="2"/>
        <v>-1.2869382759223665E-2</v>
      </c>
      <c r="L7" s="45">
        <f t="shared" si="3"/>
        <v>1.0543980748527592E-2</v>
      </c>
      <c r="M7" s="45">
        <f t="shared" si="4"/>
        <v>-5.8863482001359543E-3</v>
      </c>
      <c r="N7" s="45">
        <f t="shared" si="5"/>
        <v>-4.9282280839919312E-3</v>
      </c>
      <c r="O7" s="45">
        <f t="shared" si="6"/>
        <v>-2.3356690023356688E-3</v>
      </c>
      <c r="P7" s="45">
        <f t="shared" si="7"/>
        <v>-3.6764705882352941E-3</v>
      </c>
      <c r="Q7" s="45">
        <f t="shared" si="8"/>
        <v>-1.2040557667934094E-2</v>
      </c>
      <c r="S7" s="43" t="s">
        <v>152</v>
      </c>
      <c r="T7" s="43" t="s">
        <v>143</v>
      </c>
      <c r="U7">
        <v>0.76300907523202144</v>
      </c>
      <c r="V7">
        <f>1-U7</f>
        <v>0.23699092476797856</v>
      </c>
      <c r="Z7">
        <v>0.3</v>
      </c>
      <c r="AA7">
        <f t="shared" si="9"/>
        <v>0.7</v>
      </c>
      <c r="AB7">
        <f t="shared" si="10"/>
        <v>8.1403928656788888E-2</v>
      </c>
      <c r="AC7">
        <f t="shared" si="11"/>
        <v>0.10149785493187634</v>
      </c>
    </row>
    <row r="8" spans="1:29" x14ac:dyDescent="0.3">
      <c r="A8" s="40" t="s">
        <v>67</v>
      </c>
      <c r="B8" s="41">
        <v>286.68</v>
      </c>
      <c r="C8" s="41">
        <v>326.91000000000003</v>
      </c>
      <c r="D8" s="41">
        <v>43.72</v>
      </c>
      <c r="E8" s="41">
        <v>5980</v>
      </c>
      <c r="F8" s="41">
        <v>1336</v>
      </c>
      <c r="G8" s="41">
        <v>6290</v>
      </c>
      <c r="H8" s="41">
        <v>14263.310000000001</v>
      </c>
      <c r="I8" s="41"/>
      <c r="J8" s="41"/>
      <c r="K8" s="42">
        <f t="shared" si="2"/>
        <v>1.5623339355935895E-2</v>
      </c>
      <c r="L8" s="45">
        <f t="shared" si="3"/>
        <v>2.4314585618048092E-2</v>
      </c>
      <c r="M8" s="45">
        <f t="shared" si="4"/>
        <v>-4.3270325666134764E-3</v>
      </c>
      <c r="N8" s="45">
        <f t="shared" si="5"/>
        <v>1.0795929392231356E-2</v>
      </c>
      <c r="O8" s="45">
        <f t="shared" si="6"/>
        <v>0</v>
      </c>
      <c r="P8" s="45">
        <f t="shared" si="7"/>
        <v>-1.4022140221402213E-2</v>
      </c>
      <c r="Q8" s="45">
        <f t="shared" si="8"/>
        <v>8.6593970493906349E-3</v>
      </c>
      <c r="T8" s="43" t="s">
        <v>142</v>
      </c>
      <c r="U8">
        <f>U7*U4+V7*V4</f>
        <v>0.21286530131227227</v>
      </c>
      <c r="Z8">
        <v>0.4</v>
      </c>
      <c r="AA8">
        <f t="shared" si="9"/>
        <v>0.6</v>
      </c>
      <c r="AB8">
        <f t="shared" si="10"/>
        <v>8.9774796000732737E-2</v>
      </c>
      <c r="AC8">
        <f t="shared" si="11"/>
        <v>8.9915751270315133E-2</v>
      </c>
    </row>
    <row r="9" spans="1:29" x14ac:dyDescent="0.3">
      <c r="A9" s="40" t="s">
        <v>68</v>
      </c>
      <c r="B9" s="41">
        <v>288.61</v>
      </c>
      <c r="C9" s="41">
        <v>330.11</v>
      </c>
      <c r="D9" s="41">
        <v>43.54</v>
      </c>
      <c r="E9" s="41">
        <v>5972</v>
      </c>
      <c r="F9" s="41">
        <v>1343</v>
      </c>
      <c r="G9" s="41">
        <v>6423.5</v>
      </c>
      <c r="H9" s="41">
        <v>14400.76</v>
      </c>
      <c r="I9" s="41"/>
      <c r="J9" s="41"/>
      <c r="K9" s="42">
        <f t="shared" si="2"/>
        <v>6.7322450118599371E-3</v>
      </c>
      <c r="L9" s="45">
        <f t="shared" si="3"/>
        <v>9.78862683919118E-3</v>
      </c>
      <c r="M9" s="45">
        <f t="shared" si="4"/>
        <v>-4.1171088746569011E-3</v>
      </c>
      <c r="N9" s="45">
        <f t="shared" si="5"/>
        <v>3.7123778706755085E-3</v>
      </c>
      <c r="O9" s="45">
        <f t="shared" si="6"/>
        <v>-1.3377926421404682E-3</v>
      </c>
      <c r="P9" s="45">
        <f t="shared" si="7"/>
        <v>5.239520958083832E-3</v>
      </c>
      <c r="Q9" s="45">
        <f t="shared" si="8"/>
        <v>2.1224165341812401E-2</v>
      </c>
      <c r="T9" s="43" t="s">
        <v>141</v>
      </c>
      <c r="U9">
        <f>SQRT(U7^2*U5^2 + V7^2*V5^2 + 2*U7*V7*U5*V5*CORREL(K4:K47,L4:L47))</f>
        <v>7.6348003252206434E-2</v>
      </c>
      <c r="Z9">
        <v>0.5</v>
      </c>
      <c r="AA9">
        <f t="shared" si="9"/>
        <v>0.5</v>
      </c>
      <c r="AB9">
        <f t="shared" si="10"/>
        <v>9.8145663344676601E-2</v>
      </c>
      <c r="AC9">
        <f t="shared" si="11"/>
        <v>7.9170931919893245E-2</v>
      </c>
    </row>
    <row r="10" spans="1:29" x14ac:dyDescent="0.3">
      <c r="A10" s="40" t="s">
        <v>69</v>
      </c>
      <c r="B10" s="41">
        <v>290.35000000000002</v>
      </c>
      <c r="C10" s="41">
        <v>329.9</v>
      </c>
      <c r="D10" s="41">
        <v>43.64</v>
      </c>
      <c r="E10" s="41">
        <v>6000</v>
      </c>
      <c r="F10" s="41">
        <v>1360</v>
      </c>
      <c r="G10" s="41">
        <v>6450</v>
      </c>
      <c r="H10" s="41">
        <v>14473.89</v>
      </c>
      <c r="I10" s="41"/>
      <c r="J10" s="41"/>
      <c r="K10" s="42">
        <f t="shared" si="2"/>
        <v>6.0288971276116869E-3</v>
      </c>
      <c r="L10" s="45">
        <f t="shared" si="3"/>
        <v>-6.3615158583513491E-4</v>
      </c>
      <c r="M10" s="45">
        <f t="shared" si="4"/>
        <v>2.2967386311438086E-3</v>
      </c>
      <c r="N10" s="45">
        <f t="shared" si="5"/>
        <v>3.1666637045313418E-3</v>
      </c>
      <c r="O10" s="45">
        <f t="shared" si="6"/>
        <v>4.6885465505693237E-3</v>
      </c>
      <c r="P10" s="45">
        <f t="shared" si="7"/>
        <v>1.2658227848101266E-2</v>
      </c>
      <c r="Q10" s="45">
        <f t="shared" si="8"/>
        <v>4.1254767650035027E-3</v>
      </c>
      <c r="Z10">
        <v>0.6</v>
      </c>
      <c r="AA10">
        <f t="shared" si="9"/>
        <v>0.4</v>
      </c>
      <c r="AB10">
        <f t="shared" si="10"/>
        <v>0.10651653068862045</v>
      </c>
      <c r="AC10">
        <f t="shared" si="11"/>
        <v>6.9651970248154491E-2</v>
      </c>
    </row>
    <row r="11" spans="1:29" x14ac:dyDescent="0.3">
      <c r="A11" s="40" t="s">
        <v>70</v>
      </c>
      <c r="B11" s="41">
        <v>293.23</v>
      </c>
      <c r="C11" s="41">
        <v>328.57</v>
      </c>
      <c r="D11" s="41">
        <v>43.79</v>
      </c>
      <c r="E11" s="41">
        <v>5928</v>
      </c>
      <c r="F11" s="41">
        <v>1357</v>
      </c>
      <c r="G11" s="41">
        <v>6504.5</v>
      </c>
      <c r="H11" s="41">
        <v>14455.09</v>
      </c>
      <c r="I11" s="41"/>
      <c r="J11" s="41"/>
      <c r="K11" s="42">
        <f t="shared" si="2"/>
        <v>9.9190631995866897E-3</v>
      </c>
      <c r="L11" s="45">
        <f t="shared" si="3"/>
        <v>-4.0315247044558477E-3</v>
      </c>
      <c r="M11" s="45">
        <f t="shared" si="4"/>
        <v>3.4372135655361727E-3</v>
      </c>
      <c r="N11" s="45">
        <f t="shared" si="5"/>
        <v>4.3868404021789199E-3</v>
      </c>
      <c r="O11" s="45">
        <f t="shared" si="6"/>
        <v>-1.2E-2</v>
      </c>
      <c r="P11" s="45">
        <f t="shared" si="7"/>
        <v>-2.2058823529411764E-3</v>
      </c>
      <c r="Q11" s="45">
        <f t="shared" si="8"/>
        <v>8.4496124031007754E-3</v>
      </c>
      <c r="S11" s="43" t="s">
        <v>148</v>
      </c>
      <c r="T11" s="43" t="s">
        <v>144</v>
      </c>
      <c r="U11">
        <v>0.41878469141652702</v>
      </c>
      <c r="V11">
        <v>0.23630129994678661</v>
      </c>
      <c r="W11">
        <v>0.3449140086366867</v>
      </c>
      <c r="Z11">
        <v>0.7</v>
      </c>
      <c r="AA11">
        <f t="shared" si="9"/>
        <v>0.30000000000000004</v>
      </c>
      <c r="AB11">
        <f t="shared" si="10"/>
        <v>0.11488739803256431</v>
      </c>
      <c r="AC11">
        <f t="shared" si="11"/>
        <v>6.1926761756622289E-2</v>
      </c>
    </row>
    <row r="12" spans="1:29" x14ac:dyDescent="0.3">
      <c r="A12" s="40" t="s">
        <v>71</v>
      </c>
      <c r="B12" s="41">
        <v>292.7</v>
      </c>
      <c r="C12" s="41">
        <v>328.68</v>
      </c>
      <c r="D12" s="41">
        <v>43.8</v>
      </c>
      <c r="E12" s="41">
        <v>5900</v>
      </c>
      <c r="F12" s="41">
        <v>1397</v>
      </c>
      <c r="G12" s="41">
        <v>6429.5</v>
      </c>
      <c r="H12" s="41">
        <v>14391.68</v>
      </c>
      <c r="I12" s="41"/>
      <c r="J12" s="41"/>
      <c r="K12" s="42">
        <f t="shared" si="2"/>
        <v>-1.807454898884935E-3</v>
      </c>
      <c r="L12" s="45">
        <f t="shared" si="3"/>
        <v>3.3478406427858189E-4</v>
      </c>
      <c r="M12" s="45">
        <f t="shared" si="4"/>
        <v>2.283626398720715E-4</v>
      </c>
      <c r="N12" s="45">
        <f t="shared" si="5"/>
        <v>-5.9905905894718783E-4</v>
      </c>
      <c r="O12" s="45">
        <f t="shared" si="6"/>
        <v>-4.7233468286099868E-3</v>
      </c>
      <c r="P12" s="45">
        <f t="shared" si="7"/>
        <v>2.9476787030213707E-2</v>
      </c>
      <c r="Q12" s="45">
        <f t="shared" si="8"/>
        <v>-1.1530478899223614E-2</v>
      </c>
      <c r="T12" s="43" t="s">
        <v>145</v>
      </c>
      <c r="U12">
        <f>SUMPRODUCT(U11:W11,U4:W4)</f>
        <v>0.14000000006439589</v>
      </c>
      <c r="Z12">
        <v>0.8</v>
      </c>
      <c r="AA12">
        <f t="shared" si="9"/>
        <v>0.19999999999999996</v>
      </c>
      <c r="AB12">
        <f t="shared" si="10"/>
        <v>0.12325826537650818</v>
      </c>
      <c r="AC12">
        <f t="shared" si="11"/>
        <v>5.6732856861781131E-2</v>
      </c>
    </row>
    <row r="13" spans="1:29" x14ac:dyDescent="0.3">
      <c r="A13" s="40" t="s">
        <v>72</v>
      </c>
      <c r="B13" s="41">
        <v>295.10000000000002</v>
      </c>
      <c r="C13" s="41">
        <v>329.36</v>
      </c>
      <c r="D13" s="41">
        <v>43.77</v>
      </c>
      <c r="E13" s="41">
        <v>5916</v>
      </c>
      <c r="F13" s="41">
        <v>1415</v>
      </c>
      <c r="G13" s="41">
        <v>6495.5</v>
      </c>
      <c r="H13" s="41">
        <v>14494.73</v>
      </c>
      <c r="I13" s="41"/>
      <c r="J13" s="41"/>
      <c r="K13" s="42">
        <f t="shared" si="2"/>
        <v>8.199521694567934E-3</v>
      </c>
      <c r="L13" s="45">
        <f t="shared" si="3"/>
        <v>2.0688815869538968E-3</v>
      </c>
      <c r="M13" s="45">
        <f t="shared" si="4"/>
        <v>-6.849315068491789E-4</v>
      </c>
      <c r="N13" s="45">
        <f t="shared" si="5"/>
        <v>3.6864710993870114E-3</v>
      </c>
      <c r="O13" s="45">
        <f t="shared" si="6"/>
        <v>2.7118644067796612E-3</v>
      </c>
      <c r="P13" s="45">
        <f t="shared" si="7"/>
        <v>1.2884753042233358E-2</v>
      </c>
      <c r="Q13" s="45">
        <f t="shared" si="8"/>
        <v>1.0265183917878529E-2</v>
      </c>
      <c r="T13" s="43" t="s">
        <v>146</v>
      </c>
      <c r="U13">
        <f>SQRT(U11^2*U5^2+V11^2*V5^2+W11^2*W5^2 + 2*U11*U5*V11*V5*U18+2*U11*U5*W11*W5*U19+2*V11*V5*W11*W5*V19)</f>
        <v>5.6449115061742307E-2</v>
      </c>
      <c r="Z13">
        <v>0.9</v>
      </c>
      <c r="AA13">
        <f t="shared" si="9"/>
        <v>9.9999999999999978E-2</v>
      </c>
      <c r="AB13">
        <f t="shared" si="10"/>
        <v>0.13162913272045204</v>
      </c>
      <c r="AC13">
        <f t="shared" si="11"/>
        <v>5.4794859590690338E-2</v>
      </c>
    </row>
    <row r="14" spans="1:29" x14ac:dyDescent="0.3">
      <c r="A14" s="40" t="s">
        <v>73</v>
      </c>
      <c r="B14" s="41">
        <v>298.32</v>
      </c>
      <c r="C14" s="41">
        <v>334.5</v>
      </c>
      <c r="D14" s="41">
        <v>44.24</v>
      </c>
      <c r="E14" s="41">
        <v>5908</v>
      </c>
      <c r="F14" s="41">
        <v>1519.5</v>
      </c>
      <c r="G14" s="41">
        <v>6567.5</v>
      </c>
      <c r="H14" s="41">
        <v>14672.06</v>
      </c>
      <c r="I14" s="41"/>
      <c r="J14" s="41"/>
      <c r="K14" s="42">
        <f t="shared" si="2"/>
        <v>1.0911555404947374E-2</v>
      </c>
      <c r="L14" s="45">
        <f t="shared" si="3"/>
        <v>1.5606023803740546E-2</v>
      </c>
      <c r="M14" s="45">
        <f t="shared" si="4"/>
        <v>1.073794836646102E-2</v>
      </c>
      <c r="N14" s="45">
        <f t="shared" si="5"/>
        <v>1.1960984890569442E-2</v>
      </c>
      <c r="O14" s="45">
        <f t="shared" si="6"/>
        <v>-1.3522650439486139E-3</v>
      </c>
      <c r="P14" s="45">
        <f t="shared" si="7"/>
        <v>7.3851590106007073E-2</v>
      </c>
      <c r="Q14" s="45">
        <f t="shared" si="8"/>
        <v>1.1084597028712185E-2</v>
      </c>
      <c r="T14" s="43" t="s">
        <v>147</v>
      </c>
      <c r="U14">
        <f>SUM(U11:W11)</f>
        <v>1.0000000000000002</v>
      </c>
      <c r="Z14">
        <v>1</v>
      </c>
      <c r="AA14">
        <f t="shared" si="9"/>
        <v>0</v>
      </c>
      <c r="AB14">
        <f t="shared" si="10"/>
        <v>0.14000000006439589</v>
      </c>
      <c r="AC14">
        <f t="shared" si="11"/>
        <v>5.6449115061742307E-2</v>
      </c>
    </row>
    <row r="15" spans="1:29" ht="15" thickBot="1" x14ac:dyDescent="0.35">
      <c r="A15" s="40" t="s">
        <v>74</v>
      </c>
      <c r="B15" s="41">
        <v>295.05</v>
      </c>
      <c r="C15" s="41">
        <v>334.9</v>
      </c>
      <c r="D15" s="41">
        <v>44.08</v>
      </c>
      <c r="E15" s="41">
        <v>5924</v>
      </c>
      <c r="F15" s="41">
        <v>1520.5</v>
      </c>
      <c r="G15" s="41">
        <v>6445</v>
      </c>
      <c r="H15" s="41">
        <v>14563.529999999999</v>
      </c>
      <c r="I15" s="41"/>
      <c r="J15" s="41"/>
      <c r="K15" s="42">
        <f t="shared" si="2"/>
        <v>-1.0961383748994307E-2</v>
      </c>
      <c r="L15" s="45">
        <f t="shared" si="3"/>
        <v>1.1958146487293789E-3</v>
      </c>
      <c r="M15" s="45">
        <f t="shared" si="4"/>
        <v>-3.6166365280290162E-3</v>
      </c>
      <c r="N15" s="45">
        <f t="shared" si="5"/>
        <v>-5.5553157574949105E-3</v>
      </c>
      <c r="O15" s="45">
        <f t="shared" si="6"/>
        <v>2.7081922816519972E-3</v>
      </c>
      <c r="P15" s="45">
        <f t="shared" si="7"/>
        <v>6.5811122079631457E-4</v>
      </c>
      <c r="Q15" s="45">
        <f t="shared" si="8"/>
        <v>-1.8652455272173581E-2</v>
      </c>
    </row>
    <row r="16" spans="1:29" x14ac:dyDescent="0.3">
      <c r="A16" s="40" t="s">
        <v>75</v>
      </c>
      <c r="B16" s="41">
        <v>293.68</v>
      </c>
      <c r="C16" s="41">
        <v>332.69</v>
      </c>
      <c r="D16" s="41">
        <v>44.02</v>
      </c>
      <c r="E16" s="41">
        <v>5948</v>
      </c>
      <c r="F16" s="41">
        <v>1457.5</v>
      </c>
      <c r="G16" s="41">
        <v>6332</v>
      </c>
      <c r="H16" s="41">
        <v>14407.89</v>
      </c>
      <c r="I16" s="41"/>
      <c r="J16" s="41"/>
      <c r="K16" s="42">
        <f t="shared" si="2"/>
        <v>-4.6432807998644451E-3</v>
      </c>
      <c r="L16" s="45">
        <f t="shared" si="3"/>
        <v>-6.5989847715735434E-3</v>
      </c>
      <c r="M16" s="45">
        <f t="shared" si="4"/>
        <v>-1.3611615245007979E-3</v>
      </c>
      <c r="N16" s="45">
        <f t="shared" si="5"/>
        <v>-3.9733672746009871E-3</v>
      </c>
      <c r="O16" s="45">
        <f t="shared" si="6"/>
        <v>4.0513166779203242E-3</v>
      </c>
      <c r="P16" s="45">
        <f t="shared" si="7"/>
        <v>-4.1433738901677078E-2</v>
      </c>
      <c r="Q16" s="45">
        <f t="shared" si="8"/>
        <v>-1.7532971295577966E-2</v>
      </c>
      <c r="T16" s="48"/>
      <c r="U16" s="48" t="s">
        <v>108</v>
      </c>
      <c r="V16" s="48" t="s">
        <v>109</v>
      </c>
      <c r="W16" s="48" t="s">
        <v>140</v>
      </c>
    </row>
    <row r="17" spans="1:24" x14ac:dyDescent="0.3">
      <c r="A17" s="40" t="s">
        <v>76</v>
      </c>
      <c r="B17" s="41">
        <v>292.57</v>
      </c>
      <c r="C17" s="41">
        <v>325.67</v>
      </c>
      <c r="D17" s="41">
        <v>43.87</v>
      </c>
      <c r="E17" s="41">
        <v>5972</v>
      </c>
      <c r="F17" s="41">
        <v>1445.5</v>
      </c>
      <c r="G17" s="41">
        <v>6339.5</v>
      </c>
      <c r="H17" s="41">
        <v>14419.11</v>
      </c>
      <c r="I17" s="41"/>
      <c r="J17" s="41"/>
      <c r="K17" s="42">
        <f t="shared" si="2"/>
        <v>-3.7796240806320268E-3</v>
      </c>
      <c r="L17" s="45">
        <f t="shared" si="3"/>
        <v>-2.1100724398088255E-2</v>
      </c>
      <c r="M17" s="45">
        <f t="shared" si="4"/>
        <v>-3.407542026351787E-3</v>
      </c>
      <c r="N17" s="45">
        <f t="shared" si="5"/>
        <v>-7.7442862892720624E-3</v>
      </c>
      <c r="O17" s="45">
        <f t="shared" si="6"/>
        <v>4.0349697377269674E-3</v>
      </c>
      <c r="P17" s="45">
        <f t="shared" si="7"/>
        <v>-8.2332761578044599E-3</v>
      </c>
      <c r="Q17" s="45">
        <f t="shared" si="8"/>
        <v>1.184459886291851E-3</v>
      </c>
      <c r="T17" s="46" t="s">
        <v>108</v>
      </c>
      <c r="U17" s="46">
        <v>1</v>
      </c>
      <c r="V17" s="46"/>
      <c r="W17" s="46"/>
    </row>
    <row r="18" spans="1:24" x14ac:dyDescent="0.3">
      <c r="A18" s="40" t="s">
        <v>77</v>
      </c>
      <c r="B18" s="41">
        <v>297.69</v>
      </c>
      <c r="C18" s="41">
        <v>329.22</v>
      </c>
      <c r="D18" s="41">
        <v>43.99</v>
      </c>
      <c r="E18" s="41">
        <v>6026</v>
      </c>
      <c r="F18" s="41">
        <v>1473</v>
      </c>
      <c r="G18" s="41">
        <v>6475.5</v>
      </c>
      <c r="H18" s="41">
        <v>14645.4</v>
      </c>
      <c r="I18" s="41"/>
      <c r="J18" s="41"/>
      <c r="K18" s="42">
        <f t="shared" si="2"/>
        <v>1.7500085449636001E-2</v>
      </c>
      <c r="L18" s="45">
        <f t="shared" si="3"/>
        <v>1.0900604906807538E-2</v>
      </c>
      <c r="M18" s="45">
        <f t="shared" si="4"/>
        <v>2.7353544563484054E-3</v>
      </c>
      <c r="N18" s="45">
        <f t="shared" si="5"/>
        <v>1.0848057065054963E-2</v>
      </c>
      <c r="O18" s="45">
        <f t="shared" si="6"/>
        <v>9.0421969189551244E-3</v>
      </c>
      <c r="P18" s="45">
        <f t="shared" si="7"/>
        <v>1.9024558976132824E-2</v>
      </c>
      <c r="Q18" s="45">
        <f t="shared" si="8"/>
        <v>2.1452795961826643E-2</v>
      </c>
      <c r="T18" s="46" t="s">
        <v>109</v>
      </c>
      <c r="U18" s="46">
        <v>0.30442095915213602</v>
      </c>
      <c r="V18" s="46">
        <v>1</v>
      </c>
      <c r="W18" s="46"/>
    </row>
    <row r="19" spans="1:24" ht="15" thickBot="1" x14ac:dyDescent="0.35">
      <c r="A19" s="40" t="s">
        <v>78</v>
      </c>
      <c r="B19" s="41">
        <v>298.7</v>
      </c>
      <c r="C19" s="41">
        <v>324.83</v>
      </c>
      <c r="D19" s="41">
        <v>44.26</v>
      </c>
      <c r="E19" s="41">
        <v>6090</v>
      </c>
      <c r="F19" s="41">
        <v>1464.5</v>
      </c>
      <c r="G19" s="41">
        <v>6488</v>
      </c>
      <c r="H19" s="41">
        <v>14710.29</v>
      </c>
      <c r="I19" s="41"/>
      <c r="J19" s="41"/>
      <c r="K19" s="42">
        <f t="shared" si="2"/>
        <v>3.3927911585877623E-3</v>
      </c>
      <c r="L19" s="45">
        <f t="shared" si="3"/>
        <v>-1.3334548326347253E-2</v>
      </c>
      <c r="M19" s="45">
        <f t="shared" si="4"/>
        <v>6.1377585814957041E-3</v>
      </c>
      <c r="N19" s="45">
        <f t="shared" si="5"/>
        <v>3.8687681105870043E-4</v>
      </c>
      <c r="O19" s="45">
        <f t="shared" si="6"/>
        <v>1.0620643876535016E-2</v>
      </c>
      <c r="P19" s="45">
        <f t="shared" si="7"/>
        <v>-5.7705363204344877E-3</v>
      </c>
      <c r="Q19" s="45">
        <f t="shared" si="8"/>
        <v>1.9303528685043626E-3</v>
      </c>
      <c r="T19" s="47" t="s">
        <v>140</v>
      </c>
      <c r="U19" s="47">
        <v>0.32337244861494879</v>
      </c>
      <c r="V19" s="47">
        <v>5.6719966597818652E-2</v>
      </c>
      <c r="W19" s="47">
        <v>1</v>
      </c>
    </row>
    <row r="20" spans="1:24" x14ac:dyDescent="0.3">
      <c r="A20" s="40" t="s">
        <v>79</v>
      </c>
      <c r="B20" s="41">
        <v>296.7</v>
      </c>
      <c r="C20" s="41">
        <v>324.57</v>
      </c>
      <c r="D20" s="41">
        <v>44</v>
      </c>
      <c r="E20" s="41">
        <v>6508</v>
      </c>
      <c r="F20" s="41">
        <v>1458</v>
      </c>
      <c r="G20" s="41">
        <v>6431</v>
      </c>
      <c r="H20" s="41">
        <v>15062.27</v>
      </c>
      <c r="I20" s="41"/>
      <c r="J20" s="41"/>
      <c r="K20" s="42">
        <f t="shared" si="2"/>
        <v>-6.6956812855708068E-3</v>
      </c>
      <c r="L20" s="45">
        <f t="shared" si="3"/>
        <v>-8.0041868054056249E-4</v>
      </c>
      <c r="M20" s="45">
        <f t="shared" si="4"/>
        <v>-5.8743786714866254E-3</v>
      </c>
      <c r="N20" s="45">
        <f t="shared" si="5"/>
        <v>-5.0193442915469188E-3</v>
      </c>
      <c r="O20" s="45">
        <f t="shared" si="6"/>
        <v>6.8637110016420366E-2</v>
      </c>
      <c r="P20" s="45">
        <f t="shared" si="7"/>
        <v>-4.4383748719699556E-3</v>
      </c>
      <c r="Q20" s="45">
        <f t="shared" si="8"/>
        <v>-8.7854500616522807E-3</v>
      </c>
    </row>
    <row r="21" spans="1:24" ht="15" thickBot="1" x14ac:dyDescent="0.35">
      <c r="A21" s="40" t="s">
        <v>80</v>
      </c>
      <c r="B21" s="41">
        <v>294.33999999999997</v>
      </c>
      <c r="C21" s="41">
        <v>322.54000000000002</v>
      </c>
      <c r="D21" s="41">
        <v>43.29</v>
      </c>
      <c r="E21" s="41">
        <v>6422</v>
      </c>
      <c r="F21" s="41">
        <v>1435</v>
      </c>
      <c r="G21" s="41">
        <v>6343.5</v>
      </c>
      <c r="H21" s="41">
        <v>14860.67</v>
      </c>
      <c r="I21" s="41"/>
      <c r="J21" s="41"/>
      <c r="K21" s="42">
        <f t="shared" si="2"/>
        <v>-7.9541624536569391E-3</v>
      </c>
      <c r="L21" s="45">
        <f t="shared" si="3"/>
        <v>-6.2544289367469971E-3</v>
      </c>
      <c r="M21" s="45">
        <f t="shared" si="4"/>
        <v>-1.6136363636363657E-2</v>
      </c>
      <c r="N21" s="45">
        <f t="shared" si="5"/>
        <v>-1.0374669023447212E-2</v>
      </c>
      <c r="O21" s="45">
        <f t="shared" si="6"/>
        <v>-1.3214505224339274E-2</v>
      </c>
      <c r="P21" s="45">
        <f t="shared" si="7"/>
        <v>-1.5775034293552811E-2</v>
      </c>
      <c r="Q21" s="45">
        <f t="shared" si="8"/>
        <v>-1.3605971077592909E-2</v>
      </c>
    </row>
    <row r="22" spans="1:24" x14ac:dyDescent="0.3">
      <c r="A22" s="40" t="s">
        <v>81</v>
      </c>
      <c r="B22" s="41">
        <v>299.66000000000003</v>
      </c>
      <c r="C22" s="41">
        <v>327.41000000000003</v>
      </c>
      <c r="D22" s="41">
        <v>43.61</v>
      </c>
      <c r="E22" s="41">
        <v>6534</v>
      </c>
      <c r="F22" s="41">
        <v>1442</v>
      </c>
      <c r="G22" s="41">
        <v>6429.5</v>
      </c>
      <c r="H22" s="41">
        <v>15076.18</v>
      </c>
      <c r="I22" s="41"/>
      <c r="J22" s="41"/>
      <c r="K22" s="42">
        <f t="shared" si="2"/>
        <v>1.8074335802133759E-2</v>
      </c>
      <c r="L22" s="45">
        <f t="shared" si="3"/>
        <v>1.5098902461710188E-2</v>
      </c>
      <c r="M22" s="45">
        <f t="shared" si="4"/>
        <v>7.3920073920073987E-3</v>
      </c>
      <c r="N22" s="45">
        <f t="shared" si="5"/>
        <v>1.3686752322376417E-2</v>
      </c>
      <c r="O22" s="45">
        <f t="shared" si="6"/>
        <v>1.7440049828713795E-2</v>
      </c>
      <c r="P22" s="45">
        <f t="shared" si="7"/>
        <v>4.8780487804878049E-3</v>
      </c>
      <c r="Q22" s="45">
        <f t="shared" si="8"/>
        <v>1.3557184519586979E-2</v>
      </c>
      <c r="T22" s="48"/>
      <c r="U22" s="48" t="s">
        <v>148</v>
      </c>
      <c r="V22" s="48" t="s">
        <v>149</v>
      </c>
      <c r="W22" s="48" t="s">
        <v>150</v>
      </c>
      <c r="X22" s="48" t="s">
        <v>151</v>
      </c>
    </row>
    <row r="23" spans="1:24" x14ac:dyDescent="0.3">
      <c r="A23" s="40" t="s">
        <v>82</v>
      </c>
      <c r="B23" s="41">
        <v>305.17</v>
      </c>
      <c r="C23" s="41">
        <v>328.28</v>
      </c>
      <c r="D23" s="41">
        <v>43.14</v>
      </c>
      <c r="E23" s="41">
        <v>6466</v>
      </c>
      <c r="F23" s="41">
        <v>1446.5</v>
      </c>
      <c r="G23" s="41">
        <v>6439</v>
      </c>
      <c r="H23" s="41">
        <v>15028.09</v>
      </c>
      <c r="I23" s="41"/>
      <c r="J23" s="41"/>
      <c r="K23" s="42">
        <f t="shared" si="2"/>
        <v>1.8387505839951912E-2</v>
      </c>
      <c r="L23" s="45">
        <f t="shared" si="3"/>
        <v>2.6572187776792025E-3</v>
      </c>
      <c r="M23" s="45">
        <f t="shared" si="4"/>
        <v>-1.0777344645723433E-2</v>
      </c>
      <c r="N23" s="45">
        <f t="shared" si="5"/>
        <v>4.6110530662968555E-3</v>
      </c>
      <c r="O23" s="45">
        <f t="shared" si="6"/>
        <v>-1.0407101316192225E-2</v>
      </c>
      <c r="P23" s="45">
        <f t="shared" si="7"/>
        <v>3.1206657420249652E-3</v>
      </c>
      <c r="Q23" s="45">
        <f t="shared" si="8"/>
        <v>1.4775643518158488E-3</v>
      </c>
      <c r="T23" s="46" t="s">
        <v>148</v>
      </c>
      <c r="U23" s="46">
        <v>1</v>
      </c>
      <c r="V23" s="46"/>
      <c r="W23" s="46"/>
      <c r="X23" s="46"/>
    </row>
    <row r="24" spans="1:24" x14ac:dyDescent="0.3">
      <c r="A24" s="40" t="s">
        <v>83</v>
      </c>
      <c r="B24" s="41">
        <v>305.64999999999998</v>
      </c>
      <c r="C24" s="41">
        <v>327.94</v>
      </c>
      <c r="D24" s="41">
        <v>43.62</v>
      </c>
      <c r="E24" s="41">
        <v>6562</v>
      </c>
      <c r="F24" s="41">
        <v>1445</v>
      </c>
      <c r="G24" s="41">
        <v>6283.5</v>
      </c>
      <c r="H24" s="41">
        <v>14967.71</v>
      </c>
      <c r="I24" s="41"/>
      <c r="J24" s="41"/>
      <c r="K24" s="42">
        <f t="shared" si="2"/>
        <v>1.5728937968999617E-3</v>
      </c>
      <c r="L24" s="45">
        <f t="shared" si="3"/>
        <v>-1.0357012306566804E-3</v>
      </c>
      <c r="M24" s="45">
        <f t="shared" si="4"/>
        <v>1.1126564673157089E-2</v>
      </c>
      <c r="N24" s="45">
        <f t="shared" si="5"/>
        <v>4.2516743199790168E-3</v>
      </c>
      <c r="O24" s="45">
        <f t="shared" si="6"/>
        <v>1.4846891432106402E-2</v>
      </c>
      <c r="P24" s="45">
        <f t="shared" si="7"/>
        <v>-1.0369858278603526E-3</v>
      </c>
      <c r="Q24" s="45">
        <f t="shared" si="8"/>
        <v>-2.4149712688305638E-2</v>
      </c>
      <c r="T24" s="46" t="s">
        <v>149</v>
      </c>
      <c r="U24" s="46">
        <v>0.37377673764629177</v>
      </c>
      <c r="V24" s="46">
        <v>1</v>
      </c>
      <c r="W24" s="46"/>
      <c r="X24" s="46"/>
    </row>
    <row r="25" spans="1:24" x14ac:dyDescent="0.3">
      <c r="A25" s="40" t="s">
        <v>84</v>
      </c>
      <c r="B25" s="41">
        <v>312.89</v>
      </c>
      <c r="C25" s="41">
        <v>334.57</v>
      </c>
      <c r="D25" s="41">
        <v>43.65</v>
      </c>
      <c r="E25" s="41">
        <v>6536</v>
      </c>
      <c r="F25" s="41">
        <v>1454</v>
      </c>
      <c r="G25" s="41">
        <v>6334</v>
      </c>
      <c r="H25" s="41">
        <v>15015.11</v>
      </c>
      <c r="I25" s="41"/>
      <c r="J25" s="41"/>
      <c r="K25" s="42">
        <f t="shared" si="2"/>
        <v>2.3687223948961261E-2</v>
      </c>
      <c r="L25" s="45">
        <f t="shared" si="3"/>
        <v>2.0217112886503616E-2</v>
      </c>
      <c r="M25" s="45">
        <f t="shared" si="4"/>
        <v>6.8775790921598212E-4</v>
      </c>
      <c r="N25" s="45">
        <f t="shared" si="5"/>
        <v>1.4934394165670916E-2</v>
      </c>
      <c r="O25" s="45">
        <f t="shared" si="6"/>
        <v>-3.9622066443157572E-3</v>
      </c>
      <c r="P25" s="45">
        <f t="shared" si="7"/>
        <v>6.2283737024221453E-3</v>
      </c>
      <c r="Q25" s="45">
        <f t="shared" si="8"/>
        <v>8.0369220975570945E-3</v>
      </c>
      <c r="T25" s="46" t="s">
        <v>150</v>
      </c>
      <c r="U25" s="46">
        <v>0.32241070247979703</v>
      </c>
      <c r="V25" s="46">
        <v>-2.1186948205577864E-2</v>
      </c>
      <c r="W25" s="46">
        <v>1</v>
      </c>
      <c r="X25" s="46"/>
    </row>
    <row r="26" spans="1:24" ht="15" thickBot="1" x14ac:dyDescent="0.35">
      <c r="A26" s="40" t="s">
        <v>85</v>
      </c>
      <c r="B26" s="41">
        <v>312.3</v>
      </c>
      <c r="C26" s="41">
        <v>329</v>
      </c>
      <c r="D26" s="41">
        <v>43.72</v>
      </c>
      <c r="E26" s="41">
        <v>6688</v>
      </c>
      <c r="F26" s="41">
        <v>1486</v>
      </c>
      <c r="G26" s="41">
        <v>6350.5</v>
      </c>
      <c r="H26" s="41">
        <v>15209.52</v>
      </c>
      <c r="I26" s="41"/>
      <c r="J26" s="41"/>
      <c r="K26" s="42">
        <f t="shared" si="2"/>
        <v>-1.8856467129022181E-3</v>
      </c>
      <c r="L26" s="45">
        <f t="shared" si="3"/>
        <v>-1.6648235047972002E-2</v>
      </c>
      <c r="M26" s="45">
        <f t="shared" si="4"/>
        <v>1.603665521191301E-3</v>
      </c>
      <c r="N26" s="45">
        <f t="shared" si="5"/>
        <v>-4.1705528570122486E-3</v>
      </c>
      <c r="O26" s="45">
        <f t="shared" si="6"/>
        <v>2.3255813953488372E-2</v>
      </c>
      <c r="P26" s="45">
        <f t="shared" si="7"/>
        <v>2.2008253094910592E-2</v>
      </c>
      <c r="Q26" s="45">
        <f t="shared" si="8"/>
        <v>2.6049889485317335E-3</v>
      </c>
      <c r="T26" s="47" t="s">
        <v>151</v>
      </c>
      <c r="U26" s="47">
        <v>0.57263826197580125</v>
      </c>
      <c r="V26" s="47">
        <v>0.17828956697827181</v>
      </c>
      <c r="W26" s="47">
        <v>0.34018015404944901</v>
      </c>
      <c r="X26" s="47">
        <v>1</v>
      </c>
    </row>
    <row r="27" spans="1:24" x14ac:dyDescent="0.3">
      <c r="A27" s="40" t="s">
        <v>86</v>
      </c>
      <c r="B27" s="41">
        <v>317.94</v>
      </c>
      <c r="C27" s="41">
        <v>329.71</v>
      </c>
      <c r="D27" s="41">
        <v>44</v>
      </c>
      <c r="E27" s="41">
        <v>6780</v>
      </c>
      <c r="F27" s="41">
        <v>1461.5</v>
      </c>
      <c r="G27" s="41">
        <v>6330</v>
      </c>
      <c r="H27" s="41">
        <v>15263.15</v>
      </c>
      <c r="I27" s="41"/>
      <c r="J27" s="41"/>
      <c r="K27" s="42">
        <f t="shared" si="2"/>
        <v>1.8059558117194962E-2</v>
      </c>
      <c r="L27" s="45">
        <f t="shared" si="3"/>
        <v>2.1580547112461383E-3</v>
      </c>
      <c r="M27" s="45">
        <f t="shared" si="4"/>
        <v>6.4043915827996598E-3</v>
      </c>
      <c r="N27" s="45">
        <f t="shared" si="5"/>
        <v>1.0281981980554564E-2</v>
      </c>
      <c r="O27" s="45">
        <f t="shared" si="6"/>
        <v>1.375598086124402E-2</v>
      </c>
      <c r="P27" s="45">
        <f t="shared" si="7"/>
        <v>-1.6487213997308209E-2</v>
      </c>
      <c r="Q27" s="45">
        <f t="shared" si="8"/>
        <v>-3.2280922761987246E-3</v>
      </c>
    </row>
    <row r="28" spans="1:24" x14ac:dyDescent="0.3">
      <c r="A28" s="40" t="s">
        <v>87</v>
      </c>
      <c r="B28" s="41">
        <v>328.93</v>
      </c>
      <c r="C28" s="41">
        <v>329.37</v>
      </c>
      <c r="D28" s="41">
        <v>45</v>
      </c>
      <c r="E28" s="41">
        <v>6942</v>
      </c>
      <c r="F28" s="41">
        <v>1448</v>
      </c>
      <c r="G28" s="41">
        <v>6325</v>
      </c>
      <c r="H28" s="41">
        <v>15418.3</v>
      </c>
      <c r="I28" s="41"/>
      <c r="J28" s="41"/>
      <c r="K28" s="42">
        <f t="shared" si="2"/>
        <v>3.456627036547779E-2</v>
      </c>
      <c r="L28" s="45">
        <f t="shared" si="3"/>
        <v>-1.0312092444875042E-3</v>
      </c>
      <c r="M28" s="45">
        <f t="shared" si="4"/>
        <v>2.2727272727272728E-2</v>
      </c>
      <c r="N28" s="45">
        <f t="shared" si="5"/>
        <v>2.2071103525180196E-2</v>
      </c>
      <c r="O28" s="45">
        <f t="shared" si="6"/>
        <v>2.3893805309734513E-2</v>
      </c>
      <c r="P28" s="45">
        <f t="shared" si="7"/>
        <v>-9.2370851864522745E-3</v>
      </c>
      <c r="Q28" s="45">
        <f t="shared" si="8"/>
        <v>-7.8988941548183253E-4</v>
      </c>
    </row>
    <row r="29" spans="1:24" x14ac:dyDescent="0.3">
      <c r="A29" s="40" t="s">
        <v>88</v>
      </c>
      <c r="B29" s="41">
        <v>327.73</v>
      </c>
      <c r="C29" s="41">
        <v>325.95999999999998</v>
      </c>
      <c r="D29" s="41">
        <v>44.52</v>
      </c>
      <c r="E29" s="41">
        <v>6460</v>
      </c>
      <c r="F29" s="41">
        <v>1448.5</v>
      </c>
      <c r="G29" s="41">
        <v>6280</v>
      </c>
      <c r="H29" s="41">
        <v>14886.71</v>
      </c>
      <c r="I29" s="41"/>
      <c r="J29" s="41"/>
      <c r="K29" s="42">
        <f t="shared" si="2"/>
        <v>-3.6481926245705426E-3</v>
      </c>
      <c r="L29" s="45">
        <f t="shared" si="3"/>
        <v>-1.0353098339253802E-2</v>
      </c>
      <c r="M29" s="45">
        <f t="shared" si="4"/>
        <v>-1.0666666666666597E-2</v>
      </c>
      <c r="N29" s="45">
        <f t="shared" si="5"/>
        <v>-7.653340577342716E-3</v>
      </c>
      <c r="O29" s="45">
        <f t="shared" si="6"/>
        <v>-6.9432440218957073E-2</v>
      </c>
      <c r="P29" s="45">
        <f t="shared" si="7"/>
        <v>3.453038674033149E-4</v>
      </c>
      <c r="Q29" s="45">
        <f t="shared" si="8"/>
        <v>-7.1146245059288534E-3</v>
      </c>
      <c r="U29" s="43" t="str">
        <f>N3</f>
        <v>P3</v>
      </c>
      <c r="V29" s="43" t="str">
        <f>P3</f>
        <v>BANE</v>
      </c>
    </row>
    <row r="30" spans="1:24" x14ac:dyDescent="0.3">
      <c r="A30" s="40" t="s">
        <v>89</v>
      </c>
      <c r="B30" s="41">
        <v>327.60000000000002</v>
      </c>
      <c r="C30" s="41">
        <v>331.7</v>
      </c>
      <c r="D30" s="41">
        <v>44.88</v>
      </c>
      <c r="E30" s="41">
        <v>6702</v>
      </c>
      <c r="F30" s="41">
        <v>1441</v>
      </c>
      <c r="G30" s="41">
        <v>6341.5</v>
      </c>
      <c r="H30" s="41">
        <v>15188.68</v>
      </c>
      <c r="I30" s="41"/>
      <c r="J30" s="41"/>
      <c r="K30" s="42">
        <f t="shared" si="2"/>
        <v>-3.9666798889328244E-4</v>
      </c>
      <c r="L30" s="45">
        <f t="shared" si="3"/>
        <v>1.7609522640814852E-2</v>
      </c>
      <c r="M30" s="45">
        <f t="shared" si="4"/>
        <v>8.0862533692722238E-3</v>
      </c>
      <c r="N30" s="45">
        <f t="shared" si="5"/>
        <v>6.7840966745910287E-3</v>
      </c>
      <c r="O30" s="45">
        <f t="shared" si="6"/>
        <v>3.7461300309597524E-2</v>
      </c>
      <c r="P30" s="45">
        <f t="shared" si="7"/>
        <v>-5.1777701070072485E-3</v>
      </c>
      <c r="Q30" s="45">
        <f t="shared" si="8"/>
        <v>9.792993630573248E-3</v>
      </c>
      <c r="S30" t="s">
        <v>159</v>
      </c>
      <c r="U30" s="44">
        <f>AVERAGE(N4:N47)*COUNT($B$3:$B$47)</f>
        <v>0.14000000006439589</v>
      </c>
      <c r="V30" s="44">
        <f>AVERAGE(P4:P47)*COUNT(F3:F48)</f>
        <v>5.6291326624957311E-2</v>
      </c>
    </row>
    <row r="31" spans="1:24" x14ac:dyDescent="0.3">
      <c r="A31" s="40" t="s">
        <v>90</v>
      </c>
      <c r="B31" s="41">
        <v>324.57</v>
      </c>
      <c r="C31" s="41">
        <v>326.01</v>
      </c>
      <c r="D31" s="41">
        <v>44.49</v>
      </c>
      <c r="E31" s="41">
        <v>6524</v>
      </c>
      <c r="F31" s="41">
        <v>1452.5</v>
      </c>
      <c r="G31" s="41">
        <v>6269.5</v>
      </c>
      <c r="H31" s="41">
        <v>14941.07</v>
      </c>
      <c r="I31" s="41"/>
      <c r="J31" s="41"/>
      <c r="K31" s="42">
        <f t="shared" si="2"/>
        <v>-9.2490842490843394E-3</v>
      </c>
      <c r="L31" s="45">
        <f t="shared" si="3"/>
        <v>-1.7154054868857394E-2</v>
      </c>
      <c r="M31" s="45">
        <f t="shared" si="4"/>
        <v>-8.6898395721925255E-3</v>
      </c>
      <c r="N31" s="45">
        <f t="shared" si="5"/>
        <v>-1.0924147759262388E-2</v>
      </c>
      <c r="O31" s="45">
        <f t="shared" si="6"/>
        <v>-2.6559236048940615E-2</v>
      </c>
      <c r="P31" s="45">
        <f t="shared" si="7"/>
        <v>7.9805690492713386E-3</v>
      </c>
      <c r="Q31" s="45">
        <f t="shared" si="8"/>
        <v>-1.1353780651265473E-2</v>
      </c>
      <c r="S31" t="s">
        <v>158</v>
      </c>
      <c r="U31" s="44">
        <f>_xlfn.STDEV.S(N4:N47)/(1/SQRT((COUNT(B3:B48))))</f>
        <v>5.7072881125350181E-2</v>
      </c>
      <c r="V31" s="44">
        <f>_xlfn.STDEV.S(P4:P47)/(1/SQRT(COUNT(F3:F47)))</f>
        <v>0.13911768193342899</v>
      </c>
    </row>
    <row r="32" spans="1:24" x14ac:dyDescent="0.3">
      <c r="A32" s="40" t="s">
        <v>91</v>
      </c>
      <c r="B32" s="41">
        <v>326.43</v>
      </c>
      <c r="C32" s="41">
        <v>326.25</v>
      </c>
      <c r="D32" s="41">
        <v>45.5</v>
      </c>
      <c r="E32" s="41">
        <v>6658</v>
      </c>
      <c r="F32" s="41">
        <v>1446</v>
      </c>
      <c r="G32" s="41">
        <v>6300</v>
      </c>
      <c r="H32" s="41">
        <v>15102.18</v>
      </c>
      <c r="I32" s="41"/>
      <c r="J32" s="41"/>
      <c r="K32" s="42">
        <f t="shared" si="2"/>
        <v>5.7306590257880079E-3</v>
      </c>
      <c r="L32" s="45">
        <f t="shared" si="3"/>
        <v>7.3617373700196034E-4</v>
      </c>
      <c r="M32" s="45">
        <f t="shared" si="4"/>
        <v>2.2701730726005797E-2</v>
      </c>
      <c r="N32" s="45">
        <f t="shared" si="5"/>
        <v>1.0404016030465514E-2</v>
      </c>
      <c r="O32" s="45">
        <f t="shared" si="6"/>
        <v>2.0539546290619253E-2</v>
      </c>
      <c r="P32" s="45">
        <f t="shared" si="7"/>
        <v>-4.4750430292598963E-3</v>
      </c>
      <c r="Q32" s="45">
        <f t="shared" si="8"/>
        <v>4.8648217561209029E-3</v>
      </c>
    </row>
    <row r="33" spans="1:22" x14ac:dyDescent="0.3">
      <c r="A33" s="40" t="s">
        <v>92</v>
      </c>
      <c r="B33" s="41">
        <v>332.75</v>
      </c>
      <c r="C33" s="41">
        <v>327.41000000000003</v>
      </c>
      <c r="D33" s="41">
        <v>45.01</v>
      </c>
      <c r="E33" s="41">
        <v>6740</v>
      </c>
      <c r="F33" s="41">
        <v>1454</v>
      </c>
      <c r="G33" s="41">
        <v>6420.5</v>
      </c>
      <c r="H33" s="41">
        <v>15319.67</v>
      </c>
      <c r="I33" s="41"/>
      <c r="J33" s="41"/>
      <c r="K33" s="42">
        <f t="shared" si="2"/>
        <v>1.9360965597524715E-2</v>
      </c>
      <c r="L33" s="45">
        <f t="shared" si="3"/>
        <v>3.5555555555556321E-3</v>
      </c>
      <c r="M33" s="45">
        <f t="shared" si="4"/>
        <v>-1.0769230769230812E-2</v>
      </c>
      <c r="N33" s="45">
        <f t="shared" si="5"/>
        <v>5.2337998485472489E-3</v>
      </c>
      <c r="O33" s="45">
        <f t="shared" si="6"/>
        <v>1.2316010814058276E-2</v>
      </c>
      <c r="P33" s="45">
        <f t="shared" si="7"/>
        <v>5.5325034578146614E-3</v>
      </c>
      <c r="Q33" s="45">
        <f t="shared" si="8"/>
        <v>1.9126984126984128E-2</v>
      </c>
      <c r="S33" s="43" t="s">
        <v>153</v>
      </c>
      <c r="T33" s="43" t="s">
        <v>154</v>
      </c>
      <c r="U33">
        <v>0.96012739286634674</v>
      </c>
      <c r="V33">
        <f>1-U33</f>
        <v>3.9872607133653259E-2</v>
      </c>
    </row>
    <row r="34" spans="1:22" x14ac:dyDescent="0.3">
      <c r="A34" s="40" t="s">
        <v>93</v>
      </c>
      <c r="B34" s="41">
        <v>338.98</v>
      </c>
      <c r="C34" s="41">
        <v>326.48</v>
      </c>
      <c r="D34" s="41">
        <v>44.79</v>
      </c>
      <c r="E34" s="41">
        <v>6828</v>
      </c>
      <c r="F34" s="41">
        <v>1436.5</v>
      </c>
      <c r="G34" s="41">
        <v>6570</v>
      </c>
      <c r="H34" s="41">
        <v>15544.75</v>
      </c>
      <c r="I34" s="41"/>
      <c r="J34" s="41"/>
      <c r="K34" s="42">
        <f t="shared" si="2"/>
        <v>1.8722764838467371E-2</v>
      </c>
      <c r="L34" s="45">
        <f t="shared" si="3"/>
        <v>-2.840475245105546E-3</v>
      </c>
      <c r="M34" s="45">
        <f t="shared" si="4"/>
        <v>-4.8878027105087509E-3</v>
      </c>
      <c r="N34" s="45">
        <f t="shared" si="5"/>
        <v>5.4837276761498157E-3</v>
      </c>
      <c r="O34" s="45">
        <f t="shared" si="6"/>
        <v>1.3056379821958458E-2</v>
      </c>
      <c r="P34" s="45">
        <f t="shared" si="7"/>
        <v>-1.2035763411279229E-2</v>
      </c>
      <c r="Q34" s="45">
        <f t="shared" si="8"/>
        <v>2.3284790904135193E-2</v>
      </c>
      <c r="T34" s="43" t="s">
        <v>155</v>
      </c>
      <c r="U34">
        <f>SUMPRODUCT(U33:V33,U30:V30)</f>
        <v>0.13666231701466588</v>
      </c>
    </row>
    <row r="35" spans="1:22" x14ac:dyDescent="0.3">
      <c r="A35" s="40" t="s">
        <v>94</v>
      </c>
      <c r="B35" s="41">
        <v>343.34</v>
      </c>
      <c r="C35" s="41">
        <v>333.51</v>
      </c>
      <c r="D35" s="41">
        <v>44.66</v>
      </c>
      <c r="E35" s="41">
        <v>6806</v>
      </c>
      <c r="F35" s="41">
        <v>1518.5</v>
      </c>
      <c r="G35" s="41">
        <v>6724.5</v>
      </c>
      <c r="H35" s="41">
        <v>15770.51</v>
      </c>
      <c r="I35" s="41"/>
      <c r="J35" s="41"/>
      <c r="K35" s="42">
        <f t="shared" si="2"/>
        <v>1.2862115759041703E-2</v>
      </c>
      <c r="L35" s="45">
        <f t="shared" si="3"/>
        <v>2.1532712570448333E-2</v>
      </c>
      <c r="M35" s="45">
        <f t="shared" si="4"/>
        <v>-2.9024335789239243E-3</v>
      </c>
      <c r="N35" s="45">
        <f t="shared" si="5"/>
        <v>9.4735751503830078E-3</v>
      </c>
      <c r="O35" s="45">
        <f t="shared" si="6"/>
        <v>-3.2220269478617459E-3</v>
      </c>
      <c r="P35" s="45">
        <f t="shared" si="7"/>
        <v>5.7083188304907759E-2</v>
      </c>
      <c r="Q35" s="45">
        <f t="shared" si="8"/>
        <v>2.3515981735159817E-2</v>
      </c>
      <c r="T35" s="43" t="s">
        <v>156</v>
      </c>
      <c r="U35">
        <f>SQRT(U33^2*U31^2 + V33^2*V31^2 + 2*U33*V33*U31*V31*CORREL(N4:N47,P4:P47))</f>
        <v>5.6828740273930554E-2</v>
      </c>
    </row>
    <row r="36" spans="1:22" x14ac:dyDescent="0.3">
      <c r="A36" s="40" t="s">
        <v>95</v>
      </c>
      <c r="B36" s="41">
        <v>338.5</v>
      </c>
      <c r="C36" s="41">
        <v>326.99</v>
      </c>
      <c r="D36" s="41">
        <v>44.51</v>
      </c>
      <c r="E36" s="41">
        <v>6730</v>
      </c>
      <c r="F36" s="41">
        <v>1455</v>
      </c>
      <c r="G36" s="41">
        <v>6664</v>
      </c>
      <c r="H36" s="41">
        <v>15559</v>
      </c>
      <c r="I36" s="41"/>
      <c r="J36" s="41"/>
      <c r="K36" s="42">
        <f t="shared" si="2"/>
        <v>-1.4096813654103733E-2</v>
      </c>
      <c r="L36" s="45">
        <f t="shared" si="3"/>
        <v>-1.9549638691493454E-2</v>
      </c>
      <c r="M36" s="45">
        <f t="shared" si="4"/>
        <v>-3.3587102552619479E-3</v>
      </c>
      <c r="N36" s="45">
        <f t="shared" si="5"/>
        <v>-1.1681601010371563E-2</v>
      </c>
      <c r="O36" s="45">
        <f t="shared" si="6"/>
        <v>-1.1166617690273288E-2</v>
      </c>
      <c r="P36" s="45">
        <f t="shared" si="7"/>
        <v>-4.1817583141257823E-2</v>
      </c>
      <c r="Q36" s="45">
        <f t="shared" si="8"/>
        <v>-8.9969514462041791E-3</v>
      </c>
      <c r="T36" s="43" t="s">
        <v>157</v>
      </c>
      <c r="U36">
        <f>SUM(U33:V33)</f>
        <v>1</v>
      </c>
    </row>
    <row r="37" spans="1:22" x14ac:dyDescent="0.3">
      <c r="A37" s="40" t="s">
        <v>96</v>
      </c>
      <c r="B37" s="41">
        <v>334.5</v>
      </c>
      <c r="C37" s="41">
        <v>329.56</v>
      </c>
      <c r="D37" s="41">
        <v>44</v>
      </c>
      <c r="E37" s="41">
        <v>6678</v>
      </c>
      <c r="F37" s="41">
        <v>1463.5</v>
      </c>
      <c r="G37" s="41">
        <v>6600.5</v>
      </c>
      <c r="H37" s="41">
        <v>15450.06</v>
      </c>
      <c r="I37" s="41"/>
      <c r="J37" s="41"/>
      <c r="K37" s="42">
        <f t="shared" si="2"/>
        <v>-1.1816838995568686E-2</v>
      </c>
      <c r="L37" s="45">
        <f t="shared" si="3"/>
        <v>7.8595675708737055E-3</v>
      </c>
      <c r="M37" s="45">
        <f t="shared" si="4"/>
        <v>-1.1458099303527253E-2</v>
      </c>
      <c r="N37" s="45">
        <f t="shared" si="5"/>
        <v>-7.0435442003977632E-3</v>
      </c>
      <c r="O37" s="45">
        <f t="shared" si="6"/>
        <v>-7.7265973254086184E-3</v>
      </c>
      <c r="P37" s="45">
        <f t="shared" si="7"/>
        <v>5.8419243986254296E-3</v>
      </c>
      <c r="Q37" s="45">
        <f t="shared" si="8"/>
        <v>-9.5288115246098433E-3</v>
      </c>
    </row>
    <row r="38" spans="1:22" x14ac:dyDescent="0.3">
      <c r="A38" s="40" t="s">
        <v>97</v>
      </c>
      <c r="B38" s="41">
        <v>325.7</v>
      </c>
      <c r="C38" s="41">
        <v>326.92</v>
      </c>
      <c r="D38" s="41">
        <v>43.68</v>
      </c>
      <c r="E38" s="41">
        <v>6410</v>
      </c>
      <c r="F38" s="41">
        <v>1418</v>
      </c>
      <c r="G38" s="41">
        <v>6551</v>
      </c>
      <c r="H38" s="41">
        <v>15075.3</v>
      </c>
      <c r="I38" s="41"/>
      <c r="J38" s="41"/>
      <c r="K38" s="42">
        <f t="shared" si="2"/>
        <v>-2.6307922272047868E-2</v>
      </c>
      <c r="L38" s="45">
        <f t="shared" si="3"/>
        <v>-8.0106809078771286E-3</v>
      </c>
      <c r="M38" s="45">
        <f t="shared" si="4"/>
        <v>-7.2727272727272788E-3</v>
      </c>
      <c r="N38" s="45">
        <f t="shared" si="5"/>
        <v>-1.5418754939857539E-2</v>
      </c>
      <c r="O38" s="45">
        <f t="shared" si="6"/>
        <v>-4.0131775980832583E-2</v>
      </c>
      <c r="P38" s="45">
        <f t="shared" si="7"/>
        <v>-3.1089853091902972E-2</v>
      </c>
      <c r="Q38" s="45">
        <f t="shared" si="8"/>
        <v>-7.4994318612226349E-3</v>
      </c>
    </row>
    <row r="39" spans="1:22" x14ac:dyDescent="0.3">
      <c r="A39" s="40" t="s">
        <v>98</v>
      </c>
      <c r="B39" s="41">
        <v>335.3</v>
      </c>
      <c r="C39" s="41">
        <v>323.25</v>
      </c>
      <c r="D39" s="41">
        <v>44</v>
      </c>
      <c r="E39" s="41">
        <v>7020</v>
      </c>
      <c r="F39" s="41">
        <v>1405</v>
      </c>
      <c r="G39" s="41">
        <v>6605</v>
      </c>
      <c r="H39" s="41">
        <v>15732.55</v>
      </c>
      <c r="I39" s="41"/>
      <c r="J39" s="41"/>
      <c r="K39" s="42">
        <f t="shared" si="2"/>
        <v>2.9474976972674313E-2</v>
      </c>
      <c r="L39" s="45">
        <f t="shared" si="3"/>
        <v>-1.1225988009298958E-2</v>
      </c>
      <c r="M39" s="45">
        <f t="shared" si="4"/>
        <v>7.3260073260073329E-3</v>
      </c>
      <c r="N39" s="45">
        <f t="shared" si="5"/>
        <v>1.2217796130341192E-2</v>
      </c>
      <c r="O39" s="45">
        <f t="shared" si="6"/>
        <v>9.5163806552262087E-2</v>
      </c>
      <c r="P39" s="45">
        <f t="shared" si="7"/>
        <v>-9.1678420310296188E-3</v>
      </c>
      <c r="Q39" s="45">
        <f t="shared" si="8"/>
        <v>8.2430163333842166E-3</v>
      </c>
    </row>
    <row r="40" spans="1:22" x14ac:dyDescent="0.3">
      <c r="A40" s="40" t="s">
        <v>99</v>
      </c>
      <c r="B40" s="41">
        <v>340.59</v>
      </c>
      <c r="C40" s="41">
        <v>327.8</v>
      </c>
      <c r="D40" s="41">
        <v>43.85</v>
      </c>
      <c r="E40" s="41">
        <v>7018</v>
      </c>
      <c r="F40" s="41">
        <v>1416.5</v>
      </c>
      <c r="G40" s="41">
        <v>6702</v>
      </c>
      <c r="H40" s="41">
        <v>15848.74</v>
      </c>
      <c r="I40" s="41"/>
      <c r="J40" s="41"/>
      <c r="K40" s="42">
        <f t="shared" si="2"/>
        <v>1.5776916194452619E-2</v>
      </c>
      <c r="L40" s="45">
        <f t="shared" si="3"/>
        <v>1.4075792730085109E-2</v>
      </c>
      <c r="M40" s="45">
        <f t="shared" si="4"/>
        <v>-3.4090909090908768E-3</v>
      </c>
      <c r="N40" s="45">
        <f t="shared" si="5"/>
        <v>8.7574158886374667E-3</v>
      </c>
      <c r="O40" s="45">
        <f t="shared" si="6"/>
        <v>-2.8490028490028488E-4</v>
      </c>
      <c r="P40" s="45">
        <f t="shared" si="7"/>
        <v>8.1850533807829185E-3</v>
      </c>
      <c r="Q40" s="45">
        <f t="shared" si="8"/>
        <v>1.4685844057532173E-2</v>
      </c>
    </row>
    <row r="41" spans="1:22" x14ac:dyDescent="0.3">
      <c r="A41" s="40" t="s">
        <v>100</v>
      </c>
      <c r="B41" s="41">
        <v>343.47</v>
      </c>
      <c r="C41" s="41">
        <v>327.02</v>
      </c>
      <c r="D41" s="41">
        <v>44.5</v>
      </c>
      <c r="E41" s="41">
        <v>7132</v>
      </c>
      <c r="F41" s="41">
        <v>1414.5</v>
      </c>
      <c r="G41" s="41">
        <v>6801</v>
      </c>
      <c r="H41" s="41">
        <v>16062.49</v>
      </c>
      <c r="I41" s="41"/>
      <c r="J41" s="41"/>
      <c r="K41" s="42">
        <f t="shared" si="2"/>
        <v>8.4559147361932315E-3</v>
      </c>
      <c r="L41" s="45">
        <f t="shared" si="3"/>
        <v>-2.3794996949360265E-3</v>
      </c>
      <c r="M41" s="45">
        <f t="shared" si="4"/>
        <v>1.4823261117445806E-2</v>
      </c>
      <c r="N41" s="45">
        <f t="shared" si="5"/>
        <v>8.0916791853913456E-3</v>
      </c>
      <c r="O41" s="45">
        <f t="shared" si="6"/>
        <v>1.6243944143630663E-2</v>
      </c>
      <c r="P41" s="45">
        <f t="shared" si="7"/>
        <v>-1.4119308153900459E-3</v>
      </c>
      <c r="Q41" s="45">
        <f t="shared" si="8"/>
        <v>1.477170993733214E-2</v>
      </c>
    </row>
    <row r="42" spans="1:22" x14ac:dyDescent="0.3">
      <c r="A42" s="40" t="s">
        <v>101</v>
      </c>
      <c r="B42" s="41">
        <v>344.29</v>
      </c>
      <c r="C42" s="41">
        <v>325.44</v>
      </c>
      <c r="D42" s="41">
        <v>45.02</v>
      </c>
      <c r="E42" s="41">
        <v>7074</v>
      </c>
      <c r="F42" s="41">
        <v>1415</v>
      </c>
      <c r="G42" s="41">
        <v>6825</v>
      </c>
      <c r="H42" s="41">
        <v>16028.75</v>
      </c>
      <c r="I42" s="41"/>
      <c r="J42" s="41"/>
      <c r="K42" s="42">
        <f t="shared" si="2"/>
        <v>2.3873991906134249E-3</v>
      </c>
      <c r="L42" s="45">
        <f t="shared" si="3"/>
        <v>-4.8315087762215896E-3</v>
      </c>
      <c r="M42" s="45">
        <f t="shared" si="4"/>
        <v>1.1685393258427037E-2</v>
      </c>
      <c r="N42" s="45">
        <f t="shared" si="5"/>
        <v>3.8885702600638234E-3</v>
      </c>
      <c r="O42" s="45">
        <f t="shared" si="6"/>
        <v>-8.1323611890072919E-3</v>
      </c>
      <c r="P42" s="45">
        <f t="shared" si="7"/>
        <v>3.5348179568752211E-4</v>
      </c>
      <c r="Q42" s="45">
        <f t="shared" si="8"/>
        <v>3.5288928098808998E-3</v>
      </c>
    </row>
    <row r="43" spans="1:22" x14ac:dyDescent="0.3">
      <c r="A43" s="40" t="s">
        <v>102</v>
      </c>
      <c r="B43" s="41">
        <v>355.19</v>
      </c>
      <c r="C43" s="41">
        <v>331.68</v>
      </c>
      <c r="D43" s="41">
        <v>45.15</v>
      </c>
      <c r="E43" s="41">
        <v>7064</v>
      </c>
      <c r="F43" s="41">
        <v>1443</v>
      </c>
      <c r="G43" s="41">
        <v>6986</v>
      </c>
      <c r="H43" s="41">
        <v>16225.02</v>
      </c>
      <c r="I43" s="41"/>
      <c r="J43" s="41"/>
      <c r="K43" s="42">
        <f t="shared" si="2"/>
        <v>3.1659356937465438E-2</v>
      </c>
      <c r="L43" s="45">
        <f t="shared" si="3"/>
        <v>1.9174041297935131E-2</v>
      </c>
      <c r="M43" s="45">
        <f t="shared" si="4"/>
        <v>2.8876055086627154E-3</v>
      </c>
      <c r="N43" s="45">
        <f t="shared" si="5"/>
        <v>1.878528050079183E-2</v>
      </c>
      <c r="O43" s="45">
        <f t="shared" si="6"/>
        <v>-1.4136273678258412E-3</v>
      </c>
      <c r="P43" s="45">
        <f t="shared" si="7"/>
        <v>1.9787985865724382E-2</v>
      </c>
      <c r="Q43" s="45">
        <f t="shared" si="8"/>
        <v>2.3589743589743591E-2</v>
      </c>
    </row>
    <row r="44" spans="1:22" x14ac:dyDescent="0.3">
      <c r="A44" s="40" t="s">
        <v>103</v>
      </c>
      <c r="B44" s="41">
        <v>354.07</v>
      </c>
      <c r="C44" s="41">
        <v>329.3</v>
      </c>
      <c r="D44" s="41">
        <v>45.8</v>
      </c>
      <c r="E44" s="41">
        <v>6970</v>
      </c>
      <c r="F44" s="41">
        <v>1472</v>
      </c>
      <c r="G44" s="41">
        <v>6968</v>
      </c>
      <c r="H44" s="41">
        <v>16139.17</v>
      </c>
      <c r="I44" s="41"/>
      <c r="J44" s="41"/>
      <c r="K44" s="42">
        <f t="shared" si="2"/>
        <v>-3.1532419268560617E-3</v>
      </c>
      <c r="L44" s="45">
        <f t="shared" si="3"/>
        <v>-7.1755909310178348E-3</v>
      </c>
      <c r="M44" s="45">
        <f t="shared" si="4"/>
        <v>1.4396456256921342E-2</v>
      </c>
      <c r="N44" s="45">
        <f t="shared" si="5"/>
        <v>1.9494085255514922E-3</v>
      </c>
      <c r="O44" s="45">
        <f t="shared" si="6"/>
        <v>-1.3306908267270668E-2</v>
      </c>
      <c r="P44" s="45">
        <f t="shared" si="7"/>
        <v>2.0097020097020097E-2</v>
      </c>
      <c r="Q44" s="45">
        <f t="shared" si="8"/>
        <v>-2.576581734898368E-3</v>
      </c>
    </row>
    <row r="45" spans="1:22" x14ac:dyDescent="0.3">
      <c r="A45" s="40" t="s">
        <v>104</v>
      </c>
      <c r="B45" s="41">
        <v>360.88</v>
      </c>
      <c r="C45" s="41">
        <v>328.43</v>
      </c>
      <c r="D45" s="41">
        <v>45.69</v>
      </c>
      <c r="E45" s="41">
        <v>6850</v>
      </c>
      <c r="F45" s="41">
        <v>1449.5</v>
      </c>
      <c r="G45" s="41">
        <v>6992</v>
      </c>
      <c r="H45" s="41">
        <v>16026.5</v>
      </c>
      <c r="I45" s="41"/>
      <c r="J45" s="41"/>
      <c r="K45" s="42">
        <f t="shared" si="2"/>
        <v>1.9233484904115011E-2</v>
      </c>
      <c r="L45" s="45">
        <f t="shared" si="3"/>
        <v>-2.64196781050715E-3</v>
      </c>
      <c r="M45" s="45">
        <f t="shared" si="4"/>
        <v>-2.4017467248908173E-3</v>
      </c>
      <c r="N45" s="45">
        <f t="shared" si="5"/>
        <v>6.6019925217817056E-3</v>
      </c>
      <c r="O45" s="45">
        <f t="shared" si="6"/>
        <v>-1.721664275466284E-2</v>
      </c>
      <c r="P45" s="45">
        <f t="shared" si="7"/>
        <v>-1.5285326086956522E-2</v>
      </c>
      <c r="Q45" s="45">
        <f t="shared" si="8"/>
        <v>3.4443168771526979E-3</v>
      </c>
    </row>
    <row r="46" spans="1:22" x14ac:dyDescent="0.3">
      <c r="A46" s="40" t="s">
        <v>105</v>
      </c>
      <c r="B46" s="41">
        <v>360.8</v>
      </c>
      <c r="C46" s="41">
        <v>340.99</v>
      </c>
      <c r="D46" s="41">
        <v>45.62</v>
      </c>
      <c r="E46" s="41">
        <v>7000</v>
      </c>
      <c r="F46" s="41">
        <v>1454</v>
      </c>
      <c r="G46" s="41">
        <v>6903.5</v>
      </c>
      <c r="H46" s="41">
        <v>16104.91</v>
      </c>
      <c r="I46" s="41"/>
      <c r="J46" s="41"/>
      <c r="K46" s="42">
        <f t="shared" si="2"/>
        <v>-2.2168033695406806E-4</v>
      </c>
      <c r="L46" s="45">
        <f t="shared" si="3"/>
        <v>3.8242547879304575E-2</v>
      </c>
      <c r="M46" s="45">
        <f t="shared" si="4"/>
        <v>-1.5320639089516368E-3</v>
      </c>
      <c r="N46" s="45">
        <f t="shared" si="5"/>
        <v>8.415497141328377E-3</v>
      </c>
      <c r="O46" s="45">
        <f t="shared" si="6"/>
        <v>2.1897810218978103E-2</v>
      </c>
      <c r="P46" s="45">
        <f t="shared" si="7"/>
        <v>3.1045187995860641E-3</v>
      </c>
      <c r="Q46" s="45">
        <f t="shared" si="8"/>
        <v>-1.2657322654462242E-2</v>
      </c>
    </row>
    <row r="47" spans="1:22" x14ac:dyDescent="0.3">
      <c r="A47" s="40" t="s">
        <v>106</v>
      </c>
      <c r="B47" s="41">
        <v>363.25</v>
      </c>
      <c r="C47" s="41">
        <v>338.48</v>
      </c>
      <c r="D47" s="41">
        <v>45.21</v>
      </c>
      <c r="E47" s="41">
        <v>7168</v>
      </c>
      <c r="F47" s="41">
        <v>1464</v>
      </c>
      <c r="G47" s="41">
        <v>6987.5</v>
      </c>
      <c r="H47" s="41">
        <v>16366.44</v>
      </c>
      <c r="I47" s="41"/>
      <c r="J47" s="41"/>
      <c r="K47" s="42">
        <f t="shared" si="2"/>
        <v>6.7904656319290151E-3</v>
      </c>
      <c r="L47" s="45">
        <f t="shared" si="3"/>
        <v>-7.360919675063758E-3</v>
      </c>
      <c r="M47" s="45">
        <f t="shared" si="4"/>
        <v>-8.9872862779481946E-3</v>
      </c>
      <c r="N47" s="45">
        <f t="shared" si="5"/>
        <v>-1.9954927706721188E-3</v>
      </c>
      <c r="O47" s="45">
        <f t="shared" si="6"/>
        <v>2.4E-2</v>
      </c>
      <c r="P47" s="45">
        <f t="shared" si="7"/>
        <v>6.8775790921595595E-3</v>
      </c>
      <c r="Q47" s="45">
        <f t="shared" si="8"/>
        <v>1.2167741000941552E-2</v>
      </c>
    </row>
    <row r="48" spans="1:22" x14ac:dyDescent="0.3">
      <c r="A48" s="40" t="s">
        <v>61</v>
      </c>
      <c r="B48" s="41">
        <v>14204.199999999999</v>
      </c>
      <c r="C48" s="41">
        <v>14724.379999999997</v>
      </c>
      <c r="D48" s="41">
        <v>1991.13</v>
      </c>
      <c r="E48" s="41">
        <v>290814</v>
      </c>
      <c r="F48" s="41">
        <v>64529</v>
      </c>
      <c r="G48" s="41">
        <v>292386</v>
      </c>
      <c r="H48" s="41">
        <v>678648.71000000008</v>
      </c>
      <c r="I48" s="41"/>
      <c r="J48" s="41"/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4" zoomScale="85" zoomScaleNormal="85" workbookViewId="0">
      <selection activeCell="A25" sqref="A25:V27"/>
    </sheetView>
  </sheetViews>
  <sheetFormatPr defaultColWidth="9.109375" defaultRowHeight="14.4" x14ac:dyDescent="0.3"/>
  <cols>
    <col min="1" max="1" width="9.109375" style="1"/>
    <col min="2" max="2" width="11.109375" style="1" bestFit="1" customWidth="1"/>
    <col min="3" max="16384" width="9.109375" style="1"/>
  </cols>
  <sheetData>
    <row r="1" spans="1:22" x14ac:dyDescent="0.3">
      <c r="A1" s="54" t="s">
        <v>14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</row>
    <row r="2" spans="1:22" x14ac:dyDescent="0.3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</row>
    <row r="3" spans="1:22" x14ac:dyDescent="0.3">
      <c r="A3" s="51" t="s">
        <v>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</row>
    <row r="4" spans="1:22" x14ac:dyDescent="0.3">
      <c r="A4" s="51" t="s">
        <v>16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/>
    </row>
    <row r="5" spans="1:22" ht="18" x14ac:dyDescent="0.35">
      <c r="A5" s="60" t="s">
        <v>17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2"/>
    </row>
    <row r="6" spans="1:22" ht="15" thickBot="1" x14ac:dyDescent="0.35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</row>
    <row r="7" spans="1:22" x14ac:dyDescent="0.3">
      <c r="A7" s="66" t="s">
        <v>18</v>
      </c>
      <c r="B7" s="67"/>
      <c r="C7" s="67"/>
      <c r="D7" s="67"/>
      <c r="E7" s="67"/>
      <c r="F7" s="67"/>
      <c r="G7" s="67"/>
      <c r="H7" s="67"/>
      <c r="I7" s="67"/>
      <c r="J7" s="67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" thickBot="1" x14ac:dyDescent="0.35">
      <c r="A8" s="68"/>
      <c r="B8" s="69"/>
      <c r="C8" s="69"/>
      <c r="D8" s="69"/>
      <c r="E8" s="69"/>
      <c r="F8" s="69"/>
      <c r="G8" s="69"/>
      <c r="H8" s="69"/>
      <c r="I8" s="69"/>
      <c r="J8" s="69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3">
      <c r="A10" s="51" t="s">
        <v>21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/>
    </row>
    <row r="11" spans="1:22" ht="18" x14ac:dyDescent="0.35">
      <c r="A11" s="60" t="s">
        <v>22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2"/>
    </row>
    <row r="12" spans="1:22" ht="18" x14ac:dyDescent="0.35">
      <c r="A12" s="60" t="s">
        <v>23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/>
    </row>
    <row r="13" spans="1:22" ht="16.2" thickBot="1" x14ac:dyDescent="0.35">
      <c r="A13" s="70" t="s">
        <v>24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</row>
    <row r="14" spans="1:22" ht="16.2" thickBot="1" x14ac:dyDescent="0.3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6" x14ac:dyDescent="0.3">
      <c r="A15" s="73" t="s">
        <v>25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5"/>
    </row>
    <row r="16" spans="1:22" x14ac:dyDescent="0.3">
      <c r="A16" s="51" t="s">
        <v>26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</row>
    <row r="17" spans="1:26" ht="15" thickBot="1" x14ac:dyDescent="0.35">
      <c r="A17" s="88" t="s">
        <v>27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90"/>
    </row>
    <row r="18" spans="1:26" x14ac:dyDescent="0.3">
      <c r="A18" s="91"/>
      <c r="B18" s="92"/>
      <c r="C18" s="92"/>
      <c r="D18" s="92"/>
      <c r="E18" s="92"/>
      <c r="F18" s="92"/>
      <c r="G18" s="92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3">
      <c r="A19" s="93"/>
      <c r="B19" s="94"/>
      <c r="C19" s="94"/>
      <c r="D19" s="94"/>
      <c r="E19" s="94"/>
      <c r="F19" s="94"/>
      <c r="G19" s="94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" thickBot="1" x14ac:dyDescent="0.35">
      <c r="A20" s="88"/>
      <c r="B20" s="89"/>
      <c r="C20" s="89"/>
      <c r="D20" s="89"/>
      <c r="E20" s="89"/>
      <c r="F20" s="89"/>
      <c r="G20" s="89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3">
      <c r="A21" s="85" t="s">
        <v>37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/>
    </row>
    <row r="22" spans="1:26" x14ac:dyDescent="0.3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" thickBot="1" x14ac:dyDescent="0.35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3">
      <c r="A24" s="95" t="s">
        <v>46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7"/>
    </row>
    <row r="25" spans="1:26" x14ac:dyDescent="0.3">
      <c r="A25" s="98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100"/>
    </row>
    <row r="26" spans="1:26" x14ac:dyDescent="0.3">
      <c r="A26" s="98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100"/>
      <c r="Z26" s="29"/>
    </row>
    <row r="27" spans="1:26" ht="15" thickBot="1" x14ac:dyDescent="0.35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3"/>
    </row>
    <row r="28" spans="1:26" ht="15" thickBot="1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6" x14ac:dyDescent="0.3">
      <c r="A29" s="73" t="s">
        <v>25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5"/>
    </row>
    <row r="30" spans="1:26" x14ac:dyDescent="0.3">
      <c r="A30" s="51" t="s">
        <v>47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</row>
    <row r="31" spans="1:26" ht="15" thickBot="1" x14ac:dyDescent="0.35">
      <c r="A31" s="76" t="s">
        <v>48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8"/>
    </row>
    <row r="32" spans="1:26" x14ac:dyDescent="0.3">
      <c r="A32" s="79" t="s">
        <v>49</v>
      </c>
      <c r="B32" s="80"/>
      <c r="C32" s="80"/>
      <c r="D32" s="80"/>
      <c r="E32" s="80"/>
      <c r="F32" s="80"/>
      <c r="G32" s="80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3">
      <c r="A33" s="81"/>
      <c r="B33" s="82"/>
      <c r="C33" s="82"/>
      <c r="D33" s="82"/>
      <c r="E33" s="82"/>
      <c r="F33" s="82"/>
      <c r="G33" s="82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" thickBot="1" x14ac:dyDescent="0.35">
      <c r="A34" s="83"/>
      <c r="B34" s="84"/>
      <c r="C34" s="84"/>
      <c r="D34" s="84"/>
      <c r="E34" s="84"/>
      <c r="F34" s="84"/>
      <c r="G34" s="84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3">
      <c r="A35" s="85" t="s">
        <v>37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7"/>
    </row>
    <row r="36" spans="1:22" ht="15" thickBot="1" x14ac:dyDescent="0.35">
      <c r="A36" s="27" t="s">
        <v>53</v>
      </c>
      <c r="H36" s="1" t="s">
        <v>54</v>
      </c>
      <c r="P36" s="1" t="s">
        <v>55</v>
      </c>
      <c r="V36" s="28"/>
    </row>
    <row r="37" spans="1:22" x14ac:dyDescent="0.3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" thickBot="1" x14ac:dyDescent="0.35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topLeftCell="A4" zoomScale="140" zoomScaleNormal="140" workbookViewId="0">
      <selection sqref="A1:O1"/>
    </sheetView>
  </sheetViews>
  <sheetFormatPr defaultColWidth="9.109375" defaultRowHeight="14.4" x14ac:dyDescent="0.3"/>
  <cols>
    <col min="1" max="16384" width="9.109375" style="1"/>
  </cols>
  <sheetData>
    <row r="1" spans="1:15" ht="15" thickBot="1" x14ac:dyDescent="0.35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6"/>
    </row>
    <row r="2" spans="1:1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" thickBot="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3">
      <c r="A14" s="2"/>
      <c r="B14" s="3"/>
      <c r="C14" s="3"/>
      <c r="D14" s="3"/>
      <c r="E14" s="3"/>
      <c r="F14" s="3"/>
      <c r="G14" s="3"/>
      <c r="H14" s="3"/>
      <c r="I14" s="107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3">
      <c r="A15" s="2"/>
      <c r="B15" s="3"/>
      <c r="C15" s="3"/>
      <c r="D15" s="3"/>
      <c r="E15" s="3"/>
      <c r="F15" s="3"/>
      <c r="G15" s="3"/>
      <c r="H15" s="3"/>
      <c r="I15" s="108"/>
      <c r="J15" s="8" t="s">
        <v>4</v>
      </c>
      <c r="K15" s="3" t="s">
        <v>5</v>
      </c>
      <c r="L15" s="3"/>
      <c r="M15" s="9"/>
      <c r="N15" s="4"/>
      <c r="O15" s="4"/>
    </row>
    <row r="16" spans="1:15" x14ac:dyDescent="0.3">
      <c r="A16" s="2"/>
      <c r="B16" s="3"/>
      <c r="C16" s="3"/>
      <c r="D16" s="3"/>
      <c r="E16" s="3"/>
      <c r="F16" s="3"/>
      <c r="G16" s="3"/>
      <c r="H16" s="3"/>
      <c r="I16" s="108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3">
      <c r="A17" s="2"/>
      <c r="B17" s="3"/>
      <c r="C17" s="3"/>
      <c r="D17" s="3"/>
      <c r="E17" s="3"/>
      <c r="F17" s="3"/>
      <c r="G17" s="3"/>
      <c r="H17" s="3"/>
      <c r="I17" s="108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3">
      <c r="A18" s="2"/>
      <c r="B18" s="3"/>
      <c r="C18" s="3"/>
      <c r="D18" s="3"/>
      <c r="E18" s="3"/>
      <c r="F18" s="3"/>
      <c r="G18" s="3"/>
      <c r="H18" s="3"/>
      <c r="I18" s="108"/>
      <c r="J18" s="10" t="s">
        <v>10</v>
      </c>
      <c r="K18" s="3" t="s">
        <v>11</v>
      </c>
      <c r="L18" s="3"/>
      <c r="M18" s="3"/>
      <c r="N18" s="4"/>
      <c r="O18" s="4"/>
    </row>
    <row r="19" spans="1:20" ht="15" thickBot="1" x14ac:dyDescent="0.35">
      <c r="A19" s="2"/>
      <c r="B19" s="3"/>
      <c r="C19" s="3"/>
      <c r="D19" s="3"/>
      <c r="E19" s="3"/>
      <c r="F19" s="3"/>
      <c r="G19" s="3"/>
      <c r="H19" s="3"/>
      <c r="I19" s="109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3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" thickBot="1" x14ac:dyDescent="0.35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3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3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3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3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3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3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C1" sqref="C1"/>
    </sheetView>
  </sheetViews>
  <sheetFormatPr defaultRowHeight="14.4" x14ac:dyDescent="0.3"/>
  <cols>
    <col min="1" max="1" width="11.88671875" customWidth="1"/>
    <col min="2" max="2" width="50.33203125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tr" cm="1">
        <f t="array" aca="1" ref="B2" ca="1">LEFT(CELL("имяфайла"),FIND("\[", CELL("имяфайла") )) &amp; "Data\"</f>
        <v>C:\Users\myfri\Downloads\Д_Excel.Edited\Тема 5 Порфель\Data\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Задание</vt:lpstr>
      <vt:lpstr>Регр</vt:lpstr>
      <vt:lpstr>Лист1</vt:lpstr>
      <vt:lpstr>Data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2021-11-25T14:09:43Z</dcterms:modified>
</cp:coreProperties>
</file>