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Coding/tax_plotting/"/>
    </mc:Choice>
  </mc:AlternateContent>
  <xr:revisionPtr revIDLastSave="0" documentId="13_ncr:1_{EE3A1B40-9811-2B46-929E-A059DED239EA}" xr6:coauthVersionLast="47" xr6:coauthVersionMax="47" xr10:uidLastSave="{00000000-0000-0000-0000-000000000000}"/>
  <bookViews>
    <workbookView xWindow="4140" yWindow="3580" windowWidth="45800" windowHeight="21760" xr2:uid="{37E8024F-99F2-9441-9273-75D69B1A98E9}"/>
  </bookViews>
  <sheets>
    <sheet name="Summary" sheetId="6" r:id="rId1"/>
    <sheet name="Calculations - personal" sheetId="1" r:id="rId2"/>
    <sheet name="Calculations - business" sheetId="7" r:id="rId3"/>
    <sheet name="Bank profits analysi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7" l="1"/>
  <c r="A2" i="7" l="1"/>
  <c r="C26" i="7"/>
  <c r="C20" i="7"/>
  <c r="D7" i="7"/>
  <c r="C41" i="7"/>
  <c r="C35" i="7"/>
  <c r="D6" i="7"/>
  <c r="C17" i="5"/>
  <c r="B17" i="5"/>
  <c r="C14" i="5"/>
  <c r="C15" i="5" s="1"/>
  <c r="B14" i="5"/>
  <c r="B15" i="5" s="1"/>
  <c r="J52" i="1"/>
  <c r="D26" i="1"/>
  <c r="F26" i="1" s="1"/>
  <c r="D25" i="1"/>
  <c r="F25" i="1" s="1"/>
  <c r="F27" i="1" s="1"/>
  <c r="E65" i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F90" i="1"/>
  <c r="F91" i="1"/>
  <c r="F92" i="1"/>
  <c r="F93" i="1"/>
  <c r="F70" i="1"/>
  <c r="H70" i="1" s="1"/>
  <c r="I55" i="1"/>
  <c r="J55" i="1" s="1"/>
  <c r="I54" i="1"/>
  <c r="J54" i="1" s="1"/>
  <c r="I53" i="1"/>
  <c r="J53" i="1" s="1"/>
  <c r="J56" i="1" s="1"/>
  <c r="E35" i="1"/>
  <c r="F35" i="1" s="1"/>
  <c r="D47" i="1"/>
  <c r="E47" i="1" s="1"/>
  <c r="F47" i="1" s="1"/>
  <c r="E36" i="1"/>
  <c r="F36" i="1" s="1"/>
  <c r="B18" i="5" l="1"/>
  <c r="C18" i="5"/>
  <c r="G90" i="1"/>
  <c r="G89" i="1"/>
  <c r="G92" i="1"/>
  <c r="H92" i="1" s="1"/>
  <c r="H90" i="1"/>
  <c r="G91" i="1"/>
  <c r="H91" i="1" s="1"/>
  <c r="G93" i="1"/>
  <c r="H93" i="1" s="1"/>
  <c r="H89" i="1"/>
  <c r="E37" i="1"/>
  <c r="F37" i="1"/>
  <c r="G37" i="1" l="1"/>
  <c r="H94" i="1"/>
  <c r="A6" i="1"/>
</calcChain>
</file>

<file path=xl/sharedStrings.xml><?xml version="1.0" encoding="utf-8"?>
<sst xmlns="http://schemas.openxmlformats.org/spreadsheetml/2006/main" count="142" uniqueCount="122">
  <si>
    <t>https://www.gov.uk/government/statistics/direct-effects-of-illustrative-tax-changes/direct-effects-of-illustrative-tax-changes-bulletin-january-2023</t>
  </si>
  <si>
    <t>Scrap VAT on energy bills</t>
  </si>
  <si>
    <t>source:</t>
  </si>
  <si>
    <t>https://www.gov.uk/government/statistics/main-tax-expenditures-and-structural-reliefs</t>
  </si>
  <si>
    <t>TOTAL</t>
  </si>
  <si>
    <t>Manifesto: https://www.reformparty.uk/economy-personal</t>
  </si>
  <si>
    <t>Lower fuel duty by 20p per litre</t>
  </si>
  <si>
    <t>https://www.racfoundation.org/data/volume-petrol-diesel-consumed-uk-over-time-by-year</t>
  </si>
  <si>
    <t>sold (nb litres)</t>
  </si>
  <si>
    <t>Petrol</t>
  </si>
  <si>
    <t>Diesel</t>
  </si>
  <si>
    <t>Unclear if includes red diesel, taxed at much lower rate</t>
  </si>
  <si>
    <t>https://obr.uk/forecasts-in-depth/tax-by-tax-spend-by-spend/fuel-duties/</t>
  </si>
  <si>
    <t>OBB figures</t>
  </si>
  <si>
    <t>Total revenue (bn)</t>
  </si>
  <si>
    <t>current rates</t>
  </si>
  <si>
    <t>https://www.gov.uk/government/publications/fuel-duty-extending-the-temporary-cut-in-rates-to-march-2025/extension-to-the-cut-in-fuel-duty-rates-to-march-2025</t>
  </si>
  <si>
    <t>value of duty cut</t>
  </si>
  <si>
    <t>lost VAT</t>
  </si>
  <si>
    <t>Duty cut</t>
  </si>
  <si>
    <t>VAT</t>
  </si>
  <si>
    <t>using RAC figures</t>
  </si>
  <si>
    <t>cost per % (m)</t>
  </si>
  <si>
    <t>So we have to use other approaches</t>
  </si>
  <si>
    <t>Up to £750k</t>
  </si>
  <si>
    <t>Up to £1.5m</t>
  </si>
  <si>
    <t>Over £1.5m</t>
  </si>
  <si>
    <t>Up to £250k</t>
  </si>
  <si>
    <t>Up to £925k</t>
  </si>
  <si>
    <t>Current bands</t>
  </si>
  <si>
    <t>Propsoed bands</t>
  </si>
  <si>
    <t>Proposed rates</t>
  </si>
  <si>
    <t>Current rates</t>
  </si>
  <si>
    <t>source</t>
  </si>
  <si>
    <t>Total cost</t>
  </si>
  <si>
    <t>This inccrease in nil rate band  is too great for the HMRC "ready reckoner" to work</t>
  </si>
  <si>
    <t>https://www.gov.uk/government/statistics/table-121-estates-notified-to-hmrc-numbers-and-tax-due</t>
  </si>
  <si>
    <t>Net estate (lower limits) [Note 1]</t>
  </si>
  <si>
    <t>2020 to 2021 number taxed</t>
  </si>
  <si>
    <t>2020 to 2021 tax due (£ million) [Note 2]</t>
  </si>
  <si>
    <t>Inheritance tax - £2m exemption</t>
  </si>
  <si>
    <t>Reform</t>
  </si>
  <si>
    <t>2024 money (£m)</t>
  </si>
  <si>
    <t>Flat benefit once over threshold:</t>
  </si>
  <si>
    <t>Revenue reduction</t>
  </si>
  <si>
    <t>Using the HMRC ready reckoner</t>
  </si>
  <si>
    <t>Checking this with other data:</t>
  </si>
  <si>
    <t>% cut proposed</t>
  </si>
  <si>
    <t>HMRC estimate of cost per 1%</t>
  </si>
  <si>
    <t>Total cost(£bn)</t>
  </si>
  <si>
    <t>Adjust to reflect bands</t>
  </si>
  <si>
    <t>Increase personal allowance and higher rate threshold</t>
  </si>
  <si>
    <t>See text for explanation</t>
  </si>
  <si>
    <t>Sources</t>
  </si>
  <si>
    <t>bank levy</t>
  </si>
  <si>
    <t>https://obr.uk/forecasts-in-depth/tax-by-tax-spend-by-spend/bank-levy/</t>
  </si>
  <si>
    <t>Bank surcharge and CT</t>
  </si>
  <si>
    <t>https://www.gov.uk/government/statistics/corporation-tax-statistics-2023</t>
  </si>
  <si>
    <t>all figures in £ billion (nominal)</t>
  </si>
  <si>
    <t>estimates</t>
  </si>
  <si>
    <t>2023-24</t>
  </si>
  <si>
    <t>2024-25</t>
  </si>
  <si>
    <t>CT rate</t>
  </si>
  <si>
    <t>Surcharge</t>
  </si>
  <si>
    <t>Bank surcharge</t>
  </si>
  <si>
    <t>Corporation tax on banks (est)</t>
  </si>
  <si>
    <t>Total bank taxes</t>
  </si>
  <si>
    <t>est bank UK profits before tax</t>
  </si>
  <si>
    <t>est bank UK profits after tax</t>
  </si>
  <si>
    <t>Cut stamp duty</t>
  </si>
  <si>
    <t>£68bn</t>
  </si>
  <si>
    <t>£8bn</t>
  </si>
  <si>
    <t>£9bn</t>
  </si>
  <si>
    <t>£3bn</t>
  </si>
  <si>
    <t>Increase inheritance tax exemption</t>
  </si>
  <si>
    <t>£5bn</t>
  </si>
  <si>
    <t>﻿</t>
  </si>
  <si>
    <t>£93bn</t>
  </si>
  <si>
    <t>Increase IT personal allowance and higher rate threshold</t>
  </si>
  <si>
    <t>Our estimate</t>
  </si>
  <si>
    <t>Reform UK figure</t>
  </si>
  <si>
    <t>£70bn</t>
  </si>
  <si>
    <t>Lift the minimum profit threshold to £100k.</t>
  </si>
  <si>
    <t>Reduce the main Corporation Tax Rate from 25% to 20%</t>
  </si>
  <si>
    <t>ready reckoner</t>
  </si>
  <si>
    <t>original costing from 2021</t>
  </si>
  <si>
    <t>Lift VAT threshold to £120,000</t>
  </si>
  <si>
    <t>Increasing from £85k to £90k cost, for 2025/26:</t>
  </si>
  <si>
    <t>https://www.gov.uk/government/publications/vat-increasing-the-registration-and-deregistration-thresholds/increasing-the-vat-registration-threshold#:~:text=The%20VAT%20registration%20and%20deregistration,%C2%A385%2C000%20to%20%C2%A390%2C000.</t>
  </si>
  <si>
    <t>First estimate:</t>
  </si>
  <si>
    <t>Second estimate:</t>
  </si>
  <si>
    <t>Total VAT paid by companies with turnover between £85k and £150k</t>
  </si>
  <si>
    <t>https://www.gov.uk/government/statistics/value-added-tax-vat-annual-statistics</t>
  </si>
  <si>
    <t>table T5b</t>
  </si>
  <si>
    <t>extrapolating this figure to an increase to £120k</t>
  </si>
  <si>
    <t>pro-rating this figure to reflect £120k threshold</t>
  </si>
  <si>
    <t>Abolish IR35</t>
  </si>
  <si>
    <t>https://www.gov.uk/government/publications/autumn-statement-2022-documents/autumn-statement-2022-html</t>
  </si>
  <si>
    <t>In 2021/2022 profit of £100k meant tax of £20k</t>
  </si>
  <si>
    <t>But cannot assess proposal because no policy detail.</t>
  </si>
  <si>
    <t>Measure affects all companies with profits of £50-100k. How many are there?</t>
  </si>
  <si>
    <t>We have stats for 2021/22. In those years, profits between £50-100k meant CT of £10-20k</t>
  </si>
  <si>
    <t>those with CT between £10-50k paid  (m)</t>
  </si>
  <si>
    <t>Inflation from 2021/22 to 2025/26 (estimated; figure to April 2024 is 20%)</t>
  </si>
  <si>
    <t>If we assume linearity, that implies CT from companies with tax of £10-20k (and therefore £50-100k profit) was</t>
  </si>
  <si>
    <t>also:</t>
  </si>
  <si>
    <t>Hence estimated cost of cutting CT for these companies from 20% to 19% will be. (m)</t>
  </si>
  <si>
    <t>Lower bound estimate (due to lack of policy detail)</t>
  </si>
  <si>
    <t>But this excludes the very significant cost of abolishing IR35 itself</t>
  </si>
  <si>
    <t>off-payroll rules private sector</t>
  </si>
  <si>
    <t>off-payroll rules public sector</t>
  </si>
  <si>
    <t>https://www.gov.uk/government/publications/off-payroll-working-in-the-public-sector-reform-of-the-intermediaries-legislation/off-payroll-working-in-the-public-sector-reform-of-the-intermediaries-legislation#:~:text=The%20off%2Dpayroll%20rules%20(often,intermediary%20that%20they%20work%20through.</t>
  </si>
  <si>
    <t>Personal tax measure</t>
  </si>
  <si>
    <t>Business tax measure</t>
  </si>
  <si>
    <t>£18bn</t>
  </si>
  <si>
    <t>£14.2bn</t>
  </si>
  <si>
    <t>Lift the minimum profit threshold to £100k</t>
  </si>
  <si>
    <t>£100m</t>
  </si>
  <si>
    <t>£1.1bn</t>
  </si>
  <si>
    <t>Abolish IR35 - but this estimate covers enforcement change only</t>
  </si>
  <si>
    <t>more than £1.8bn</t>
  </si>
  <si>
    <t>over £17.2bn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</si>
</sst>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  <numFmt numFmtId="167" formatCode="0.0"/>
    <numFmt numFmtId="169" formatCode="&quot;£&quot;#,##0.0_);[Red]\(&quot;£&quot;#,##0.0\)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2"/>
      <color rgb="FF0B0C0C"/>
      <name val="Arial"/>
      <family val="2"/>
    </font>
    <font>
      <sz val="12"/>
      <color rgb="FF0B0C0C"/>
      <name val="Arial"/>
      <family val="2"/>
    </font>
    <font>
      <sz val="12"/>
      <color theme="1"/>
      <name val="Aptos Narrow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  <xf numFmtId="0" fontId="3" fillId="0" borderId="0" xfId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7" fillId="0" borderId="2" xfId="0" applyNumberFormat="1" applyFont="1" applyBorder="1"/>
    <xf numFmtId="3" fontId="7" fillId="0" borderId="2" xfId="0" applyNumberFormat="1" applyFont="1" applyBorder="1" applyAlignment="1">
      <alignment horizontal="right"/>
    </xf>
    <xf numFmtId="6" fontId="6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9" fillId="0" borderId="0" xfId="0" applyFont="1"/>
    <xf numFmtId="0" fontId="10" fillId="0" borderId="0" xfId="0" applyFont="1"/>
    <xf numFmtId="169" fontId="1" fillId="0" borderId="0" xfId="0" applyNumberFormat="1" applyFont="1"/>
    <xf numFmtId="166" fontId="7" fillId="2" borderId="3" xfId="0" applyNumberFormat="1" applyFont="1" applyFill="1" applyBorder="1" applyAlignment="1">
      <alignment horizontal="right"/>
    </xf>
    <xf numFmtId="166" fontId="6" fillId="0" borderId="0" xfId="0" applyNumberFormat="1" applyFont="1"/>
    <xf numFmtId="9" fontId="1" fillId="0" borderId="0" xfId="0" applyNumberFormat="1" applyFont="1"/>
    <xf numFmtId="9" fontId="6" fillId="0" borderId="0" xfId="0" applyNumberFormat="1" applyFont="1"/>
    <xf numFmtId="0" fontId="12" fillId="0" borderId="0" xfId="0" applyFont="1"/>
    <xf numFmtId="0" fontId="11" fillId="0" borderId="4" xfId="0" applyFont="1" applyBorder="1"/>
  </cellXfs>
  <cellStyles count="3">
    <cellStyle name="Hyperlink" xfId="1" builtinId="8"/>
    <cellStyle name="Normal" xfId="0" builtinId="0"/>
    <cellStyle name="Normal 2" xfId="2" xr:uid="{5AF2B4D6-B90B-EF42-B5EE-62B7BBFC7D02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07C64-66A1-824E-AAF4-9269697BD4BB}" name="Table1" displayName="Table1" ref="A3:C9" totalsRowShown="0" headerRowDxfId="0" dataDxfId="9">
  <tableColumns count="3">
    <tableColumn id="1" xr3:uid="{0F10AC3B-A88D-B04B-A580-76951BEDF1B3}" name="Personal tax measure" dataDxfId="8"/>
    <tableColumn id="2" xr3:uid="{046434D5-605C-3B41-A10C-3F3CCB130431}" name="Our estimate" dataDxfId="7"/>
    <tableColumn id="3" xr3:uid="{5F343F97-2611-E843-8B21-4D2F998F9986}" name="Reform UK figure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A11BB-8F04-1E42-9DC8-D235F2FD0516}" name="Table13" displayName="Table13" ref="A16:C22" totalsRowShown="0" headerRowDxfId="1" dataDxfId="5">
  <tableColumns count="3">
    <tableColumn id="1" xr3:uid="{E3101EA9-1354-2D42-9126-0326E0F63538}" name="Business tax measure" dataDxfId="4"/>
    <tableColumn id="2" xr3:uid="{B658B82C-6445-4246-B0EE-6CA5670FE125}" name="Our estimate" dataDxfId="3"/>
    <tableColumn id="3" xr3:uid="{62E31063-4A75-B347-AA37-5C5CAF85C5D0}" name="Reform UK figure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uel-duty-extending-the-temporary-cut-in-rates-to-march-2025/extension-to-the-cut-in-fuel-duty-rates-to-march-20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off-payroll-working-in-the-public-sector-reform-of-the-intermediaries-legislation/off-payroll-working-in-the-public-sector-reform-of-the-intermediaries-legislation" TargetMode="External"/><Relationship Id="rId1" Type="http://schemas.openxmlformats.org/officeDocument/2006/relationships/hyperlink" Target="https://www.gov.uk/government/publications/autumn-statement-2022-documents/autumn-statement-2022-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94CF-2D8A-C542-ADD7-5724C9A476BF}">
  <dimension ref="A3:C73"/>
  <sheetViews>
    <sheetView tabSelected="1" workbookViewId="0">
      <selection activeCell="A12" sqref="A12"/>
    </sheetView>
  </sheetViews>
  <sheetFormatPr baseColWidth="10" defaultRowHeight="16" x14ac:dyDescent="0.2"/>
  <cols>
    <col min="1" max="1" width="89.83203125" customWidth="1"/>
    <col min="2" max="2" width="28.33203125" customWidth="1"/>
    <col min="3" max="3" width="33.1640625" customWidth="1"/>
  </cols>
  <sheetData>
    <row r="3" spans="1:3" ht="23" x14ac:dyDescent="0.25">
      <c r="A3" s="33" t="s">
        <v>112</v>
      </c>
      <c r="B3" s="33" t="s">
        <v>79</v>
      </c>
      <c r="C3" s="33" t="s">
        <v>80</v>
      </c>
    </row>
    <row r="4" spans="1:3" ht="23" x14ac:dyDescent="0.25">
      <c r="A4" s="27" t="s">
        <v>78</v>
      </c>
      <c r="B4" s="27" t="s">
        <v>70</v>
      </c>
      <c r="C4" s="27"/>
    </row>
    <row r="5" spans="1:3" ht="23" x14ac:dyDescent="0.25">
      <c r="A5" s="27" t="s">
        <v>1</v>
      </c>
      <c r="B5" s="27" t="s">
        <v>71</v>
      </c>
      <c r="C5" s="27"/>
    </row>
    <row r="6" spans="1:3" ht="23" x14ac:dyDescent="0.25">
      <c r="A6" s="27" t="s">
        <v>6</v>
      </c>
      <c r="B6" s="27" t="s">
        <v>72</v>
      </c>
      <c r="C6" s="27"/>
    </row>
    <row r="7" spans="1:3" ht="23" x14ac:dyDescent="0.25">
      <c r="A7" s="27" t="s">
        <v>69</v>
      </c>
      <c r="B7" s="27" t="s">
        <v>73</v>
      </c>
      <c r="C7" s="27"/>
    </row>
    <row r="8" spans="1:3" ht="24" thickBot="1" x14ac:dyDescent="0.3">
      <c r="A8" s="27" t="s">
        <v>74</v>
      </c>
      <c r="B8" s="27" t="s">
        <v>75</v>
      </c>
      <c r="C8" s="27"/>
    </row>
    <row r="9" spans="1:3" ht="24" thickTop="1" x14ac:dyDescent="0.25">
      <c r="A9" s="27" t="s">
        <v>76</v>
      </c>
      <c r="B9" s="34" t="s">
        <v>77</v>
      </c>
      <c r="C9" s="34" t="s">
        <v>81</v>
      </c>
    </row>
    <row r="16" spans="1:3" ht="23" x14ac:dyDescent="0.25">
      <c r="A16" s="33" t="s">
        <v>113</v>
      </c>
      <c r="B16" s="33" t="s">
        <v>79</v>
      </c>
      <c r="C16" s="33" t="s">
        <v>80</v>
      </c>
    </row>
    <row r="17" spans="1:3" ht="23" x14ac:dyDescent="0.25">
      <c r="A17" s="26" t="s">
        <v>83</v>
      </c>
      <c r="B17" s="26" t="s">
        <v>115</v>
      </c>
      <c r="C17" s="27"/>
    </row>
    <row r="18" spans="1:3" ht="23" x14ac:dyDescent="0.25">
      <c r="A18" s="26" t="s">
        <v>116</v>
      </c>
      <c r="B18" s="26" t="s">
        <v>117</v>
      </c>
      <c r="C18" s="27"/>
    </row>
    <row r="19" spans="1:3" ht="23" x14ac:dyDescent="0.25">
      <c r="A19" s="26" t="s">
        <v>86</v>
      </c>
      <c r="B19" s="26" t="s">
        <v>118</v>
      </c>
      <c r="C19" s="27"/>
    </row>
    <row r="20" spans="1:3" ht="23" x14ac:dyDescent="0.25">
      <c r="A20" s="26" t="s">
        <v>119</v>
      </c>
      <c r="B20" s="26" t="s">
        <v>120</v>
      </c>
      <c r="C20" s="27"/>
    </row>
    <row r="21" spans="1:3" ht="24" thickBot="1" x14ac:dyDescent="0.3">
      <c r="A21" s="27"/>
      <c r="B21" s="27"/>
      <c r="C21" s="27"/>
    </row>
    <row r="22" spans="1:3" ht="24" thickTop="1" x14ac:dyDescent="0.25">
      <c r="A22" s="27" t="s">
        <v>76</v>
      </c>
      <c r="B22" s="34" t="s">
        <v>121</v>
      </c>
      <c r="C22" s="34" t="s">
        <v>114</v>
      </c>
    </row>
    <row r="33" spans="1:1" x14ac:dyDescent="0.2">
      <c r="A33" s="4"/>
    </row>
    <row r="35" spans="1:1" x14ac:dyDescent="0.2">
      <c r="A35" s="28"/>
    </row>
    <row r="40" spans="1:1" x14ac:dyDescent="0.2">
      <c r="A40" s="4"/>
    </row>
    <row r="41" spans="1:1" x14ac:dyDescent="0.2">
      <c r="A41" s="28"/>
    </row>
    <row r="42" spans="1:1" x14ac:dyDescent="0.2">
      <c r="A42" s="4"/>
    </row>
    <row r="58" spans="1:1" x14ac:dyDescent="0.2">
      <c r="A58" s="4"/>
    </row>
    <row r="59" spans="1:1" x14ac:dyDescent="0.2">
      <c r="A59" s="28"/>
    </row>
    <row r="72" spans="1:1" x14ac:dyDescent="0.2">
      <c r="A72" s="4"/>
    </row>
    <row r="73" spans="1:1" x14ac:dyDescent="0.2">
      <c r="A73" s="28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CFFB-24DC-EA43-B576-33C82E05DB25}">
  <dimension ref="A3:J94"/>
  <sheetViews>
    <sheetView topLeftCell="A60" workbookViewId="0">
      <selection activeCell="A98" sqref="A98"/>
    </sheetView>
  </sheetViews>
  <sheetFormatPr baseColWidth="10" defaultRowHeight="16" x14ac:dyDescent="0.2"/>
  <cols>
    <col min="2" max="2" width="24.33203125" customWidth="1"/>
    <col min="3" max="3" width="16" customWidth="1"/>
    <col min="5" max="5" width="23.6640625" customWidth="1"/>
    <col min="6" max="6" width="20" customWidth="1"/>
    <col min="7" max="7" width="21.5" customWidth="1"/>
  </cols>
  <sheetData>
    <row r="3" spans="1:4" x14ac:dyDescent="0.2">
      <c r="A3" t="s">
        <v>5</v>
      </c>
    </row>
    <row r="5" spans="1:4" x14ac:dyDescent="0.2">
      <c r="A5" s="4" t="s">
        <v>4</v>
      </c>
    </row>
    <row r="6" spans="1:4" x14ac:dyDescent="0.2">
      <c r="A6" s="6">
        <f>SUM(A7:A171)</f>
        <v>93</v>
      </c>
    </row>
    <row r="10" spans="1:4" x14ac:dyDescent="0.2">
      <c r="A10" s="4" t="s">
        <v>51</v>
      </c>
    </row>
    <row r="11" spans="1:4" x14ac:dyDescent="0.2">
      <c r="A11" s="6">
        <v>68</v>
      </c>
      <c r="D11" s="23" t="s">
        <v>52</v>
      </c>
    </row>
    <row r="12" spans="1:4" x14ac:dyDescent="0.2">
      <c r="A12" s="6"/>
      <c r="D12" s="8"/>
    </row>
    <row r="13" spans="1:4" x14ac:dyDescent="0.2">
      <c r="A13" s="6"/>
      <c r="D13" s="8"/>
    </row>
    <row r="14" spans="1:4" x14ac:dyDescent="0.2">
      <c r="A14" s="6"/>
      <c r="D14" s="8"/>
    </row>
    <row r="16" spans="1:4" x14ac:dyDescent="0.2">
      <c r="A16" s="4" t="s">
        <v>1</v>
      </c>
    </row>
    <row r="17" spans="1:6" x14ac:dyDescent="0.2">
      <c r="A17" s="8">
        <v>8</v>
      </c>
      <c r="D17" t="s">
        <v>2</v>
      </c>
      <c r="E17" t="s">
        <v>3</v>
      </c>
    </row>
    <row r="20" spans="1:6" x14ac:dyDescent="0.2">
      <c r="A20" s="4" t="s">
        <v>6</v>
      </c>
    </row>
    <row r="21" spans="1:6" x14ac:dyDescent="0.2">
      <c r="A21" s="6">
        <v>9</v>
      </c>
      <c r="C21" t="s">
        <v>45</v>
      </c>
    </row>
    <row r="22" spans="1:6" x14ac:dyDescent="0.2">
      <c r="C22" t="s">
        <v>0</v>
      </c>
    </row>
    <row r="24" spans="1:6" x14ac:dyDescent="0.2">
      <c r="D24" s="4" t="s">
        <v>47</v>
      </c>
      <c r="E24" s="4" t="s">
        <v>48</v>
      </c>
      <c r="F24" s="4" t="s">
        <v>49</v>
      </c>
    </row>
    <row r="25" spans="1:6" x14ac:dyDescent="0.2">
      <c r="C25" t="s">
        <v>9</v>
      </c>
      <c r="D25" s="14">
        <f>0.2/0.58</f>
        <v>0.34482758620689657</v>
      </c>
      <c r="E25">
        <v>95</v>
      </c>
      <c r="F25" s="2">
        <f>E25*D25*100/1000</f>
        <v>3.2758620689655173</v>
      </c>
    </row>
    <row r="26" spans="1:6" x14ac:dyDescent="0.2">
      <c r="C26" t="s">
        <v>10</v>
      </c>
      <c r="D26" s="14">
        <f>0.2/0.58</f>
        <v>0.34482758620689657</v>
      </c>
      <c r="E26">
        <v>165</v>
      </c>
      <c r="F26" s="2">
        <f>E26*D26*100/1000</f>
        <v>5.6896551724137936</v>
      </c>
    </row>
    <row r="27" spans="1:6" x14ac:dyDescent="0.2">
      <c r="F27" s="11">
        <f>SUM(F25:F26)</f>
        <v>8.9655172413793114</v>
      </c>
    </row>
    <row r="30" spans="1:6" x14ac:dyDescent="0.2">
      <c r="C30" s="4" t="s">
        <v>46</v>
      </c>
    </row>
    <row r="32" spans="1:6" x14ac:dyDescent="0.2">
      <c r="C32" s="4" t="s">
        <v>21</v>
      </c>
      <c r="F32" t="s">
        <v>7</v>
      </c>
    </row>
    <row r="34" spans="3:7" x14ac:dyDescent="0.2">
      <c r="D34" s="4" t="s">
        <v>8</v>
      </c>
      <c r="E34" s="4" t="s">
        <v>17</v>
      </c>
      <c r="F34" s="4" t="s">
        <v>18</v>
      </c>
      <c r="G34" s="4" t="s">
        <v>4</v>
      </c>
    </row>
    <row r="35" spans="3:7" x14ac:dyDescent="0.2">
      <c r="C35" t="s">
        <v>9</v>
      </c>
      <c r="D35">
        <v>17</v>
      </c>
      <c r="E35" s="1">
        <f>D35*0.2</f>
        <v>3.4000000000000004</v>
      </c>
      <c r="F35" s="1">
        <f>E35*0.2</f>
        <v>0.68000000000000016</v>
      </c>
    </row>
    <row r="36" spans="3:7" x14ac:dyDescent="0.2">
      <c r="C36" t="s">
        <v>10</v>
      </c>
      <c r="D36">
        <v>29</v>
      </c>
      <c r="E36" s="1">
        <f>D36*0.2*1.2</f>
        <v>6.9600000000000009</v>
      </c>
      <c r="F36" s="1">
        <f>E36*0.2*1.2</f>
        <v>1.6704000000000003</v>
      </c>
    </row>
    <row r="37" spans="3:7" x14ac:dyDescent="0.2">
      <c r="E37" s="5">
        <f>SUM(E35:E36)</f>
        <v>10.360000000000001</v>
      </c>
      <c r="F37" s="5">
        <f>SUM(F35:F36)</f>
        <v>2.3504000000000005</v>
      </c>
      <c r="G37" s="5">
        <f>F37+E37</f>
        <v>12.710400000000002</v>
      </c>
    </row>
    <row r="39" spans="3:7" x14ac:dyDescent="0.2">
      <c r="C39" t="s">
        <v>11</v>
      </c>
    </row>
    <row r="42" spans="3:7" x14ac:dyDescent="0.2">
      <c r="C42" s="4" t="s">
        <v>13</v>
      </c>
    </row>
    <row r="43" spans="3:7" x14ac:dyDescent="0.2">
      <c r="D43" t="s">
        <v>12</v>
      </c>
    </row>
    <row r="44" spans="3:7" x14ac:dyDescent="0.2">
      <c r="C44" t="s">
        <v>15</v>
      </c>
      <c r="D44" s="10" t="s">
        <v>16</v>
      </c>
    </row>
    <row r="46" spans="3:7" x14ac:dyDescent="0.2">
      <c r="C46" s="4" t="s">
        <v>14</v>
      </c>
      <c r="D46" s="4" t="s">
        <v>19</v>
      </c>
      <c r="E46" s="4" t="s">
        <v>20</v>
      </c>
      <c r="F46" s="4" t="s">
        <v>4</v>
      </c>
    </row>
    <row r="47" spans="3:7" x14ac:dyDescent="0.2">
      <c r="C47" s="7">
        <v>25</v>
      </c>
      <c r="D47" s="9">
        <f>0.2/0.58*C47</f>
        <v>8.6206896551724146</v>
      </c>
      <c r="E47" s="9">
        <f>D47*0.2</f>
        <v>1.7241379310344831</v>
      </c>
      <c r="F47" s="9">
        <f>E47+D47</f>
        <v>10.344827586206897</v>
      </c>
    </row>
    <row r="49" spans="1:10" x14ac:dyDescent="0.2">
      <c r="A49" s="4" t="s">
        <v>69</v>
      </c>
      <c r="C49" t="s">
        <v>33</v>
      </c>
      <c r="D49" t="s">
        <v>0</v>
      </c>
    </row>
    <row r="50" spans="1:10" x14ac:dyDescent="0.2">
      <c r="A50" s="8">
        <v>3</v>
      </c>
    </row>
    <row r="51" spans="1:10" x14ac:dyDescent="0.2">
      <c r="C51" t="s">
        <v>29</v>
      </c>
      <c r="D51" s="12" t="s">
        <v>32</v>
      </c>
      <c r="F51" t="s">
        <v>30</v>
      </c>
      <c r="G51" t="s">
        <v>31</v>
      </c>
      <c r="H51" t="s">
        <v>22</v>
      </c>
      <c r="I51" t="s">
        <v>34</v>
      </c>
      <c r="J51" t="s">
        <v>50</v>
      </c>
    </row>
    <row r="52" spans="1:10" x14ac:dyDescent="0.2">
      <c r="C52" s="13" t="s">
        <v>27</v>
      </c>
      <c r="D52" s="15">
        <v>0</v>
      </c>
      <c r="F52" t="s">
        <v>27</v>
      </c>
      <c r="G52" s="14">
        <v>0</v>
      </c>
      <c r="J52" s="3">
        <f>I52</f>
        <v>0</v>
      </c>
    </row>
    <row r="53" spans="1:10" x14ac:dyDescent="0.2">
      <c r="C53" s="13" t="s">
        <v>28</v>
      </c>
      <c r="D53" s="15">
        <v>0.05</v>
      </c>
      <c r="F53" t="s">
        <v>24</v>
      </c>
      <c r="G53" s="14">
        <v>0</v>
      </c>
      <c r="H53" s="7">
        <v>700</v>
      </c>
      <c r="I53" s="7">
        <f>H53*(D53-G53)*100</f>
        <v>3500</v>
      </c>
      <c r="J53" s="3">
        <f>I53*750/925</f>
        <v>2837.8378378378379</v>
      </c>
    </row>
    <row r="54" spans="1:10" x14ac:dyDescent="0.2">
      <c r="C54" s="13" t="s">
        <v>25</v>
      </c>
      <c r="D54" s="15">
        <v>0.1</v>
      </c>
      <c r="E54" s="3"/>
      <c r="F54" s="1" t="s">
        <v>25</v>
      </c>
      <c r="G54" s="14">
        <v>0.02</v>
      </c>
      <c r="H54" s="7">
        <v>25</v>
      </c>
      <c r="I54" s="7">
        <f>H54*(D54-G54)*100</f>
        <v>200</v>
      </c>
      <c r="J54" s="3">
        <f>I54</f>
        <v>200</v>
      </c>
    </row>
    <row r="55" spans="1:10" x14ac:dyDescent="0.2">
      <c r="C55" s="13" t="s">
        <v>26</v>
      </c>
      <c r="D55" s="15">
        <v>0.12</v>
      </c>
      <c r="E55" s="3"/>
      <c r="F55" t="s">
        <v>26</v>
      </c>
      <c r="G55" s="14">
        <v>0.04</v>
      </c>
      <c r="H55">
        <v>0</v>
      </c>
      <c r="I55" s="7">
        <f>H55*(D55-G55)*100</f>
        <v>0</v>
      </c>
      <c r="J55" s="3">
        <f>I55</f>
        <v>0</v>
      </c>
    </row>
    <row r="56" spans="1:10" x14ac:dyDescent="0.2">
      <c r="I56" s="8"/>
      <c r="J56" s="8">
        <f>SUM(J53:J55)</f>
        <v>3037.8378378378379</v>
      </c>
    </row>
    <row r="59" spans="1:10" x14ac:dyDescent="0.2">
      <c r="A59" s="4" t="s">
        <v>40</v>
      </c>
      <c r="C59" t="s">
        <v>35</v>
      </c>
    </row>
    <row r="60" spans="1:10" x14ac:dyDescent="0.2">
      <c r="A60" s="8">
        <v>5</v>
      </c>
      <c r="C60" t="s">
        <v>0</v>
      </c>
    </row>
    <row r="61" spans="1:10" x14ac:dyDescent="0.2">
      <c r="C61" t="s">
        <v>23</v>
      </c>
    </row>
    <row r="62" spans="1:10" x14ac:dyDescent="0.2">
      <c r="C62" s="7"/>
      <c r="D62" s="7"/>
      <c r="E62" s="7"/>
      <c r="F62" s="16"/>
    </row>
    <row r="63" spans="1:10" x14ac:dyDescent="0.2">
      <c r="C63" t="s">
        <v>33</v>
      </c>
      <c r="D63" t="s">
        <v>36</v>
      </c>
    </row>
    <row r="65" spans="3:8" x14ac:dyDescent="0.2">
      <c r="C65" t="s">
        <v>43</v>
      </c>
      <c r="E65" s="3">
        <f>(2000000-325000)*0.4</f>
        <v>670000</v>
      </c>
    </row>
    <row r="69" spans="3:8" ht="68" x14ac:dyDescent="0.2">
      <c r="C69" s="17" t="s">
        <v>37</v>
      </c>
      <c r="D69" s="18" t="s">
        <v>38</v>
      </c>
      <c r="E69" s="18" t="s">
        <v>39</v>
      </c>
      <c r="F69" s="4" t="s">
        <v>42</v>
      </c>
      <c r="G69" t="s">
        <v>41</v>
      </c>
      <c r="H69" t="s">
        <v>44</v>
      </c>
    </row>
    <row r="70" spans="3:8" x14ac:dyDescent="0.2">
      <c r="C70" s="19">
        <v>0</v>
      </c>
      <c r="D70" s="20"/>
      <c r="E70" s="20"/>
      <c r="F70">
        <f>E70*1.2</f>
        <v>0</v>
      </c>
      <c r="G70">
        <v>0</v>
      </c>
      <c r="H70" s="3">
        <f>F70-G70</f>
        <v>0</v>
      </c>
    </row>
    <row r="71" spans="3:8" x14ac:dyDescent="0.2">
      <c r="C71" s="19">
        <v>10000</v>
      </c>
      <c r="D71" s="20"/>
      <c r="E71" s="20"/>
      <c r="F71">
        <f t="shared" ref="F71:F93" si="0">E71*1.2</f>
        <v>0</v>
      </c>
      <c r="G71">
        <v>0</v>
      </c>
      <c r="H71" s="3">
        <f t="shared" ref="H71:H93" si="1">F71-G71</f>
        <v>0</v>
      </c>
    </row>
    <row r="72" spans="3:8" x14ac:dyDescent="0.2">
      <c r="C72" s="19">
        <v>25000</v>
      </c>
      <c r="D72" s="20"/>
      <c r="E72" s="20"/>
      <c r="F72">
        <f t="shared" si="0"/>
        <v>0</v>
      </c>
      <c r="G72">
        <v>0</v>
      </c>
      <c r="H72" s="3">
        <f t="shared" si="1"/>
        <v>0</v>
      </c>
    </row>
    <row r="73" spans="3:8" x14ac:dyDescent="0.2">
      <c r="C73" s="19">
        <v>40000</v>
      </c>
      <c r="D73" s="20"/>
      <c r="E73" s="20"/>
      <c r="F73">
        <f t="shared" si="0"/>
        <v>0</v>
      </c>
      <c r="G73">
        <v>0</v>
      </c>
      <c r="H73" s="3">
        <f t="shared" si="1"/>
        <v>0</v>
      </c>
    </row>
    <row r="74" spans="3:8" x14ac:dyDescent="0.2">
      <c r="C74" s="19">
        <v>50000</v>
      </c>
      <c r="D74" s="20"/>
      <c r="E74" s="20"/>
      <c r="F74">
        <f t="shared" si="0"/>
        <v>0</v>
      </c>
      <c r="G74">
        <v>0</v>
      </c>
      <c r="H74" s="3">
        <f t="shared" si="1"/>
        <v>0</v>
      </c>
    </row>
    <row r="75" spans="3:8" x14ac:dyDescent="0.2">
      <c r="C75" s="19">
        <v>60000</v>
      </c>
      <c r="D75" s="20"/>
      <c r="E75" s="20"/>
      <c r="F75">
        <f t="shared" si="0"/>
        <v>0</v>
      </c>
      <c r="G75">
        <v>0</v>
      </c>
      <c r="H75" s="3">
        <f t="shared" si="1"/>
        <v>0</v>
      </c>
    </row>
    <row r="76" spans="3:8" x14ac:dyDescent="0.2">
      <c r="C76" s="19">
        <v>80000</v>
      </c>
      <c r="D76" s="20"/>
      <c r="E76" s="20"/>
      <c r="F76">
        <f t="shared" si="0"/>
        <v>0</v>
      </c>
      <c r="G76">
        <v>0</v>
      </c>
      <c r="H76" s="3">
        <f t="shared" si="1"/>
        <v>0</v>
      </c>
    </row>
    <row r="77" spans="3:8" x14ac:dyDescent="0.2">
      <c r="C77" s="19">
        <v>100000</v>
      </c>
      <c r="D77" s="20"/>
      <c r="E77" s="20"/>
      <c r="F77">
        <f t="shared" si="0"/>
        <v>0</v>
      </c>
      <c r="G77">
        <v>0</v>
      </c>
      <c r="H77" s="3">
        <f t="shared" si="1"/>
        <v>0</v>
      </c>
    </row>
    <row r="78" spans="3:8" x14ac:dyDescent="0.2">
      <c r="C78" s="19">
        <v>200000</v>
      </c>
      <c r="D78" s="20"/>
      <c r="E78" s="20"/>
      <c r="F78">
        <f t="shared" si="0"/>
        <v>0</v>
      </c>
      <c r="G78">
        <v>0</v>
      </c>
      <c r="H78" s="3">
        <f t="shared" si="1"/>
        <v>0</v>
      </c>
    </row>
    <row r="79" spans="3:8" x14ac:dyDescent="0.2">
      <c r="C79" s="19">
        <v>300000</v>
      </c>
      <c r="D79" s="20">
        <v>2380</v>
      </c>
      <c r="E79" s="20">
        <v>33</v>
      </c>
      <c r="F79">
        <f t="shared" si="0"/>
        <v>39.6</v>
      </c>
      <c r="G79">
        <v>0</v>
      </c>
      <c r="H79" s="3">
        <f t="shared" si="1"/>
        <v>39.6</v>
      </c>
    </row>
    <row r="80" spans="3:8" x14ac:dyDescent="0.2">
      <c r="C80" s="19">
        <v>400000</v>
      </c>
      <c r="D80" s="20">
        <v>2460</v>
      </c>
      <c r="E80" s="20">
        <v>105</v>
      </c>
      <c r="F80">
        <f t="shared" si="0"/>
        <v>126</v>
      </c>
      <c r="G80">
        <v>0</v>
      </c>
      <c r="H80" s="3">
        <f t="shared" si="1"/>
        <v>126</v>
      </c>
    </row>
    <row r="81" spans="3:8" x14ac:dyDescent="0.2">
      <c r="C81" s="19">
        <v>500000</v>
      </c>
      <c r="D81" s="20">
        <v>2770</v>
      </c>
      <c r="E81" s="20">
        <v>152</v>
      </c>
      <c r="F81">
        <f t="shared" si="0"/>
        <v>182.4</v>
      </c>
      <c r="G81">
        <v>0</v>
      </c>
      <c r="H81" s="3">
        <f t="shared" si="1"/>
        <v>182.4</v>
      </c>
    </row>
    <row r="82" spans="3:8" x14ac:dyDescent="0.2">
      <c r="C82" s="19">
        <v>600000</v>
      </c>
      <c r="D82" s="20">
        <v>2300</v>
      </c>
      <c r="E82" s="20">
        <v>178</v>
      </c>
      <c r="F82">
        <f t="shared" si="0"/>
        <v>213.6</v>
      </c>
      <c r="G82">
        <v>0</v>
      </c>
      <c r="H82" s="3">
        <f t="shared" si="1"/>
        <v>213.6</v>
      </c>
    </row>
    <row r="83" spans="3:8" x14ac:dyDescent="0.2">
      <c r="C83" s="19">
        <v>700000</v>
      </c>
      <c r="D83" s="20">
        <v>2140</v>
      </c>
      <c r="E83" s="20">
        <v>192</v>
      </c>
      <c r="F83">
        <f t="shared" si="0"/>
        <v>230.39999999999998</v>
      </c>
      <c r="G83">
        <v>0</v>
      </c>
      <c r="H83" s="3">
        <f t="shared" si="1"/>
        <v>230.39999999999998</v>
      </c>
    </row>
    <row r="84" spans="3:8" x14ac:dyDescent="0.2">
      <c r="C84" s="19">
        <v>800000</v>
      </c>
      <c r="D84" s="20">
        <v>1800</v>
      </c>
      <c r="E84" s="20">
        <v>201</v>
      </c>
      <c r="F84">
        <f t="shared" si="0"/>
        <v>241.2</v>
      </c>
      <c r="G84">
        <v>0</v>
      </c>
      <c r="H84" s="3">
        <f t="shared" si="1"/>
        <v>241.2</v>
      </c>
    </row>
    <row r="85" spans="3:8" x14ac:dyDescent="0.2">
      <c r="C85" s="19">
        <v>900000</v>
      </c>
      <c r="D85" s="20">
        <v>1560</v>
      </c>
      <c r="E85" s="20">
        <v>201</v>
      </c>
      <c r="F85">
        <f t="shared" si="0"/>
        <v>241.2</v>
      </c>
      <c r="G85">
        <v>0</v>
      </c>
      <c r="H85" s="3">
        <f t="shared" si="1"/>
        <v>241.2</v>
      </c>
    </row>
    <row r="86" spans="3:8" x14ac:dyDescent="0.2">
      <c r="C86" s="19">
        <v>1000000</v>
      </c>
      <c r="D86" s="20">
        <v>6330</v>
      </c>
      <c r="E86" s="20">
        <v>1020</v>
      </c>
      <c r="F86">
        <f t="shared" si="0"/>
        <v>1224</v>
      </c>
      <c r="G86">
        <v>0</v>
      </c>
      <c r="H86" s="3">
        <f t="shared" si="1"/>
        <v>1224</v>
      </c>
    </row>
    <row r="87" spans="3:8" x14ac:dyDescent="0.2">
      <c r="C87" s="19">
        <v>1500000</v>
      </c>
      <c r="D87" s="20">
        <v>2300</v>
      </c>
      <c r="E87" s="20">
        <v>775</v>
      </c>
      <c r="F87">
        <f t="shared" si="0"/>
        <v>930</v>
      </c>
      <c r="G87">
        <v>0</v>
      </c>
      <c r="H87" s="3">
        <f t="shared" si="1"/>
        <v>930</v>
      </c>
    </row>
    <row r="88" spans="3:8" x14ac:dyDescent="0.2">
      <c r="C88" s="19">
        <v>2000000</v>
      </c>
      <c r="D88" s="20">
        <v>1560</v>
      </c>
      <c r="E88" s="20">
        <v>888</v>
      </c>
      <c r="F88">
        <f t="shared" si="0"/>
        <v>1065.5999999999999</v>
      </c>
      <c r="G88">
        <v>0</v>
      </c>
      <c r="H88" s="3">
        <f t="shared" si="1"/>
        <v>1065.5999999999999</v>
      </c>
    </row>
    <row r="89" spans="3:8" x14ac:dyDescent="0.2">
      <c r="C89" s="19">
        <v>3000000</v>
      </c>
      <c r="D89" s="20">
        <v>579</v>
      </c>
      <c r="E89" s="20">
        <v>501</v>
      </c>
      <c r="F89">
        <f t="shared" si="0"/>
        <v>601.19999999999993</v>
      </c>
      <c r="G89" s="1">
        <f>F89-D89*$E$65/1000000</f>
        <v>213.26999999999992</v>
      </c>
      <c r="H89" s="3">
        <f t="shared" si="1"/>
        <v>387.93</v>
      </c>
    </row>
    <row r="90" spans="3:8" x14ac:dyDescent="0.2">
      <c r="C90" s="19">
        <v>4000000</v>
      </c>
      <c r="D90" s="20">
        <v>248</v>
      </c>
      <c r="E90" s="20">
        <v>271</v>
      </c>
      <c r="F90">
        <f t="shared" si="0"/>
        <v>325.2</v>
      </c>
      <c r="G90" s="1">
        <f t="shared" ref="G90:G93" si="2">F90-D90*$E$65/1000000</f>
        <v>159.04</v>
      </c>
      <c r="H90" s="3">
        <f t="shared" si="1"/>
        <v>166.16</v>
      </c>
    </row>
    <row r="91" spans="3:8" x14ac:dyDescent="0.2">
      <c r="C91" s="19">
        <v>5000000</v>
      </c>
      <c r="D91" s="20">
        <v>278</v>
      </c>
      <c r="E91" s="20">
        <v>413</v>
      </c>
      <c r="F91">
        <f t="shared" si="0"/>
        <v>495.59999999999997</v>
      </c>
      <c r="G91" s="1">
        <f t="shared" si="2"/>
        <v>309.33999999999997</v>
      </c>
      <c r="H91" s="3">
        <f t="shared" si="1"/>
        <v>186.26</v>
      </c>
    </row>
    <row r="92" spans="3:8" x14ac:dyDescent="0.2">
      <c r="C92" s="19">
        <v>7500000</v>
      </c>
      <c r="D92" s="20">
        <v>114</v>
      </c>
      <c r="E92" s="20">
        <v>197</v>
      </c>
      <c r="F92">
        <f t="shared" si="0"/>
        <v>236.39999999999998</v>
      </c>
      <c r="G92" s="1">
        <f t="shared" si="2"/>
        <v>160.01999999999998</v>
      </c>
      <c r="H92" s="3">
        <f t="shared" si="1"/>
        <v>76.38</v>
      </c>
    </row>
    <row r="93" spans="3:8" x14ac:dyDescent="0.2">
      <c r="C93" s="19">
        <v>10000000</v>
      </c>
      <c r="D93" s="20">
        <v>158</v>
      </c>
      <c r="E93" s="20">
        <v>633</v>
      </c>
      <c r="F93">
        <f t="shared" si="0"/>
        <v>759.6</v>
      </c>
      <c r="G93" s="1">
        <f t="shared" si="2"/>
        <v>653.74</v>
      </c>
      <c r="H93" s="3">
        <f t="shared" si="1"/>
        <v>105.86000000000001</v>
      </c>
    </row>
    <row r="94" spans="3:8" x14ac:dyDescent="0.2">
      <c r="C94" s="21"/>
      <c r="D94" s="22"/>
      <c r="E94" s="22"/>
      <c r="H94" s="6">
        <f>SUM(H70:H93)</f>
        <v>5416.59</v>
      </c>
    </row>
  </sheetData>
  <hyperlinks>
    <hyperlink ref="D44" r:id="rId1" xr:uid="{3B56F315-395E-744F-96EC-B8C3ADD55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715E-0F16-CD41-8D5B-1375D1E17730}">
  <dimension ref="A1:J50"/>
  <sheetViews>
    <sheetView topLeftCell="A4" workbookViewId="0">
      <selection activeCell="F44" sqref="F44"/>
    </sheetView>
  </sheetViews>
  <sheetFormatPr baseColWidth="10" defaultRowHeight="16" x14ac:dyDescent="0.2"/>
  <cols>
    <col min="2" max="2" width="26.6640625" customWidth="1"/>
  </cols>
  <sheetData>
    <row r="1" spans="1:10" x14ac:dyDescent="0.2">
      <c r="A1" s="4" t="s">
        <v>107</v>
      </c>
    </row>
    <row r="2" spans="1:10" x14ac:dyDescent="0.2">
      <c r="A2" s="11">
        <f>SUM(A3:A65)</f>
        <v>17.209999999999997</v>
      </c>
    </row>
    <row r="4" spans="1:10" x14ac:dyDescent="0.2">
      <c r="A4" s="4" t="s">
        <v>83</v>
      </c>
    </row>
    <row r="6" spans="1:10" x14ac:dyDescent="0.2">
      <c r="A6" s="28">
        <v>14.2</v>
      </c>
      <c r="C6" t="s">
        <v>84</v>
      </c>
      <c r="D6" s="3">
        <f xml:space="preserve"> 3700 * 5</f>
        <v>18500</v>
      </c>
    </row>
    <row r="7" spans="1:10" x14ac:dyDescent="0.2">
      <c r="C7" t="s">
        <v>85</v>
      </c>
      <c r="D7" s="3">
        <f>17060*5/6</f>
        <v>14216.666666666666</v>
      </c>
      <c r="F7" s="10" t="s">
        <v>97</v>
      </c>
    </row>
    <row r="11" spans="1:10" x14ac:dyDescent="0.2">
      <c r="A11" s="4" t="s">
        <v>82</v>
      </c>
    </row>
    <row r="12" spans="1:10" x14ac:dyDescent="0.2">
      <c r="A12" s="28">
        <v>0.1</v>
      </c>
      <c r="C12" t="s">
        <v>98</v>
      </c>
    </row>
    <row r="13" spans="1:10" x14ac:dyDescent="0.2">
      <c r="A13" s="4"/>
      <c r="C13" t="s">
        <v>100</v>
      </c>
    </row>
    <row r="14" spans="1:10" x14ac:dyDescent="0.2">
      <c r="C14" t="s">
        <v>101</v>
      </c>
      <c r="J14" t="s">
        <v>57</v>
      </c>
    </row>
    <row r="16" spans="1:10" x14ac:dyDescent="0.2">
      <c r="C16" t="s">
        <v>102</v>
      </c>
    </row>
    <row r="17" spans="1:6" x14ac:dyDescent="0.2">
      <c r="C17" s="29">
        <v>8640</v>
      </c>
    </row>
    <row r="19" spans="1:6" x14ac:dyDescent="0.2">
      <c r="C19" t="s">
        <v>104</v>
      </c>
    </row>
    <row r="20" spans="1:6" x14ac:dyDescent="0.2">
      <c r="C20" s="6">
        <f>C17/5</f>
        <v>1728</v>
      </c>
    </row>
    <row r="21" spans="1:6" x14ac:dyDescent="0.2">
      <c r="C21" s="6"/>
    </row>
    <row r="22" spans="1:6" x14ac:dyDescent="0.2">
      <c r="C22" s="30" t="s">
        <v>103</v>
      </c>
    </row>
    <row r="23" spans="1:6" x14ac:dyDescent="0.2">
      <c r="C23" s="31">
        <v>0.26</v>
      </c>
    </row>
    <row r="24" spans="1:6" x14ac:dyDescent="0.2">
      <c r="C24" s="31"/>
    </row>
    <row r="25" spans="1:6" x14ac:dyDescent="0.2">
      <c r="C25" s="32" t="s">
        <v>106</v>
      </c>
    </row>
    <row r="26" spans="1:6" x14ac:dyDescent="0.2">
      <c r="C26" s="6">
        <f>C20*(1+C23)/20</f>
        <v>108.864</v>
      </c>
    </row>
    <row r="28" spans="1:6" x14ac:dyDescent="0.2">
      <c r="C28" s="6" t="s">
        <v>99</v>
      </c>
    </row>
    <row r="29" spans="1:6" x14ac:dyDescent="0.2">
      <c r="A29" s="4" t="s">
        <v>86</v>
      </c>
    </row>
    <row r="30" spans="1:6" x14ac:dyDescent="0.2">
      <c r="A30" s="28">
        <v>1.1000000000000001</v>
      </c>
    </row>
    <row r="31" spans="1:6" x14ac:dyDescent="0.2">
      <c r="B31" t="s">
        <v>89</v>
      </c>
      <c r="C31" t="s">
        <v>87</v>
      </c>
    </row>
    <row r="32" spans="1:6" x14ac:dyDescent="0.2">
      <c r="C32" s="23">
        <v>185</v>
      </c>
      <c r="F32" t="s">
        <v>88</v>
      </c>
    </row>
    <row r="34" spans="1:9" x14ac:dyDescent="0.2">
      <c r="C34" t="s">
        <v>94</v>
      </c>
    </row>
    <row r="35" spans="1:9" x14ac:dyDescent="0.2">
      <c r="C35" s="8">
        <f xml:space="preserve"> (120-90)/5*C32</f>
        <v>1110</v>
      </c>
    </row>
    <row r="37" spans="1:9" x14ac:dyDescent="0.2">
      <c r="B37" t="s">
        <v>90</v>
      </c>
      <c r="C37" t="s">
        <v>91</v>
      </c>
      <c r="I37" t="s">
        <v>92</v>
      </c>
    </row>
    <row r="38" spans="1:9" x14ac:dyDescent="0.2">
      <c r="C38" s="7">
        <v>2300</v>
      </c>
      <c r="I38" t="s">
        <v>93</v>
      </c>
    </row>
    <row r="40" spans="1:9" x14ac:dyDescent="0.2">
      <c r="C40" t="s">
        <v>95</v>
      </c>
    </row>
    <row r="41" spans="1:9" x14ac:dyDescent="0.2">
      <c r="C41" s="8">
        <f>C38*(120-85)/(150-85)</f>
        <v>1238.4615384615386</v>
      </c>
    </row>
    <row r="43" spans="1:9" x14ac:dyDescent="0.2">
      <c r="A43" s="4" t="s">
        <v>96</v>
      </c>
    </row>
    <row r="44" spans="1:9" x14ac:dyDescent="0.2">
      <c r="A44" s="28">
        <f>(C45+C48)/1000</f>
        <v>1.81</v>
      </c>
      <c r="C44" t="s">
        <v>109</v>
      </c>
      <c r="F44" t="s">
        <v>97</v>
      </c>
    </row>
    <row r="45" spans="1:9" x14ac:dyDescent="0.2">
      <c r="C45" s="8">
        <v>1660</v>
      </c>
      <c r="E45" t="s">
        <v>105</v>
      </c>
    </row>
    <row r="47" spans="1:9" x14ac:dyDescent="0.2">
      <c r="C47" t="s">
        <v>110</v>
      </c>
    </row>
    <row r="48" spans="1:9" x14ac:dyDescent="0.2">
      <c r="C48" s="8">
        <v>150</v>
      </c>
      <c r="G48" s="10" t="s">
        <v>111</v>
      </c>
    </row>
    <row r="50" spans="3:3" x14ac:dyDescent="0.2">
      <c r="C50" t="s">
        <v>108</v>
      </c>
    </row>
  </sheetData>
  <hyperlinks>
    <hyperlink ref="F7" r:id="rId1" xr:uid="{9E01971E-2273-B844-98AF-278B4793EBD3}"/>
    <hyperlink ref="G48" r:id="rId2" location=":~:text=The%20off%2Dpayroll%20rules%20(often,intermediary%20that%20they%20work%20through." display="https://www.gov.uk/government/publications/off-payroll-working-in-the-public-sector-reform-of-the-intermediaries-legislation/off-payroll-working-in-the-public-sector-reform-of-the-intermediaries-legislation#:~:text=The%20off%2Dpayroll%20rules%20(often,intermediary%20that%20they%20work%20through." xr:uid="{4E0AA829-AE61-8C4A-B6C2-C849696951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7008-FD61-B04F-BB71-280748A37C43}">
  <dimension ref="A1:M18"/>
  <sheetViews>
    <sheetView workbookViewId="0">
      <selection activeCell="F11" sqref="F11"/>
    </sheetView>
  </sheetViews>
  <sheetFormatPr baseColWidth="10" defaultRowHeight="16" x14ac:dyDescent="0.2"/>
  <cols>
    <col min="1" max="1" width="26" customWidth="1"/>
    <col min="2" max="2" width="14.1640625" customWidth="1"/>
  </cols>
  <sheetData>
    <row r="1" spans="1:13" x14ac:dyDescent="0.2">
      <c r="A1" t="s">
        <v>53</v>
      </c>
    </row>
    <row r="2" spans="1:13" x14ac:dyDescent="0.2">
      <c r="A2" t="s">
        <v>54</v>
      </c>
      <c r="B2" t="s">
        <v>55</v>
      </c>
    </row>
    <row r="3" spans="1:13" x14ac:dyDescent="0.2">
      <c r="A3" t="s">
        <v>56</v>
      </c>
      <c r="B3" t="s">
        <v>57</v>
      </c>
    </row>
    <row r="6" spans="1:13" x14ac:dyDescent="0.2">
      <c r="B6" t="s">
        <v>58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">
      <c r="B8" s="4"/>
      <c r="C8" s="4" t="s">
        <v>59</v>
      </c>
      <c r="D8" s="25"/>
      <c r="E8" s="25"/>
      <c r="F8" s="25"/>
      <c r="G8" s="25"/>
      <c r="H8" s="4"/>
      <c r="K8" s="4"/>
    </row>
    <row r="9" spans="1:13" x14ac:dyDescent="0.2">
      <c r="B9" s="4" t="s">
        <v>60</v>
      </c>
      <c r="C9" s="25" t="s">
        <v>61</v>
      </c>
      <c r="D9" s="25"/>
      <c r="E9" s="25"/>
      <c r="F9" s="25"/>
      <c r="G9" s="25"/>
      <c r="H9" s="4"/>
      <c r="K9" s="25"/>
    </row>
    <row r="10" spans="1:13" x14ac:dyDescent="0.2">
      <c r="A10" t="s">
        <v>62</v>
      </c>
      <c r="B10" s="14">
        <v>0.25</v>
      </c>
      <c r="C10" s="14">
        <v>0.25</v>
      </c>
      <c r="D10" s="14"/>
      <c r="E10" s="14"/>
      <c r="F10" s="14"/>
      <c r="G10" s="14"/>
      <c r="H10" s="14"/>
      <c r="K10" s="14"/>
    </row>
    <row r="11" spans="1:13" x14ac:dyDescent="0.2">
      <c r="A11" t="s">
        <v>63</v>
      </c>
      <c r="B11" s="14">
        <v>0.03</v>
      </c>
      <c r="C11" s="14">
        <v>0.03</v>
      </c>
      <c r="D11" s="14"/>
      <c r="E11" s="14"/>
      <c r="F11" s="14"/>
      <c r="G11" s="14"/>
      <c r="H11" s="14"/>
      <c r="K11" s="14"/>
    </row>
    <row r="12" spans="1:13" x14ac:dyDescent="0.2">
      <c r="B12" s="14"/>
      <c r="D12" s="14"/>
      <c r="E12" s="14"/>
      <c r="F12" s="14"/>
      <c r="G12" s="14"/>
      <c r="H12" s="14"/>
    </row>
    <row r="13" spans="1:13" x14ac:dyDescent="0.2">
      <c r="A13" t="s">
        <v>64</v>
      </c>
      <c r="B13" s="2">
        <v>1.2</v>
      </c>
      <c r="C13" s="2">
        <v>1.3</v>
      </c>
      <c r="D13" s="2"/>
      <c r="E13" s="2"/>
      <c r="F13" s="2"/>
      <c r="G13" s="2"/>
      <c r="H13" s="2"/>
      <c r="K13" s="2"/>
    </row>
    <row r="14" spans="1:13" x14ac:dyDescent="0.2">
      <c r="A14" t="s">
        <v>65</v>
      </c>
      <c r="B14" s="2">
        <f>B13/B11*B10</f>
        <v>10</v>
      </c>
      <c r="C14" s="2">
        <f>C13/C11*C10</f>
        <v>10.833333333333334</v>
      </c>
      <c r="D14" s="2"/>
      <c r="E14" s="2"/>
      <c r="F14" s="2"/>
      <c r="G14" s="2"/>
      <c r="H14" s="2"/>
      <c r="K14" s="2"/>
    </row>
    <row r="15" spans="1:13" x14ac:dyDescent="0.2">
      <c r="A15" t="s">
        <v>66</v>
      </c>
      <c r="B15" s="2">
        <f>SUM(B13:B14)</f>
        <v>11.2</v>
      </c>
      <c r="C15" s="2">
        <f>SUM(C13:C14)</f>
        <v>12.133333333333335</v>
      </c>
      <c r="D15" s="2"/>
      <c r="E15" s="2"/>
      <c r="F15" s="2"/>
      <c r="G15" s="2"/>
      <c r="H15" s="2"/>
      <c r="K15" s="2"/>
      <c r="L15" s="24"/>
    </row>
    <row r="16" spans="1:13" x14ac:dyDescent="0.2">
      <c r="B16" s="2"/>
      <c r="C16" s="2"/>
      <c r="D16" s="2"/>
      <c r="E16" s="2"/>
      <c r="F16" s="2"/>
      <c r="G16" s="2"/>
      <c r="H16" s="2"/>
      <c r="K16" s="2"/>
    </row>
    <row r="17" spans="1:11" x14ac:dyDescent="0.2">
      <c r="A17" t="s">
        <v>67</v>
      </c>
      <c r="B17" s="2">
        <f>B13/B11</f>
        <v>40</v>
      </c>
      <c r="C17" s="2">
        <f>C13/C11</f>
        <v>43.333333333333336</v>
      </c>
      <c r="D17" s="2"/>
      <c r="E17" s="2"/>
      <c r="F17" s="2"/>
      <c r="G17" s="2"/>
      <c r="H17" s="2"/>
      <c r="K17" s="2"/>
    </row>
    <row r="18" spans="1:11" x14ac:dyDescent="0.2">
      <c r="A18" t="s">
        <v>68</v>
      </c>
      <c r="B18" s="2">
        <f>B17-B15</f>
        <v>28.8</v>
      </c>
      <c r="C18" s="11">
        <f>C17-C15</f>
        <v>31.200000000000003</v>
      </c>
      <c r="D18" s="2"/>
      <c r="E18" s="2"/>
      <c r="F18" s="2"/>
      <c r="G18" s="2"/>
      <c r="H18" s="2"/>
      <c r="K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 - personal</vt:lpstr>
      <vt:lpstr>Calculations - business</vt:lpstr>
      <vt:lpstr>Bank profits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2024-06-11T08:29:49Z</dcterms:created>
  <dcterms:modified xsi:type="dcterms:W3CDTF">2024-06-17T14:00:37Z</dcterms:modified>
</cp:coreProperties>
</file>