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360" windowHeight="18900" activeTab="3"/>
  </bookViews>
  <sheets>
    <sheet name="ReadMe" sheetId="5" r:id="rId1"/>
    <sheet name="SPR_YPR" sheetId="1" r:id="rId2"/>
    <sheet name="Catch_Curve" sheetId="2" r:id="rId3"/>
    <sheet name="Mean_Weight" sheetId="3" r:id="rId4"/>
    <sheet name="Lbar_MeanLength" sheetId="4" r:id="rId5"/>
    <sheet name="Cheat_Sheet" sheetId="7" r:id="rId6"/>
  </sheets>
  <definedNames>
    <definedName name="age_4">Cheat_Sheet!$B$28</definedName>
    <definedName name="Age_Data_for_Analysis">OFFSET(Catch_Curve!$H$15,0,0,COUNT(Catch_Curve!$H$15:$H$115),1)</definedName>
    <definedName name="AgeM_2">Cheat_Sheet!$B$14</definedName>
    <definedName name="estLoo_1">Cheat_Sheet!$E$7</definedName>
    <definedName name="F">SPR_YPR!$B$2</definedName>
    <definedName name="F_13">Cheat_Sheet!$B$98</definedName>
    <definedName name="F_MW">Mean_Weight!$B$2</definedName>
    <definedName name="fa_MW">Mean_Weight!$B$7</definedName>
    <definedName name="fb_MW">Mean_Weight!$B$8</definedName>
    <definedName name="feca">SPR_YPR!$B$7</definedName>
    <definedName name="fecb">SPR_YPR!$B$8</definedName>
    <definedName name="fecundity">OFFSET(SPR_YPR!$D$19,0,0,COUNT(SPR_YPR!$D$19:$D$219),1)</definedName>
    <definedName name="fecundity_MW">OFFSET(Mean_Weight!$D$21,0,0,COUNT(Mean_Weight!$D$21:$D$221),1)</definedName>
    <definedName name="k">SPR_YPR!$B$5</definedName>
    <definedName name="k_10">Cheat_Sheet!$B$77</definedName>
    <definedName name="K_12">Cheat_Sheet!$B$91</definedName>
    <definedName name="K_3">Cheat_Sheet!$B$21</definedName>
    <definedName name="k_4">Cheat_Sheet!$B$30</definedName>
    <definedName name="k_5">Cheat_Sheet!$B$43</definedName>
    <definedName name="k_BH">Lbar_MeanLength!$G$14</definedName>
    <definedName name="k_Bound">#REF!</definedName>
    <definedName name="k_CC">Catch_Curve!$B$3</definedName>
    <definedName name="k_MW">Mean_Weight!$B$5</definedName>
    <definedName name="L_3">Cheat_Sheet!$B$19</definedName>
    <definedName name="Lbar_BH">Lbar_MeanLength!$G$17</definedName>
    <definedName name="Lc_BH">Lbar_MeanLength!$G$16</definedName>
    <definedName name="Lc_Bound">#REF!</definedName>
    <definedName name="LcAge_Bound">#REF!</definedName>
    <definedName name="length">OFFSET(SPR_YPR!$B$19,0,0,COUNT(SPR_YPR!$B$19:$B$219),1)</definedName>
    <definedName name="Length_Data_BH">OFFSET(Lbar_MeanLength!$B$2,0,0,COUNT(Lbar_MeanLength!$B$2:$B$502),1)</definedName>
    <definedName name="Length_Data_Lc_Linf">OFFSET(Lbar_MeanLength!$M$2,0,0,COUNT(Lbar_MeanLength!$M$2:$M$502),1)</definedName>
    <definedName name="Length_Prop_Lc_Linf">OFFSET(Lbar_MeanLength!$N$2,0,0,COUNT(Lbar_MeanLength!$N$2:$N$502),1)</definedName>
    <definedName name="Lengths_Lc_and_Linf">OFFSET(Lbar_MeanLength!$L$2,0,0,COUNT(Lbar_MeanLength!$L$2:$L$502),1)</definedName>
    <definedName name="Linf">SPR_YPR!$B$4</definedName>
    <definedName name="Linf_BH">Lbar_MeanLength!$G$13</definedName>
    <definedName name="Linf_Bound">#REF!</definedName>
    <definedName name="Linf_CC">Catch_Curve!$B$2</definedName>
    <definedName name="Linf_MW">Mean_Weight!$B$4</definedName>
    <definedName name="Lm_2">Cheat_Sheet!$B$13</definedName>
    <definedName name="Lm_9">Cheat_Sheet!$B$71</definedName>
    <definedName name="Lm_lmf">Cheat_Sheet!$E$54</definedName>
    <definedName name="Lm_lmm">Cheat_Sheet!$E$58</definedName>
    <definedName name="Lm_US">Cheat_Sheet!$E$50</definedName>
    <definedName name="Lmax_1">Cheat_Sheet!$B$7</definedName>
    <definedName name="Logged_Age_Frequency">OFFSET(Catch_Curve!$J$15,0,0,COUNT(Catch_Curve!$J$15:$J$115),1)</definedName>
    <definedName name="Loo_10">Cheat_Sheet!$B$76</definedName>
    <definedName name="Loo_2">Cheat_Sheet!$B$12</definedName>
    <definedName name="Loo_3">Cheat_Sheet!$B$20</definedName>
    <definedName name="Loo_4">Cheat_Sheet!$B$29</definedName>
    <definedName name="Loo_8">Cheat_Sheet!$B$65</definedName>
    <definedName name="Loo_Lmf">Cheat_Sheet!$B$54</definedName>
    <definedName name="Loo_Lmm">Cheat_Sheet!$B$58</definedName>
    <definedName name="Loo_LmUS">Cheat_Sheet!$B$50</definedName>
    <definedName name="Lopt_8">Cheat_Sheet!$E$65</definedName>
    <definedName name="Lopt_9">Cheat_Sheet!$E$71</definedName>
    <definedName name="M">SPR_YPR!$B$3</definedName>
    <definedName name="M_10">Cheat_Sheet!$B$78</definedName>
    <definedName name="M_Bound">#REF!</definedName>
    <definedName name="M_CC">Catch_Curve!$B$5</definedName>
    <definedName name="M_MW">Mean_Weight!$B$3</definedName>
    <definedName name="ma">SPR_YPR!$B$11</definedName>
    <definedName name="ma_MW">Mean_Weight!$B$11</definedName>
    <definedName name="Mature">OFFSET(SPR_YPR!$E$19,0,0,COUNT(SPR_YPR!$E$19:$E$219),1)</definedName>
    <definedName name="maturity_MW">OFFSET(Mean_Weight!$E$21,0,0,COUNT(Mean_Weight!$E$21:$E$221),1)</definedName>
    <definedName name="mb">SPR_YPR!$B$12</definedName>
    <definedName name="mb_MW">Mean_Weight!$B$12</definedName>
    <definedName name="Nfished">OFFSET(SPR_YPR!$H$19,0,0,COUNT(SPR_YPR!$H$19:$H$219),1)</definedName>
    <definedName name="Nfished_MW">OFFSET(Mean_Weight!$H$21,0,0,COUNT(Mean_Weight!$H$21:$H$221),1)</definedName>
    <definedName name="Nunfished">OFFSET(SPR_YPR!$G$19,0,0,COUNT(SPR_YPR!$G$19:$G$219),1)</definedName>
    <definedName name="Nunfished_MW">OFFSET(Mean_Weight!$G$21,0,0,COUNT(Mean_Weight!$G$21:$G$221),1)</definedName>
    <definedName name="Obj_Fcn">Mean_Weight!$F$17</definedName>
    <definedName name="Obs_MW">Mean_Weight!$F$16</definedName>
    <definedName name="Pred_MW">Mean_Weight!$K$25</definedName>
    <definedName name="sela">SPR_YPR!$B$13</definedName>
    <definedName name="selb">SPR_YPR!$B$14</definedName>
    <definedName name="solver_adj" localSheetId="3" hidden="1">Mean_Weight!$B$2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Mean_Weight!$B$2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Mean_Weight!$F$17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hs1" localSheetId="3" hidden="1">0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</definedName>
    <definedName name="solver_ver" localSheetId="3" hidden="1">2</definedName>
    <definedName name="t0_Bound">#REF!</definedName>
    <definedName name="t0_CC">Catch_Curve!$B$4</definedName>
    <definedName name="t0_MW">Mean_Weight!$B$6</definedName>
    <definedName name="TM_11">Cheat_Sheet!$B$85</definedName>
    <definedName name="tmax_11">Cheat_Sheet!$E$85</definedName>
    <definedName name="tmax_5">Cheat_Sheet!$B$38</definedName>
    <definedName name="to">SPR_YPR!$B$6</definedName>
    <definedName name="to_3">Cheat_Sheet!$B$22</definedName>
    <definedName name="to_4">Cheat_Sheet!$B$31</definedName>
    <definedName name="V50_sel">#REF!</definedName>
    <definedName name="V95_sel">#REF!</definedName>
    <definedName name="Va_MW">Mean_Weight!$B$13</definedName>
    <definedName name="Vb_MW">Mean_Weight!$B$14</definedName>
    <definedName name="vulnerability">OFFSET(SPR_YPR!$F$19,0,0,COUNT(SPR_YPR!$F$19:$F$219),1)</definedName>
    <definedName name="vulnerability_MW">OFFSET(Mean_Weight!$F$21,0,0,COUNT(Mean_Weight!$F$21:$F$221),1)</definedName>
    <definedName name="wa">SPR_YPR!$B$9</definedName>
    <definedName name="Wa_MW">Mean_Weight!$B$9</definedName>
    <definedName name="wb">SPR_YPR!$B$10</definedName>
    <definedName name="Wb_MW">Mean_Weight!$B$10</definedName>
    <definedName name="weight__kg">OFFSET(SPR_YPR!$C$19,0,0,COUNT(SPR_YPR!$C$19:$C$219),1)</definedName>
    <definedName name="weight_MW">OFFSET(Mean_Weight!$C$21,0,0,COUNT(Mean_Weight!$C$21:$C$221),1)</definedName>
    <definedName name="Years_Bound">#REF!</definedName>
    <definedName name="Z_CC">Catch_Curve!$L$21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5" i="2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K25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21" i="3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104" i="2"/>
  <c r="J104" i="2"/>
  <c r="I105" i="2"/>
  <c r="J105" i="2"/>
  <c r="I106" i="2"/>
  <c r="J106" i="2"/>
  <c r="I107" i="2"/>
  <c r="J107" i="2"/>
  <c r="I108" i="2"/>
  <c r="J108" i="2"/>
  <c r="I109" i="2"/>
  <c r="J109" i="2"/>
  <c r="I110" i="2"/>
  <c r="J110" i="2"/>
  <c r="I111" i="2"/>
  <c r="J111" i="2"/>
  <c r="I112" i="2"/>
  <c r="J112" i="2"/>
  <c r="I113" i="2"/>
  <c r="J113" i="2"/>
  <c r="I114" i="2"/>
  <c r="J114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B19" i="1"/>
  <c r="F19" i="1"/>
  <c r="H20" i="1"/>
  <c r="B20" i="1"/>
  <c r="F20" i="1"/>
  <c r="H21" i="1"/>
  <c r="B21" i="1"/>
  <c r="F21" i="1"/>
  <c r="H22" i="1"/>
  <c r="B22" i="1"/>
  <c r="F22" i="1"/>
  <c r="H23" i="1"/>
  <c r="B23" i="1"/>
  <c r="F23" i="1"/>
  <c r="H24" i="1"/>
  <c r="B24" i="1"/>
  <c r="F24" i="1"/>
  <c r="H25" i="1"/>
  <c r="B25" i="1"/>
  <c r="F25" i="1"/>
  <c r="H26" i="1"/>
  <c r="B26" i="1"/>
  <c r="F26" i="1"/>
  <c r="H27" i="1"/>
  <c r="B27" i="1"/>
  <c r="F27" i="1"/>
  <c r="H28" i="1"/>
  <c r="B28" i="1"/>
  <c r="F28" i="1"/>
  <c r="H29" i="1"/>
  <c r="B29" i="1"/>
  <c r="F29" i="1"/>
  <c r="H30" i="1"/>
  <c r="B30" i="1"/>
  <c r="F30" i="1"/>
  <c r="H31" i="1"/>
  <c r="B31" i="1"/>
  <c r="F31" i="1"/>
  <c r="H32" i="1"/>
  <c r="B32" i="1"/>
  <c r="F32" i="1"/>
  <c r="H33" i="1"/>
  <c r="B33" i="1"/>
  <c r="F33" i="1"/>
  <c r="H34" i="1"/>
  <c r="B34" i="1"/>
  <c r="F34" i="1"/>
  <c r="H35" i="1"/>
  <c r="B35" i="1"/>
  <c r="F35" i="1"/>
  <c r="H36" i="1"/>
  <c r="B36" i="1"/>
  <c r="F36" i="1"/>
  <c r="H37" i="1"/>
  <c r="B37" i="1"/>
  <c r="F37" i="1"/>
  <c r="H38" i="1"/>
  <c r="B38" i="1"/>
  <c r="F38" i="1"/>
  <c r="H39" i="1"/>
  <c r="B39" i="1"/>
  <c r="F39" i="1"/>
  <c r="H40" i="1"/>
  <c r="B40" i="1"/>
  <c r="F40" i="1"/>
  <c r="H41" i="1"/>
  <c r="B41" i="1"/>
  <c r="F41" i="1"/>
  <c r="H42" i="1"/>
  <c r="B42" i="1"/>
  <c r="F42" i="1"/>
  <c r="H43" i="1"/>
  <c r="B43" i="1"/>
  <c r="F43" i="1"/>
  <c r="H44" i="1"/>
  <c r="B44" i="1"/>
  <c r="F44" i="1"/>
  <c r="H45" i="1"/>
  <c r="B45" i="1"/>
  <c r="F45" i="1"/>
  <c r="H46" i="1"/>
  <c r="B46" i="1"/>
  <c r="F46" i="1"/>
  <c r="H47" i="1"/>
  <c r="B47" i="1"/>
  <c r="F47" i="1"/>
  <c r="H48" i="1"/>
  <c r="B48" i="1"/>
  <c r="F48" i="1"/>
  <c r="H49" i="1"/>
  <c r="B49" i="1"/>
  <c r="F49" i="1"/>
  <c r="H50" i="1"/>
  <c r="B50" i="1"/>
  <c r="F50" i="1"/>
  <c r="H51" i="1"/>
  <c r="B51" i="1"/>
  <c r="F51" i="1"/>
  <c r="H52" i="1"/>
  <c r="B52" i="1"/>
  <c r="F52" i="1"/>
  <c r="H53" i="1"/>
  <c r="B53" i="1"/>
  <c r="F53" i="1"/>
  <c r="H54" i="1"/>
  <c r="B54" i="1"/>
  <c r="F54" i="1"/>
  <c r="H55" i="1"/>
  <c r="B55" i="1"/>
  <c r="F55" i="1"/>
  <c r="H56" i="1"/>
  <c r="B56" i="1"/>
  <c r="F56" i="1"/>
  <c r="H57" i="1"/>
  <c r="B57" i="1"/>
  <c r="F57" i="1"/>
  <c r="H58" i="1"/>
  <c r="B58" i="1"/>
  <c r="F58" i="1"/>
  <c r="H59" i="1"/>
  <c r="B59" i="1"/>
  <c r="F59" i="1"/>
  <c r="H60" i="1"/>
  <c r="B60" i="1"/>
  <c r="F60" i="1"/>
  <c r="H61" i="1"/>
  <c r="B61" i="1"/>
  <c r="F61" i="1"/>
  <c r="H62" i="1"/>
  <c r="B62" i="1"/>
  <c r="F62" i="1"/>
  <c r="H63" i="1"/>
  <c r="B63" i="1"/>
  <c r="F63" i="1"/>
  <c r="H64" i="1"/>
  <c r="B64" i="1"/>
  <c r="F64" i="1"/>
  <c r="H65" i="1"/>
  <c r="B65" i="1"/>
  <c r="F65" i="1"/>
  <c r="H66" i="1"/>
  <c r="B66" i="1"/>
  <c r="F66" i="1"/>
  <c r="H67" i="1"/>
  <c r="B67" i="1"/>
  <c r="F67" i="1"/>
  <c r="H68" i="1"/>
  <c r="B68" i="1"/>
  <c r="F68" i="1"/>
  <c r="H69" i="1"/>
  <c r="B69" i="1"/>
  <c r="F69" i="1"/>
  <c r="H70" i="1"/>
  <c r="B70" i="1"/>
  <c r="F70" i="1"/>
  <c r="H71" i="1"/>
  <c r="B71" i="1"/>
  <c r="F71" i="1"/>
  <c r="H72" i="1"/>
  <c r="B72" i="1"/>
  <c r="F72" i="1"/>
  <c r="H73" i="1"/>
  <c r="B73" i="1"/>
  <c r="F73" i="1"/>
  <c r="H74" i="1"/>
  <c r="B74" i="1"/>
  <c r="F74" i="1"/>
  <c r="H75" i="1"/>
  <c r="B75" i="1"/>
  <c r="F75" i="1"/>
  <c r="H76" i="1"/>
  <c r="B76" i="1"/>
  <c r="F76" i="1"/>
  <c r="H77" i="1"/>
  <c r="B77" i="1"/>
  <c r="F77" i="1"/>
  <c r="H78" i="1"/>
  <c r="B78" i="1"/>
  <c r="F78" i="1"/>
  <c r="H79" i="1"/>
  <c r="B79" i="1"/>
  <c r="F79" i="1"/>
  <c r="H80" i="1"/>
  <c r="B80" i="1"/>
  <c r="F80" i="1"/>
  <c r="H81" i="1"/>
  <c r="B81" i="1"/>
  <c r="F81" i="1"/>
  <c r="H82" i="1"/>
  <c r="B82" i="1"/>
  <c r="F82" i="1"/>
  <c r="H83" i="1"/>
  <c r="B83" i="1"/>
  <c r="F83" i="1"/>
  <c r="H84" i="1"/>
  <c r="B84" i="1"/>
  <c r="F84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K22" i="1"/>
  <c r="I26" i="1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17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21" i="3"/>
  <c r="D69" i="1"/>
  <c r="E6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I69" i="1"/>
  <c r="D70" i="1"/>
  <c r="E70" i="1"/>
  <c r="G70" i="1"/>
  <c r="I70" i="1"/>
  <c r="D71" i="1"/>
  <c r="E71" i="1"/>
  <c r="G71" i="1"/>
  <c r="I71" i="1"/>
  <c r="D72" i="1"/>
  <c r="E72" i="1"/>
  <c r="G72" i="1"/>
  <c r="I72" i="1"/>
  <c r="D73" i="1"/>
  <c r="E73" i="1"/>
  <c r="G73" i="1"/>
  <c r="I73" i="1"/>
  <c r="D74" i="1"/>
  <c r="E74" i="1"/>
  <c r="G74" i="1"/>
  <c r="I74" i="1"/>
  <c r="D75" i="1"/>
  <c r="E75" i="1"/>
  <c r="G75" i="1"/>
  <c r="I75" i="1"/>
  <c r="D76" i="1"/>
  <c r="E76" i="1"/>
  <c r="G76" i="1"/>
  <c r="I76" i="1"/>
  <c r="D77" i="1"/>
  <c r="E77" i="1"/>
  <c r="G77" i="1"/>
  <c r="I77" i="1"/>
  <c r="D78" i="1"/>
  <c r="E78" i="1"/>
  <c r="G78" i="1"/>
  <c r="I78" i="1"/>
  <c r="D79" i="1"/>
  <c r="E79" i="1"/>
  <c r="G79" i="1"/>
  <c r="I79" i="1"/>
  <c r="D80" i="1"/>
  <c r="E80" i="1"/>
  <c r="G80" i="1"/>
  <c r="I80" i="1"/>
  <c r="D81" i="1"/>
  <c r="E81" i="1"/>
  <c r="G81" i="1"/>
  <c r="I81" i="1"/>
  <c r="D82" i="1"/>
  <c r="E82" i="1"/>
  <c r="G82" i="1"/>
  <c r="I82" i="1"/>
  <c r="D83" i="1"/>
  <c r="E83" i="1"/>
  <c r="G83" i="1"/>
  <c r="I83" i="1"/>
  <c r="D84" i="1"/>
  <c r="E84" i="1"/>
  <c r="G84" i="1"/>
  <c r="I84" i="1"/>
  <c r="E98" i="7"/>
  <c r="E91" i="7"/>
  <c r="E85" i="7"/>
  <c r="M85" i="7"/>
  <c r="J85" i="7"/>
  <c r="H85" i="7"/>
  <c r="E78" i="7"/>
  <c r="E71" i="7"/>
  <c r="M71" i="7"/>
  <c r="J71" i="7"/>
  <c r="H71" i="7"/>
  <c r="E65" i="7"/>
  <c r="M65" i="7"/>
  <c r="J65" i="7"/>
  <c r="H65" i="7"/>
  <c r="E58" i="7"/>
  <c r="M58" i="7"/>
  <c r="J58" i="7"/>
  <c r="H58" i="7"/>
  <c r="E54" i="7"/>
  <c r="M54" i="7"/>
  <c r="J54" i="7"/>
  <c r="H54" i="7"/>
  <c r="E50" i="7"/>
  <c r="M50" i="7"/>
  <c r="J50" i="7"/>
  <c r="H50" i="7"/>
  <c r="E43" i="7"/>
  <c r="E38" i="7"/>
  <c r="E31" i="7"/>
  <c r="E22" i="7"/>
  <c r="E14" i="7"/>
  <c r="E7" i="7"/>
  <c r="M7" i="7"/>
  <c r="J7" i="7"/>
  <c r="H7" i="7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19" i="1"/>
  <c r="E65" i="1"/>
  <c r="I65" i="1"/>
  <c r="E66" i="1"/>
  <c r="I66" i="1"/>
  <c r="E67" i="1"/>
  <c r="I67" i="1"/>
  <c r="E68" i="1"/>
  <c r="I68" i="1"/>
  <c r="E53" i="1"/>
  <c r="I53" i="1"/>
  <c r="E54" i="1"/>
  <c r="I54" i="1"/>
  <c r="E55" i="1"/>
  <c r="I55" i="1"/>
  <c r="E56" i="1"/>
  <c r="I56" i="1"/>
  <c r="E57" i="1"/>
  <c r="I57" i="1"/>
  <c r="E58" i="1"/>
  <c r="I58" i="1"/>
  <c r="E59" i="1"/>
  <c r="I59" i="1"/>
  <c r="E60" i="1"/>
  <c r="I60" i="1"/>
  <c r="E61" i="1"/>
  <c r="I61" i="1"/>
  <c r="E62" i="1"/>
  <c r="I62" i="1"/>
  <c r="E63" i="1"/>
  <c r="I63" i="1"/>
  <c r="E64" i="1"/>
  <c r="I64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K23" i="1"/>
  <c r="K24" i="1"/>
  <c r="K25" i="1"/>
  <c r="L41" i="1"/>
  <c r="N3" i="4"/>
  <c r="N4" i="4"/>
  <c r="N2" i="4"/>
  <c r="G17" i="4"/>
  <c r="M21" i="2"/>
  <c r="P21" i="3"/>
  <c r="K21" i="3"/>
  <c r="O21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K22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K24" i="3"/>
  <c r="K23" i="3"/>
  <c r="N21" i="3"/>
  <c r="I22" i="3"/>
  <c r="K26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15" i="2"/>
  <c r="I21" i="1"/>
  <c r="I22" i="1"/>
  <c r="I23" i="1"/>
  <c r="I24" i="1"/>
  <c r="I25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M41" i="1"/>
  <c r="I20" i="1"/>
  <c r="G18" i="4"/>
  <c r="G19" i="4"/>
</calcChain>
</file>

<file path=xl/sharedStrings.xml><?xml version="1.0" encoding="utf-8"?>
<sst xmlns="http://schemas.openxmlformats.org/spreadsheetml/2006/main" count="295" uniqueCount="168">
  <si>
    <t>age</t>
  </si>
  <si>
    <t>vulnerability</t>
  </si>
  <si>
    <t>YPR</t>
  </si>
  <si>
    <t>SPR</t>
  </si>
  <si>
    <t>fecundity</t>
  </si>
  <si>
    <t>weight (kg)</t>
  </si>
  <si>
    <t>Parameters</t>
  </si>
  <si>
    <t>Outputs</t>
  </si>
  <si>
    <t>SBPRunfished</t>
  </si>
  <si>
    <t>SBPR</t>
  </si>
  <si>
    <t>Linf (von Bert)</t>
  </si>
  <si>
    <t>k  (von Bert)</t>
  </si>
  <si>
    <t>to  (von Bert)</t>
  </si>
  <si>
    <t>maturity</t>
  </si>
  <si>
    <t>length</t>
  </si>
  <si>
    <t>F (fishing mortality)</t>
  </si>
  <si>
    <t>M (Natural Mortality)</t>
  </si>
  <si>
    <t>Wa  (weight)</t>
  </si>
  <si>
    <t>Wb  (weight)</t>
  </si>
  <si>
    <t>fa  (fecundity)</t>
  </si>
  <si>
    <t>fb  (fecundity)</t>
  </si>
  <si>
    <t>F</t>
  </si>
  <si>
    <t>Equations</t>
  </si>
  <si>
    <t>Length at Age</t>
  </si>
  <si>
    <t>Length = Linf * (1-exp(-k*age-t0)</t>
  </si>
  <si>
    <t>Fecundity at Length</t>
  </si>
  <si>
    <t>Weight = Wa*(Length^Wb)*0.001</t>
  </si>
  <si>
    <t>Weight at Length (in kilograms)</t>
  </si>
  <si>
    <t>Eggs = fa*Length^fb</t>
  </si>
  <si>
    <t>Maturity at Length</t>
  </si>
  <si>
    <t>Vulnerability (Selectivity)</t>
  </si>
  <si>
    <t>N = Na-1*exp(-M-F*Vuln)</t>
  </si>
  <si>
    <t>Nunfished</t>
  </si>
  <si>
    <t>Nfished</t>
  </si>
  <si>
    <t>Yield</t>
  </si>
  <si>
    <t>m50  (maturity)</t>
  </si>
  <si>
    <t>m95  (maturity)</t>
  </si>
  <si>
    <t>V50  (vulnerability)</t>
  </si>
  <si>
    <t>V95  (vulnerability)</t>
  </si>
  <si>
    <t>Mat = 1/(1+exp(-(Length-m50)/((m95-m50)/log(19))))</t>
  </si>
  <si>
    <t>Vuln = 1/(1+exp(-(Length-sel50)/((sel95-sel50)/log(19))))</t>
  </si>
  <si>
    <t>N = Na-1*exp(-M)</t>
  </si>
  <si>
    <t>Y = N*(1-exp(-F*Vuln))</t>
  </si>
  <si>
    <t>Length Frequency Data</t>
  </si>
  <si>
    <t>Converted Age Frequency</t>
  </si>
  <si>
    <t>Length</t>
  </si>
  <si>
    <t>Age Bins</t>
  </si>
  <si>
    <t xml:space="preserve"> Age Frequency</t>
  </si>
  <si>
    <t>Instructions:</t>
  </si>
  <si>
    <t>Ages</t>
  </si>
  <si>
    <t>MeanWeight</t>
  </si>
  <si>
    <t>Unfished</t>
  </si>
  <si>
    <t>Z Estimate</t>
  </si>
  <si>
    <t>F Estimate</t>
  </si>
  <si>
    <t>Age Data for Analysis</t>
  </si>
  <si>
    <t>Fill in von Bertalanffy Growth parameters (cells B2-B4). The Age Frequency will be calculated for you.</t>
  </si>
  <si>
    <t>Logged Age Frequency</t>
  </si>
  <si>
    <t>Age Frequency For Fitting</t>
  </si>
  <si>
    <t>Copy and paste (values only) the Age Frequency into the Age Data for Analysis Cell. The Histogram should update to reflect the new data.</t>
  </si>
  <si>
    <t>Add a trend line. Click "Trend line options" to add the trend line equation to the plot. The slope is the estimated total mortality (Z).</t>
  </si>
  <si>
    <t>Enter the slope of the trend line into the blue box under "Z estimate" (cell L19). The estimated F will be calculated in cell M19.</t>
  </si>
  <si>
    <t>First, make sure the solver add-in is installed for your version of Excel.</t>
  </si>
  <si>
    <t>The SPR model and Mean Weight vs. Fishing Mortality graph will update automatically.</t>
  </si>
  <si>
    <t>Enter the observed mean weight in cell F13.</t>
  </si>
  <si>
    <t>Observed MeanWeight</t>
  </si>
  <si>
    <t>Make sure the box "Make Unconstrained Variables Non-Negative" is checked.</t>
  </si>
  <si>
    <t>Objective Function</t>
  </si>
  <si>
    <t>In the data tab, select "Solver". We will ask solver to find the F (cell B2) that will make the Objective Function equal zero.</t>
  </si>
  <si>
    <t>The Objective Function (cell F14) equals the predicted MeanWeight in cell K23 minus the Observed MeanWeight in cell F13.</t>
  </si>
  <si>
    <t>In the field "Set Objective", type "F14". Select "Value of" and type "0" (zero) in the next field.</t>
  </si>
  <si>
    <t>In the field after "By changing variable", type "B2".</t>
  </si>
  <si>
    <t>Lc</t>
  </si>
  <si>
    <t>Lbar</t>
  </si>
  <si>
    <t>Linf</t>
  </si>
  <si>
    <t>k</t>
  </si>
  <si>
    <t>Z</t>
  </si>
  <si>
    <t>M</t>
  </si>
  <si>
    <t>Instructions</t>
  </si>
  <si>
    <t>Length Data between Lc and Linf</t>
  </si>
  <si>
    <t>Length Props between Lc and Linf</t>
  </si>
  <si>
    <t>Lengths between Lc and Linf</t>
  </si>
  <si>
    <t>Enter this size in cell G14 (Lc).</t>
  </si>
  <si>
    <t>Enter the von Bertalanffy growth parameters and natural mortality in G11-G13.</t>
  </si>
  <si>
    <t>Examine the length data to determine the first size at full selectivity (the mode).</t>
  </si>
  <si>
    <t>The average size (Lbar) will be calculated for you.</t>
  </si>
  <si>
    <t>The length proportions will be calculated for you.</t>
  </si>
  <si>
    <t>Estimates of the total mortality (Z) and the Fishing mortality (F) will also be calculated.</t>
  </si>
  <si>
    <t>Estimate F using one of the methods provdided on the following sheets.</t>
  </si>
  <si>
    <t>SPR and YPR vs all Fishing mortalities will be graphed for you.</t>
  </si>
  <si>
    <t>If Length Frequency data is present, copy into Length Frequency Data column (B)</t>
  </si>
  <si>
    <t>SBPRfished</t>
  </si>
  <si>
    <t>Weight = wa*LN(Length)-wb*0.001</t>
  </si>
  <si>
    <t>This file was created by Sarah Valencia to assist people in learning basic fisheries modeling and size-based stock assessment methods.If you have questions or suggestions, please email me at sarah.r.valencia@gmail.com</t>
  </si>
  <si>
    <t>The SPR and YPR at that F will be calculated for you in cells K22 and K25.</t>
  </si>
  <si>
    <t>Enter the biological parameters in cells B3-B14.</t>
  </si>
  <si>
    <t xml:space="preserve">Copy and paste the values of the logged age-frequency into coumn J. </t>
  </si>
  <si>
    <t>Click on the scatter plot to adjust the range of points shown.</t>
  </si>
  <si>
    <t>The length frequency will be converted to an age structure, and binned according to the Age Bins</t>
  </si>
  <si>
    <t>The Logged Age Frequency should re-calculate in column I. Examine the values to determine which ages are fully selected (Usually the mode)</t>
  </si>
  <si>
    <t>Enter the biological parameters that describe your species in cells B3-B14.</t>
  </si>
  <si>
    <t>In cell B2, choose an appropriate starting value for F (between 0 and 1).</t>
  </si>
  <si>
    <t xml:space="preserve">Select "Solve". A pop up box should alert you that a solution has been found. </t>
  </si>
  <si>
    <t>Hit "Ok", and the estimated F will appear in cell B2.</t>
  </si>
  <si>
    <t>If Age Frequency data is present, copy and paste it into "Age Data For Analysis" Column. (H)</t>
  </si>
  <si>
    <t>You can change the blue entries. Results are displayed in red. All lengths in cm and ages in years. Logarithms (log) are of base 10 (=log10).</t>
  </si>
  <si>
    <t>Von Bertalanffy Growth Parameters</t>
  </si>
  <si>
    <t>1. Estimate asymptotic length (Loo) from maximum length (Lmax):</t>
  </si>
  <si>
    <t>logLoo = 0.044 + 0.9841 * log(Lmax)</t>
  </si>
  <si>
    <t>Lmax =</t>
  </si>
  <si>
    <t>cm</t>
  </si>
  <si>
    <t>Loo =</t>
  </si>
  <si>
    <t>s.e. range =</t>
  </si>
  <si>
    <t xml:space="preserve"> - </t>
  </si>
  <si>
    <t>Lmax / Loo =</t>
  </si>
  <si>
    <t>2. Estimate K from age and size at first maturity:</t>
  </si>
  <si>
    <t>K = LN(1 - Lm/Loo) / tm</t>
  </si>
  <si>
    <t>Lm =</t>
  </si>
  <si>
    <t>tm =</t>
  </si>
  <si>
    <t>y</t>
  </si>
  <si>
    <t>K =</t>
  </si>
  <si>
    <t>1/y</t>
  </si>
  <si>
    <t>3. Estimate age for any given length from von Bertalanffy growth function (VBGF):</t>
  </si>
  <si>
    <t>t = to - LN(1 - L/Loo) / K</t>
  </si>
  <si>
    <t>L =</t>
  </si>
  <si>
    <t>to =</t>
  </si>
  <si>
    <t>t =</t>
  </si>
  <si>
    <t>4. Estimate length for any given age from VBGF:</t>
  </si>
  <si>
    <t>L = Loo (1 - exp-K * (t - to) )</t>
  </si>
  <si>
    <t>Estimate Natural Mortality</t>
  </si>
  <si>
    <r>
      <t>5. Estimate M from tmax (</t>
    </r>
    <r>
      <rPr>
        <sz val="12"/>
        <rFont val="Arial"/>
      </rPr>
      <t>Quinn &amp; Deriso 1999)</t>
    </r>
  </si>
  <si>
    <t>M = 3 / tmax</t>
  </si>
  <si>
    <t>tmax =</t>
  </si>
  <si>
    <t>6. Estimate M from from growth rate (K) (Jensen 1996)</t>
  </si>
  <si>
    <t>M = 1.6*k</t>
  </si>
  <si>
    <t xml:space="preserve">M = </t>
  </si>
  <si>
    <t>Length at First Maturity</t>
  </si>
  <si>
    <t xml:space="preserve">7. Estimate length at first maturity (Lm) from Loo: </t>
  </si>
  <si>
    <t>Unsexed: logLm = 0.8979 * logLoo - 0.0782 ;   r2 = 0.888 ;  s.e. = 0.127 ; n = 467</t>
  </si>
  <si>
    <t xml:space="preserve"> -</t>
  </si>
  <si>
    <t>Lm / Loo =</t>
  </si>
  <si>
    <t>Female: logLm = 0.9469 * logLoo - 0.1162 ;  r2 = 0.905 ; s.e. = 0.122 ; n = 167</t>
  </si>
  <si>
    <t>Male:  logLm = 0.8915 * logLoo - 0.1032 ;  r2 = 0.855 ;  s.e. = 0.147 ;  n = 115</t>
  </si>
  <si>
    <t>Length at Maximum Yield (Lopt)</t>
  </si>
  <si>
    <t>8. Estimate length at maximum possible yield (Lopt) from Loo:</t>
  </si>
  <si>
    <t>logLopt = 1.0421 * logLoo - 0.2742 ;  r2 = 0.97 ;  s.e. = 0.073 ;  n = 206</t>
  </si>
  <si>
    <t>Lopt =</t>
  </si>
  <si>
    <t>Lopt / Loo =</t>
  </si>
  <si>
    <t>9. Estimate Lopt from Lm:</t>
  </si>
  <si>
    <t>logLopt = 1.053 * logLm - 0.0565 ;  r2 = 0.89 ;  s.e. = 0.139 ;  n = 76</t>
  </si>
  <si>
    <t xml:space="preserve">Lm = </t>
  </si>
  <si>
    <t>Lm / Lopt =</t>
  </si>
  <si>
    <t>10. Estimate Lopt from VBGF and natural mortality (M):</t>
  </si>
  <si>
    <t>Lopt = 3 * Loo / (3 + M / K)</t>
  </si>
  <si>
    <t>M =</t>
  </si>
  <si>
    <t>Estimate Maximum Age (Lifespan)</t>
  </si>
  <si>
    <t>11. Estimate life span (tmax) from age at first maturity (tm):</t>
  </si>
  <si>
    <t>logtmax = 0.5496 + 0.957 * logtm ;  r2 = 0.77 ; s.e. = 0.194 ; n = 432</t>
  </si>
  <si>
    <t>tm / tmax =</t>
  </si>
  <si>
    <t>12. Estimate tmax from K:</t>
  </si>
  <si>
    <t>tmax = 3 / K</t>
  </si>
  <si>
    <t>U = 1-exp(-F)</t>
  </si>
  <si>
    <t>F =</t>
  </si>
  <si>
    <t xml:space="preserve">U = </t>
  </si>
  <si>
    <t>Annual Harvest Rate</t>
  </si>
  <si>
    <t>13. Convert Instantaneous Fishing Mortality to an Annual Harvest Rate</t>
  </si>
  <si>
    <t>Copy the lengths, length data between Lc and Lmax in columns L-M.</t>
  </si>
  <si>
    <t>Enter your estimate of F for your species in cells B2.</t>
  </si>
  <si>
    <t>Copy Length Frequency data into column B. Click on histogram to change range of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</si>
</sst>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00"/>
    <numFmt numFmtId="165" formatCode="_(* #,##0.000_);_(* \(#,##0.000\);_(* &quot;-&quot;??_);_(@_)"/>
    <numFmt numFmtId="166" formatCode="_(* #,##0_);_(* \(#,##0\);_(* &quot;-&quot;??_);_(@_)"/>
    <numFmt numFmtId="167" formatCode="_(* #,##0.000000_);_(* \(#,##0.000000\);_(* &quot;-&quot;??_);_(@_)"/>
    <numFmt numFmtId="168" formatCode="_(* #,##0.0000000_);_(* \(#,##0.0000000\);_(* &quot;-&quot;??_);_(@_)"/>
    <numFmt numFmtId="169" formatCode="0.0000"/>
    <numFmt numFmtId="170" formatCode="0.0"/>
    <numFmt numFmtId="171" formatCode="#,##0.00000_);\(#,##0.00000\)"/>
  </numFmts>
  <fonts count="22" x14ac:knownFonts="1">
    <font>
      <sz val="1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3"/>
      <color rgb="FF000000"/>
      <name val="Verdana"/>
    </font>
    <font>
      <b/>
      <sz val="12"/>
      <color theme="1"/>
      <name val="Calibri"/>
      <family val="2"/>
      <scheme val="minor"/>
    </font>
    <font>
      <b/>
      <sz val="12"/>
      <name val="Arial"/>
    </font>
    <font>
      <sz val="12"/>
      <color indexed="8"/>
      <name val="Arial"/>
    </font>
    <font>
      <sz val="12"/>
      <color indexed="12"/>
      <name val="Arial"/>
    </font>
    <font>
      <sz val="12"/>
      <name val="Arial"/>
    </font>
    <font>
      <sz val="12"/>
      <color indexed="10"/>
      <name val="Arial"/>
    </font>
    <font>
      <sz val="10"/>
      <color indexed="12"/>
      <name val="Arial"/>
    </font>
    <font>
      <sz val="10"/>
      <color indexed="10"/>
      <name val="Arial"/>
    </font>
    <font>
      <sz val="10"/>
      <color rgb="FFFF0000"/>
      <name val="Arial"/>
    </font>
    <font>
      <sz val="10"/>
      <color rgb="FF0000FF"/>
      <name val="Arial"/>
    </font>
    <font>
      <sz val="12"/>
      <color rgb="FF000000"/>
      <name val="Verdana"/>
    </font>
    <font>
      <b/>
      <sz val="12"/>
      <color rgb="FF333333"/>
      <name val="Arial"/>
    </font>
    <font>
      <sz val="12"/>
      <color rgb="FF333333"/>
      <name val="Arial"/>
    </font>
    <font>
      <sz val="16"/>
      <color theme="1"/>
      <name val="Calibri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</borders>
  <cellStyleXfs count="275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2">
    <xf numFmtId="0" fontId="0" fillId="0" borderId="0" xfId="0"/>
    <xf numFmtId="1" fontId="0" fillId="0" borderId="0" xfId="0" applyNumberFormat="1"/>
    <xf numFmtId="43" fontId="0" fillId="0" borderId="0" xfId="1" applyFont="1"/>
    <xf numFmtId="0" fontId="4" fillId="0" borderId="0" xfId="0" applyFont="1"/>
    <xf numFmtId="165" fontId="0" fillId="0" borderId="0" xfId="1" applyNumberFormat="1" applyFont="1"/>
    <xf numFmtId="43" fontId="0" fillId="0" borderId="0" xfId="0" applyNumberFormat="1"/>
    <xf numFmtId="168" fontId="0" fillId="0" borderId="0" xfId="1" applyNumberFormat="1" applyFont="1"/>
    <xf numFmtId="166" fontId="0" fillId="0" borderId="0" xfId="1" applyNumberFormat="1" applyFont="1"/>
    <xf numFmtId="39" fontId="0" fillId="0" borderId="0" xfId="1" applyNumberFormat="1" applyFont="1"/>
    <xf numFmtId="167" fontId="0" fillId="0" borderId="0" xfId="1" applyNumberFormat="1" applyFont="1"/>
    <xf numFmtId="43" fontId="0" fillId="0" borderId="0" xfId="1" applyFont="1" applyAlignment="1"/>
    <xf numFmtId="0" fontId="4" fillId="0" borderId="0" xfId="0" applyFont="1" applyFill="1"/>
    <xf numFmtId="16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2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applyBorder="1"/>
    <xf numFmtId="0" fontId="0" fillId="0" borderId="5" xfId="0" applyBorder="1"/>
    <xf numFmtId="0" fontId="0" fillId="4" borderId="0" xfId="0" applyFill="1"/>
    <xf numFmtId="0" fontId="4" fillId="2" borderId="6" xfId="0" applyFont="1" applyFill="1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3" xfId="0" applyFill="1" applyBorder="1"/>
    <xf numFmtId="169" fontId="0" fillId="0" borderId="0" xfId="0" applyNumberFormat="1"/>
    <xf numFmtId="0" fontId="0" fillId="0" borderId="0" xfId="0" applyBorder="1"/>
    <xf numFmtId="1" fontId="0" fillId="0" borderId="0" xfId="0" applyNumberFormat="1" applyBorder="1"/>
    <xf numFmtId="0" fontId="0" fillId="0" borderId="7" xfId="0" applyBorder="1"/>
    <xf numFmtId="1" fontId="0" fillId="0" borderId="7" xfId="0" applyNumberFormat="1" applyBorder="1"/>
    <xf numFmtId="0" fontId="0" fillId="0" borderId="3" xfId="0" applyBorder="1"/>
    <xf numFmtId="1" fontId="0" fillId="0" borderId="8" xfId="0" applyNumberFormat="1" applyBorder="1"/>
    <xf numFmtId="0" fontId="0" fillId="0" borderId="17" xfId="0" applyBorder="1" applyAlignment="1">
      <alignment wrapText="1"/>
    </xf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6" borderId="0" xfId="0" applyFill="1"/>
    <xf numFmtId="0" fontId="0" fillId="6" borderId="7" xfId="0" applyFill="1" applyBorder="1"/>
    <xf numFmtId="0" fontId="0" fillId="6" borderId="0" xfId="0" applyFill="1" applyBorder="1"/>
    <xf numFmtId="0" fontId="0" fillId="6" borderId="3" xfId="0" applyFill="1" applyBorder="1"/>
    <xf numFmtId="0" fontId="4" fillId="7" borderId="6" xfId="0" applyFont="1" applyFill="1" applyBorder="1"/>
    <xf numFmtId="165" fontId="0" fillId="7" borderId="2" xfId="1" applyNumberFormat="1" applyFont="1" applyFill="1" applyBorder="1"/>
    <xf numFmtId="0" fontId="0" fillId="7" borderId="7" xfId="0" applyFill="1" applyBorder="1"/>
    <xf numFmtId="0" fontId="0" fillId="7" borderId="3" xfId="0" applyFill="1" applyBorder="1"/>
    <xf numFmtId="1" fontId="0" fillId="7" borderId="3" xfId="0" applyNumberFormat="1" applyFill="1" applyBorder="1"/>
    <xf numFmtId="43" fontId="0" fillId="7" borderId="7" xfId="1" applyFont="1" applyFill="1" applyBorder="1" applyAlignment="1"/>
    <xf numFmtId="166" fontId="0" fillId="7" borderId="3" xfId="1" applyNumberFormat="1" applyFont="1" applyFill="1" applyBorder="1"/>
    <xf numFmtId="0" fontId="0" fillId="7" borderId="8" xfId="0" applyFill="1" applyBorder="1"/>
    <xf numFmtId="167" fontId="0" fillId="7" borderId="5" xfId="1" applyNumberFormat="1" applyFont="1" applyFill="1" applyBorder="1"/>
    <xf numFmtId="0" fontId="0" fillId="7" borderId="7" xfId="0" applyFont="1" applyFill="1" applyBorder="1"/>
    <xf numFmtId="0" fontId="0" fillId="7" borderId="0" xfId="0" applyFill="1" applyBorder="1"/>
    <xf numFmtId="0" fontId="4" fillId="5" borderId="6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3" xfId="0" applyFill="1" applyBorder="1"/>
    <xf numFmtId="0" fontId="4" fillId="5" borderId="16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8" borderId="0" xfId="0" applyFill="1"/>
    <xf numFmtId="0" fontId="4" fillId="9" borderId="0" xfId="0" applyFont="1" applyFill="1"/>
    <xf numFmtId="0" fontId="0" fillId="9" borderId="0" xfId="0" applyFill="1"/>
    <xf numFmtId="0" fontId="0" fillId="9" borderId="7" xfId="0" applyFill="1" applyBorder="1"/>
    <xf numFmtId="0" fontId="0" fillId="9" borderId="0" xfId="0" applyFill="1" applyBorder="1"/>
    <xf numFmtId="0" fontId="0" fillId="9" borderId="3" xfId="0" applyFill="1" applyBorder="1"/>
    <xf numFmtId="0" fontId="0" fillId="8" borderId="8" xfId="0" applyFill="1" applyBorder="1"/>
    <xf numFmtId="0" fontId="0" fillId="8" borderId="4" xfId="0" applyFill="1" applyBorder="1"/>
    <xf numFmtId="0" fontId="0" fillId="8" borderId="5" xfId="0" applyFill="1" applyBorder="1"/>
    <xf numFmtId="0" fontId="4" fillId="5" borderId="18" xfId="0" applyFont="1" applyFill="1" applyBorder="1"/>
    <xf numFmtId="0" fontId="0" fillId="5" borderId="18" xfId="0" applyFill="1" applyBorder="1"/>
    <xf numFmtId="0" fontId="4" fillId="0" borderId="6" xfId="0" applyFont="1" applyBorder="1"/>
    <xf numFmtId="0" fontId="0" fillId="10" borderId="7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6" borderId="8" xfId="0" applyFill="1" applyBorder="1"/>
    <xf numFmtId="0" fontId="0" fillId="6" borderId="4" xfId="0" applyFill="1" applyBorder="1"/>
    <xf numFmtId="0" fontId="0" fillId="6" borderId="5" xfId="0" applyFill="1" applyBorder="1"/>
    <xf numFmtId="165" fontId="0" fillId="15" borderId="18" xfId="1" applyNumberFormat="1" applyFont="1" applyFill="1" applyBorder="1"/>
    <xf numFmtId="0" fontId="4" fillId="15" borderId="18" xfId="0" applyFont="1" applyFill="1" applyBorder="1" applyAlignment="1">
      <alignment horizontal="center"/>
    </xf>
    <xf numFmtId="0" fontId="4" fillId="15" borderId="18" xfId="0" applyFont="1" applyFill="1" applyBorder="1"/>
    <xf numFmtId="0" fontId="0" fillId="15" borderId="7" xfId="0" applyFill="1" applyBorder="1"/>
    <xf numFmtId="0" fontId="0" fillId="15" borderId="0" xfId="0" applyFill="1" applyBorder="1"/>
    <xf numFmtId="0" fontId="0" fillId="15" borderId="3" xfId="0" applyFill="1" applyBorder="1"/>
    <xf numFmtId="0" fontId="4" fillId="2" borderId="18" xfId="0" applyFont="1" applyFill="1" applyBorder="1"/>
    <xf numFmtId="0" fontId="0" fillId="2" borderId="18" xfId="0" applyFill="1" applyBorder="1"/>
    <xf numFmtId="0" fontId="7" fillId="9" borderId="0" xfId="0" applyFont="1" applyFill="1" applyBorder="1"/>
    <xf numFmtId="0" fontId="0" fillId="9" borderId="13" xfId="0" applyFill="1" applyBorder="1"/>
    <xf numFmtId="0" fontId="0" fillId="9" borderId="14" xfId="0" applyFill="1" applyBorder="1"/>
    <xf numFmtId="170" fontId="0" fillId="0" borderId="0" xfId="0" applyNumberFormat="1"/>
    <xf numFmtId="2" fontId="0" fillId="0" borderId="0" xfId="0" applyNumberFormat="1"/>
    <xf numFmtId="0" fontId="8" fillId="3" borderId="0" xfId="0" applyFont="1" applyFill="1"/>
    <xf numFmtId="0" fontId="0" fillId="3" borderId="0" xfId="0" applyFill="1"/>
    <xf numFmtId="170" fontId="0" fillId="3" borderId="0" xfId="0" applyNumberFormat="1" applyFill="1"/>
    <xf numFmtId="2" fontId="0" fillId="3" borderId="0" xfId="0" applyNumberFormat="1" applyFill="1"/>
    <xf numFmtId="0" fontId="9" fillId="0" borderId="0" xfId="0" applyFont="1"/>
    <xf numFmtId="0" fontId="3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70" fontId="13" fillId="0" borderId="0" xfId="0" applyNumberFormat="1" applyFont="1"/>
    <xf numFmtId="2" fontId="13" fillId="0" borderId="0" xfId="0" applyNumberFormat="1" applyFont="1"/>
    <xf numFmtId="0" fontId="12" fillId="0" borderId="0" xfId="0" applyFont="1" applyAlignment="1">
      <alignment horizontal="center"/>
    </xf>
    <xf numFmtId="0" fontId="14" fillId="0" borderId="0" xfId="0" applyFont="1"/>
    <xf numFmtId="2" fontId="15" fillId="0" borderId="0" xfId="0" applyNumberFormat="1" applyFont="1"/>
    <xf numFmtId="170" fontId="15" fillId="0" borderId="0" xfId="0" applyNumberFormat="1" applyFont="1"/>
    <xf numFmtId="0" fontId="12" fillId="3" borderId="0" xfId="0" applyFont="1" applyFill="1"/>
    <xf numFmtId="170" fontId="13" fillId="3" borderId="0" xfId="0" applyNumberFormat="1" applyFont="1" applyFill="1"/>
    <xf numFmtId="2" fontId="13" fillId="3" borderId="0" xfId="0" applyNumberFormat="1" applyFont="1" applyFill="1"/>
    <xf numFmtId="0" fontId="12" fillId="3" borderId="0" xfId="0" applyFont="1" applyFill="1" applyAlignment="1">
      <alignment horizontal="center"/>
    </xf>
    <xf numFmtId="170" fontId="12" fillId="0" borderId="0" xfId="0" applyNumberFormat="1" applyFont="1"/>
    <xf numFmtId="2" fontId="12" fillId="0" borderId="0" xfId="0" applyNumberFormat="1" applyFont="1"/>
    <xf numFmtId="0" fontId="0" fillId="0" borderId="0" xfId="0" applyFill="1"/>
    <xf numFmtId="170" fontId="0" fillId="0" borderId="0" xfId="0" applyNumberFormat="1" applyFill="1"/>
    <xf numFmtId="2" fontId="0" fillId="0" borderId="0" xfId="0" applyNumberFormat="1" applyFill="1"/>
    <xf numFmtId="0" fontId="16" fillId="0" borderId="0" xfId="0" applyFont="1"/>
    <xf numFmtId="0" fontId="17" fillId="0" borderId="0" xfId="0" applyFont="1"/>
    <xf numFmtId="0" fontId="0" fillId="3" borderId="7" xfId="0" applyFill="1" applyBorder="1"/>
    <xf numFmtId="0" fontId="0" fillId="3" borderId="0" xfId="0" applyFill="1" applyBorder="1"/>
    <xf numFmtId="0" fontId="0" fillId="3" borderId="3" xfId="0" applyFill="1" applyBorder="1"/>
    <xf numFmtId="0" fontId="4" fillId="3" borderId="10" xfId="0" applyFont="1" applyFill="1" applyBorder="1" applyAlignment="1">
      <alignment wrapText="1"/>
    </xf>
    <xf numFmtId="0" fontId="0" fillId="16" borderId="7" xfId="0" applyFill="1" applyBorder="1"/>
    <xf numFmtId="0" fontId="0" fillId="16" borderId="0" xfId="0" applyFill="1" applyBorder="1"/>
    <xf numFmtId="0" fontId="0" fillId="16" borderId="3" xfId="0" applyFill="1" applyBorder="1"/>
    <xf numFmtId="0" fontId="0" fillId="16" borderId="0" xfId="0" applyFill="1"/>
    <xf numFmtId="0" fontId="0" fillId="17" borderId="7" xfId="0" applyFill="1" applyBorder="1"/>
    <xf numFmtId="0" fontId="0" fillId="17" borderId="0" xfId="0" applyFill="1" applyBorder="1"/>
    <xf numFmtId="0" fontId="0" fillId="17" borderId="3" xfId="0" applyFill="1" applyBorder="1"/>
    <xf numFmtId="0" fontId="0" fillId="18" borderId="7" xfId="0" applyFill="1" applyBorder="1"/>
    <xf numFmtId="0" fontId="0" fillId="18" borderId="0" xfId="0" applyFill="1" applyBorder="1"/>
    <xf numFmtId="0" fontId="0" fillId="18" borderId="3" xfId="0" applyFill="1" applyBorder="1"/>
    <xf numFmtId="0" fontId="4" fillId="18" borderId="0" xfId="0" applyFont="1" applyFill="1" applyBorder="1" applyAlignment="1">
      <alignment wrapText="1"/>
    </xf>
    <xf numFmtId="0" fontId="4" fillId="18" borderId="15" xfId="0" applyFont="1" applyFill="1" applyBorder="1" applyAlignment="1">
      <alignment wrapText="1"/>
    </xf>
    <xf numFmtId="0" fontId="0" fillId="19" borderId="7" xfId="0" applyFill="1" applyBorder="1"/>
    <xf numFmtId="0" fontId="0" fillId="19" borderId="0" xfId="0" applyFill="1" applyBorder="1"/>
    <xf numFmtId="0" fontId="0" fillId="19" borderId="3" xfId="0" applyFill="1" applyBorder="1"/>
    <xf numFmtId="0" fontId="4" fillId="19" borderId="15" xfId="0" applyFont="1" applyFill="1" applyBorder="1" applyAlignment="1">
      <alignment wrapText="1"/>
    </xf>
    <xf numFmtId="0" fontId="0" fillId="20" borderId="7" xfId="0" applyFill="1" applyBorder="1"/>
    <xf numFmtId="0" fontId="0" fillId="20" borderId="0" xfId="0" applyFill="1" applyBorder="1"/>
    <xf numFmtId="0" fontId="0" fillId="20" borderId="3" xfId="0" applyFill="1" applyBorder="1"/>
    <xf numFmtId="0" fontId="0" fillId="20" borderId="0" xfId="0" applyFill="1"/>
    <xf numFmtId="0" fontId="9" fillId="2" borderId="19" xfId="0" applyFont="1" applyFill="1" applyBorder="1"/>
    <xf numFmtId="0" fontId="9" fillId="2" borderId="20" xfId="0" applyFont="1" applyFill="1" applyBorder="1"/>
    <xf numFmtId="0" fontId="9" fillId="2" borderId="6" xfId="0" applyFont="1" applyFill="1" applyBorder="1"/>
    <xf numFmtId="0" fontId="12" fillId="2" borderId="1" xfId="0" applyFont="1" applyFill="1" applyBorder="1"/>
    <xf numFmtId="0" fontId="12" fillId="2" borderId="2" xfId="0" applyFont="1" applyFill="1" applyBorder="1"/>
    <xf numFmtId="0" fontId="9" fillId="7" borderId="7" xfId="0" applyFont="1" applyFill="1" applyBorder="1"/>
    <xf numFmtId="0" fontId="12" fillId="7" borderId="3" xfId="0" applyFont="1" applyFill="1" applyBorder="1"/>
    <xf numFmtId="0" fontId="12" fillId="10" borderId="7" xfId="0" applyFont="1" applyFill="1" applyBorder="1"/>
    <xf numFmtId="0" fontId="12" fillId="10" borderId="0" xfId="0" applyFont="1" applyFill="1" applyBorder="1"/>
    <xf numFmtId="0" fontId="12" fillId="10" borderId="3" xfId="0" applyFont="1" applyFill="1" applyBorder="1"/>
    <xf numFmtId="0" fontId="12" fillId="6" borderId="7" xfId="0" applyFont="1" applyFill="1" applyBorder="1"/>
    <xf numFmtId="0" fontId="12" fillId="6" borderId="0" xfId="0" applyFont="1" applyFill="1" applyBorder="1"/>
    <xf numFmtId="0" fontId="12" fillId="6" borderId="3" xfId="0" applyFont="1" applyFill="1" applyBorder="1"/>
    <xf numFmtId="0" fontId="12" fillId="13" borderId="7" xfId="0" applyFont="1" applyFill="1" applyBorder="1"/>
    <xf numFmtId="0" fontId="12" fillId="13" borderId="0" xfId="0" applyFont="1" applyFill="1" applyBorder="1"/>
    <xf numFmtId="0" fontId="12" fillId="13" borderId="3" xfId="0" applyFont="1" applyFill="1" applyBorder="1"/>
    <xf numFmtId="0" fontId="9" fillId="7" borderId="8" xfId="0" applyFont="1" applyFill="1" applyBorder="1"/>
    <xf numFmtId="0" fontId="12" fillId="7" borderId="7" xfId="0" applyFont="1" applyFill="1" applyBorder="1"/>
    <xf numFmtId="0" fontId="12" fillId="7" borderId="0" xfId="0" applyFont="1" applyFill="1" applyBorder="1"/>
    <xf numFmtId="0" fontId="18" fillId="10" borderId="0" xfId="0" applyFont="1" applyFill="1" applyBorder="1"/>
    <xf numFmtId="0" fontId="12" fillId="11" borderId="7" xfId="0" applyFont="1" applyFill="1" applyBorder="1"/>
    <xf numFmtId="0" fontId="12" fillId="11" borderId="0" xfId="0" applyFont="1" applyFill="1" applyBorder="1"/>
    <xf numFmtId="0" fontId="12" fillId="11" borderId="3" xfId="0" applyFont="1" applyFill="1" applyBorder="1"/>
    <xf numFmtId="0" fontId="12" fillId="9" borderId="7" xfId="0" applyFont="1" applyFill="1" applyBorder="1"/>
    <xf numFmtId="0" fontId="12" fillId="9" borderId="0" xfId="0" applyFont="1" applyFill="1" applyBorder="1"/>
    <xf numFmtId="0" fontId="12" fillId="9" borderId="3" xfId="0" applyFont="1" applyFill="1" applyBorder="1"/>
    <xf numFmtId="0" fontId="12" fillId="14" borderId="7" xfId="0" applyFont="1" applyFill="1" applyBorder="1"/>
    <xf numFmtId="0" fontId="12" fillId="14" borderId="0" xfId="0" applyFont="1" applyFill="1" applyBorder="1"/>
    <xf numFmtId="0" fontId="12" fillId="14" borderId="3" xfId="0" applyFont="1" applyFill="1" applyBorder="1"/>
    <xf numFmtId="0" fontId="12" fillId="12" borderId="7" xfId="0" applyFont="1" applyFill="1" applyBorder="1"/>
    <xf numFmtId="0" fontId="12" fillId="12" borderId="0" xfId="0" applyFont="1" applyFill="1" applyBorder="1"/>
    <xf numFmtId="0" fontId="12" fillId="12" borderId="3" xfId="0" applyFont="1" applyFill="1" applyBorder="1"/>
    <xf numFmtId="0" fontId="12" fillId="2" borderId="8" xfId="0" applyFont="1" applyFill="1" applyBorder="1"/>
    <xf numFmtId="0" fontId="12" fillId="2" borderId="4" xfId="0" applyFont="1" applyFill="1" applyBorder="1"/>
    <xf numFmtId="0" fontId="12" fillId="2" borderId="5" xfId="0" applyFont="1" applyFill="1" applyBorder="1"/>
    <xf numFmtId="0" fontId="9" fillId="6" borderId="10" xfId="0" applyFont="1" applyFill="1" applyBorder="1" applyAlignment="1">
      <alignment wrapText="1"/>
    </xf>
    <xf numFmtId="0" fontId="9" fillId="13" borderId="10" xfId="0" applyFont="1" applyFill="1" applyBorder="1" applyAlignment="1">
      <alignment wrapText="1"/>
    </xf>
    <xf numFmtId="0" fontId="19" fillId="0" borderId="10" xfId="0" applyFont="1" applyFill="1" applyBorder="1" applyAlignment="1">
      <alignment wrapText="1"/>
    </xf>
    <xf numFmtId="0" fontId="9" fillId="10" borderId="10" xfId="0" applyFont="1" applyFill="1" applyBorder="1" applyAlignment="1">
      <alignment wrapText="1"/>
    </xf>
    <xf numFmtId="0" fontId="9" fillId="11" borderId="10" xfId="0" applyFont="1" applyFill="1" applyBorder="1" applyAlignment="1">
      <alignment wrapText="1"/>
    </xf>
    <xf numFmtId="0" fontId="9" fillId="9" borderId="9" xfId="0" applyFont="1" applyFill="1" applyBorder="1" applyAlignment="1">
      <alignment wrapText="1"/>
    </xf>
    <xf numFmtId="0" fontId="20" fillId="0" borderId="0" xfId="0" applyFont="1"/>
    <xf numFmtId="0" fontId="9" fillId="12" borderId="6" xfId="0" applyFont="1" applyFill="1" applyBorder="1"/>
    <xf numFmtId="0" fontId="9" fillId="12" borderId="2" xfId="0" applyFont="1" applyFill="1" applyBorder="1"/>
    <xf numFmtId="0" fontId="12" fillId="12" borderId="8" xfId="0" applyFont="1" applyFill="1" applyBorder="1"/>
    <xf numFmtId="0" fontId="12" fillId="12" borderId="5" xfId="0" applyFont="1" applyFill="1" applyBorder="1"/>
    <xf numFmtId="0" fontId="12" fillId="14" borderId="0" xfId="0" applyFont="1" applyFill="1"/>
    <xf numFmtId="171" fontId="0" fillId="0" borderId="0" xfId="1" applyNumberFormat="1" applyFont="1"/>
    <xf numFmtId="0" fontId="21" fillId="0" borderId="0" xfId="234" applyFont="1"/>
    <xf numFmtId="11" fontId="21" fillId="0" borderId="0" xfId="234" applyNumberFormat="1" applyFont="1"/>
    <xf numFmtId="0" fontId="21" fillId="0" borderId="0" xfId="234" applyFont="1" applyFill="1"/>
  </cellXfs>
  <cellStyles count="275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  <cellStyle name="Normal 2" xfId="234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SPR and YPR</a:t>
            </a:r>
          </a:p>
        </c:rich>
      </c:tx>
      <c:layout>
        <c:manualLayout>
          <c:xMode val="edge"/>
          <c:yMode val="edge"/>
          <c:x val="0.405295319628671"/>
          <c:y val="0.039215660542432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492871690428"/>
          <c:y val="0.231373435100471"/>
          <c:w val="0.712830957230142"/>
          <c:h val="0.572551212282522"/>
        </c:manualLayout>
      </c:layout>
      <c:scatterChart>
        <c:scatterStyle val="lineMarker"/>
        <c:varyColors val="0"/>
        <c:ser>
          <c:idx val="0"/>
          <c:order val="0"/>
          <c:tx>
            <c:v>SPR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SPR_YPR!$K$42:$K$192</c:f>
              <c:numCache>
                <c:formatCode>#,##0.00_);\(#,##0.00\)</c:formatCode>
                <c:ptCount val="15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 formatCode="_(* #,##0.00_);_(* \(#,##0.00\);_(* &quot;-&quot;??_);_(@_)">
                  <c:v>0.06</c:v>
                </c:pt>
                <c:pt idx="7" formatCode="_(* #,##0.00_);_(* \(#,##0.00\);_(* &quot;-&quot;??_);_(@_)">
                  <c:v>0.07</c:v>
                </c:pt>
                <c:pt idx="8" formatCode="_(* #,##0.00_);_(* \(#,##0.00\);_(* &quot;-&quot;??_);_(@_)">
                  <c:v>0.08</c:v>
                </c:pt>
                <c:pt idx="9" formatCode="_(* #,##0.00_);_(* \(#,##0.00\);_(* &quot;-&quot;??_);_(@_)">
                  <c:v>0.09</c:v>
                </c:pt>
                <c:pt idx="10" formatCode="_(* #,##0.00_);_(* \(#,##0.00\);_(* &quot;-&quot;??_);_(@_)">
                  <c:v>0.1</c:v>
                </c:pt>
                <c:pt idx="11" formatCode="_(* #,##0.00_);_(* \(#,##0.00\);_(* &quot;-&quot;??_);_(@_)">
                  <c:v>0.11</c:v>
                </c:pt>
                <c:pt idx="12" formatCode="_(* #,##0.00_);_(* \(#,##0.00\);_(* &quot;-&quot;??_);_(@_)">
                  <c:v>0.12</c:v>
                </c:pt>
                <c:pt idx="13" formatCode="_(* #,##0.00_);_(* \(#,##0.00\);_(* &quot;-&quot;??_);_(@_)">
                  <c:v>0.13</c:v>
                </c:pt>
                <c:pt idx="14" formatCode="_(* #,##0.00_);_(* \(#,##0.00\);_(* &quot;-&quot;??_);_(@_)">
                  <c:v>0.14</c:v>
                </c:pt>
                <c:pt idx="15" formatCode="_(* #,##0.00_);_(* \(#,##0.00\);_(* &quot;-&quot;??_);_(@_)">
                  <c:v>0.15</c:v>
                </c:pt>
                <c:pt idx="16" formatCode="_(* #,##0.00_);_(* \(#,##0.00\);_(* &quot;-&quot;??_);_(@_)">
                  <c:v>0.16</c:v>
                </c:pt>
                <c:pt idx="17" formatCode="_(* #,##0.00_);_(* \(#,##0.00\);_(* &quot;-&quot;??_);_(@_)">
                  <c:v>0.17</c:v>
                </c:pt>
                <c:pt idx="18" formatCode="_(* #,##0.00_);_(* \(#,##0.00\);_(* &quot;-&quot;??_);_(@_)">
                  <c:v>0.18</c:v>
                </c:pt>
                <c:pt idx="19" formatCode="_(* #,##0.00_);_(* \(#,##0.00\);_(* &quot;-&quot;??_);_(@_)">
                  <c:v>0.19</c:v>
                </c:pt>
                <c:pt idx="20" formatCode="_(* #,##0.00_);_(* \(#,##0.00\);_(* &quot;-&quot;??_);_(@_)">
                  <c:v>0.2</c:v>
                </c:pt>
                <c:pt idx="21" formatCode="_(* #,##0.00_);_(* \(#,##0.00\);_(* &quot;-&quot;??_);_(@_)">
                  <c:v>0.21</c:v>
                </c:pt>
                <c:pt idx="22" formatCode="_(* #,##0.00_);_(* \(#,##0.00\);_(* &quot;-&quot;??_);_(@_)">
                  <c:v>0.22</c:v>
                </c:pt>
                <c:pt idx="23" formatCode="_(* #,##0.00_);_(* \(#,##0.00\);_(* &quot;-&quot;??_);_(@_)">
                  <c:v>0.23</c:v>
                </c:pt>
                <c:pt idx="24" formatCode="_(* #,##0.00_);_(* \(#,##0.00\);_(* &quot;-&quot;??_);_(@_)">
                  <c:v>0.24</c:v>
                </c:pt>
                <c:pt idx="25" formatCode="_(* #,##0.00_);_(* \(#,##0.00\);_(* &quot;-&quot;??_);_(@_)">
                  <c:v>0.25</c:v>
                </c:pt>
                <c:pt idx="26" formatCode="_(* #,##0.00_);_(* \(#,##0.00\);_(* &quot;-&quot;??_);_(@_)">
                  <c:v>0.26</c:v>
                </c:pt>
                <c:pt idx="27" formatCode="_(* #,##0.00_);_(* \(#,##0.00\);_(* &quot;-&quot;??_);_(@_)">
                  <c:v>0.27</c:v>
                </c:pt>
                <c:pt idx="28" formatCode="_(* #,##0.00_);_(* \(#,##0.00\);_(* &quot;-&quot;??_);_(@_)">
                  <c:v>0.28</c:v>
                </c:pt>
                <c:pt idx="29" formatCode="_(* #,##0.00_);_(* \(#,##0.00\);_(* &quot;-&quot;??_);_(@_)">
                  <c:v>0.29</c:v>
                </c:pt>
                <c:pt idx="30" formatCode="_(* #,##0.00_);_(* \(#,##0.00\);_(* &quot;-&quot;??_);_(@_)">
                  <c:v>0.3</c:v>
                </c:pt>
                <c:pt idx="31" formatCode="_(* #,##0.00_);_(* \(#,##0.00\);_(* &quot;-&quot;??_);_(@_)">
                  <c:v>0.31</c:v>
                </c:pt>
                <c:pt idx="32" formatCode="_(* #,##0.00_);_(* \(#,##0.00\);_(* &quot;-&quot;??_);_(@_)">
                  <c:v>0.32</c:v>
                </c:pt>
                <c:pt idx="33" formatCode="_(* #,##0.00_);_(* \(#,##0.00\);_(* &quot;-&quot;??_);_(@_)">
                  <c:v>0.33</c:v>
                </c:pt>
                <c:pt idx="34" formatCode="_(* #,##0.00_);_(* \(#,##0.00\);_(* &quot;-&quot;??_);_(@_)">
                  <c:v>0.34</c:v>
                </c:pt>
                <c:pt idx="35" formatCode="_(* #,##0.00_);_(* \(#,##0.00\);_(* &quot;-&quot;??_);_(@_)">
                  <c:v>0.35</c:v>
                </c:pt>
                <c:pt idx="36" formatCode="_(* #,##0.00_);_(* \(#,##0.00\);_(* &quot;-&quot;??_);_(@_)">
                  <c:v>0.36</c:v>
                </c:pt>
                <c:pt idx="37" formatCode="_(* #,##0.00_);_(* \(#,##0.00\);_(* &quot;-&quot;??_);_(@_)">
                  <c:v>0.37</c:v>
                </c:pt>
                <c:pt idx="38" formatCode="_(* #,##0.00_);_(* \(#,##0.00\);_(* &quot;-&quot;??_);_(@_)">
                  <c:v>0.38</c:v>
                </c:pt>
                <c:pt idx="39" formatCode="_(* #,##0.00_);_(* \(#,##0.00\);_(* &quot;-&quot;??_);_(@_)">
                  <c:v>0.39</c:v>
                </c:pt>
                <c:pt idx="40" formatCode="_(* #,##0.00_);_(* \(#,##0.00\);_(* &quot;-&quot;??_);_(@_)">
                  <c:v>0.4</c:v>
                </c:pt>
                <c:pt idx="41" formatCode="_(* #,##0.00_);_(* \(#,##0.00\);_(* &quot;-&quot;??_);_(@_)">
                  <c:v>0.41</c:v>
                </c:pt>
                <c:pt idx="42" formatCode="_(* #,##0.00_);_(* \(#,##0.00\);_(* &quot;-&quot;??_);_(@_)">
                  <c:v>0.42</c:v>
                </c:pt>
                <c:pt idx="43" formatCode="_(* #,##0.00_);_(* \(#,##0.00\);_(* &quot;-&quot;??_);_(@_)">
                  <c:v>0.43</c:v>
                </c:pt>
                <c:pt idx="44" formatCode="_(* #,##0.00_);_(* \(#,##0.00\);_(* &quot;-&quot;??_);_(@_)">
                  <c:v>0.44</c:v>
                </c:pt>
                <c:pt idx="45" formatCode="_(* #,##0.00_);_(* \(#,##0.00\);_(* &quot;-&quot;??_);_(@_)">
                  <c:v>0.45</c:v>
                </c:pt>
                <c:pt idx="46" formatCode="_(* #,##0.00_);_(* \(#,##0.00\);_(* &quot;-&quot;??_);_(@_)">
                  <c:v>0.46</c:v>
                </c:pt>
                <c:pt idx="47" formatCode="_(* #,##0.00_);_(* \(#,##0.00\);_(* &quot;-&quot;??_);_(@_)">
                  <c:v>0.47</c:v>
                </c:pt>
                <c:pt idx="48" formatCode="_(* #,##0.00_);_(* \(#,##0.00\);_(* &quot;-&quot;??_);_(@_)">
                  <c:v>0.48</c:v>
                </c:pt>
                <c:pt idx="49" formatCode="_(* #,##0.00_);_(* \(#,##0.00\);_(* &quot;-&quot;??_);_(@_)">
                  <c:v>0.49</c:v>
                </c:pt>
                <c:pt idx="50" formatCode="_(* #,##0.00_);_(* \(#,##0.00\);_(* &quot;-&quot;??_);_(@_)">
                  <c:v>0.5</c:v>
                </c:pt>
                <c:pt idx="51" formatCode="_(* #,##0.00_);_(* \(#,##0.00\);_(* &quot;-&quot;??_);_(@_)">
                  <c:v>0.51</c:v>
                </c:pt>
                <c:pt idx="52" formatCode="_(* #,##0.00_);_(* \(#,##0.00\);_(* &quot;-&quot;??_);_(@_)">
                  <c:v>0.52</c:v>
                </c:pt>
                <c:pt idx="53" formatCode="_(* #,##0.00_);_(* \(#,##0.00\);_(* &quot;-&quot;??_);_(@_)">
                  <c:v>0.53</c:v>
                </c:pt>
                <c:pt idx="54" formatCode="_(* #,##0.00_);_(* \(#,##0.00\);_(* &quot;-&quot;??_);_(@_)">
                  <c:v>0.54</c:v>
                </c:pt>
                <c:pt idx="55" formatCode="_(* #,##0.00_);_(* \(#,##0.00\);_(* &quot;-&quot;??_);_(@_)">
                  <c:v>0.55</c:v>
                </c:pt>
                <c:pt idx="56" formatCode="_(* #,##0.00_);_(* \(#,##0.00\);_(* &quot;-&quot;??_);_(@_)">
                  <c:v>0.56</c:v>
                </c:pt>
                <c:pt idx="57" formatCode="_(* #,##0.00_);_(* \(#,##0.00\);_(* &quot;-&quot;??_);_(@_)">
                  <c:v>0.57</c:v>
                </c:pt>
                <c:pt idx="58" formatCode="_(* #,##0.00_);_(* \(#,##0.00\);_(* &quot;-&quot;??_);_(@_)">
                  <c:v>0.58</c:v>
                </c:pt>
                <c:pt idx="59" formatCode="_(* #,##0.00_);_(* \(#,##0.00\);_(* &quot;-&quot;??_);_(@_)">
                  <c:v>0.59</c:v>
                </c:pt>
                <c:pt idx="60" formatCode="_(* #,##0.00_);_(* \(#,##0.00\);_(* &quot;-&quot;??_);_(@_)">
                  <c:v>0.6</c:v>
                </c:pt>
                <c:pt idx="61" formatCode="_(* #,##0.00_);_(* \(#,##0.00\);_(* &quot;-&quot;??_);_(@_)">
                  <c:v>0.61</c:v>
                </c:pt>
                <c:pt idx="62" formatCode="_(* #,##0.00_);_(* \(#,##0.00\);_(* &quot;-&quot;??_);_(@_)">
                  <c:v>0.62</c:v>
                </c:pt>
                <c:pt idx="63" formatCode="_(* #,##0.00_);_(* \(#,##0.00\);_(* &quot;-&quot;??_);_(@_)">
                  <c:v>0.63</c:v>
                </c:pt>
                <c:pt idx="64" formatCode="_(* #,##0.00_);_(* \(#,##0.00\);_(* &quot;-&quot;??_);_(@_)">
                  <c:v>0.64</c:v>
                </c:pt>
                <c:pt idx="65" formatCode="_(* #,##0.00_);_(* \(#,##0.00\);_(* &quot;-&quot;??_);_(@_)">
                  <c:v>0.65</c:v>
                </c:pt>
                <c:pt idx="66" formatCode="_(* #,##0.00_);_(* \(#,##0.00\);_(* &quot;-&quot;??_);_(@_)">
                  <c:v>0.66</c:v>
                </c:pt>
                <c:pt idx="67" formatCode="_(* #,##0.00_);_(* \(#,##0.00\);_(* &quot;-&quot;??_);_(@_)">
                  <c:v>0.67</c:v>
                </c:pt>
                <c:pt idx="68" formatCode="_(* #,##0.00_);_(* \(#,##0.00\);_(* &quot;-&quot;??_);_(@_)">
                  <c:v>0.68</c:v>
                </c:pt>
                <c:pt idx="69" formatCode="_(* #,##0.00_);_(* \(#,##0.00\);_(* &quot;-&quot;??_);_(@_)">
                  <c:v>0.69</c:v>
                </c:pt>
                <c:pt idx="70" formatCode="_(* #,##0.00_);_(* \(#,##0.00\);_(* &quot;-&quot;??_);_(@_)">
                  <c:v>0.7</c:v>
                </c:pt>
                <c:pt idx="71" formatCode="_(* #,##0.00_);_(* \(#,##0.00\);_(* &quot;-&quot;??_);_(@_)">
                  <c:v>0.71</c:v>
                </c:pt>
                <c:pt idx="72" formatCode="_(* #,##0.00_);_(* \(#,##0.00\);_(* &quot;-&quot;??_);_(@_)">
                  <c:v>0.72</c:v>
                </c:pt>
                <c:pt idx="73" formatCode="_(* #,##0.00_);_(* \(#,##0.00\);_(* &quot;-&quot;??_);_(@_)">
                  <c:v>0.73</c:v>
                </c:pt>
                <c:pt idx="74" formatCode="_(* #,##0.00_);_(* \(#,##0.00\);_(* &quot;-&quot;??_);_(@_)">
                  <c:v>0.74</c:v>
                </c:pt>
                <c:pt idx="75" formatCode="_(* #,##0.00_);_(* \(#,##0.00\);_(* &quot;-&quot;??_);_(@_)">
                  <c:v>0.75</c:v>
                </c:pt>
                <c:pt idx="76" formatCode="_(* #,##0.00_);_(* \(#,##0.00\);_(* &quot;-&quot;??_);_(@_)">
                  <c:v>0.76</c:v>
                </c:pt>
                <c:pt idx="77" formatCode="_(* #,##0.00_);_(* \(#,##0.00\);_(* &quot;-&quot;??_);_(@_)">
                  <c:v>0.77</c:v>
                </c:pt>
                <c:pt idx="78" formatCode="_(* #,##0.00_);_(* \(#,##0.00\);_(* &quot;-&quot;??_);_(@_)">
                  <c:v>0.78</c:v>
                </c:pt>
                <c:pt idx="79" formatCode="_(* #,##0.00_);_(* \(#,##0.00\);_(* &quot;-&quot;??_);_(@_)">
                  <c:v>0.79</c:v>
                </c:pt>
                <c:pt idx="80" formatCode="_(* #,##0.00_);_(* \(#,##0.00\);_(* &quot;-&quot;??_);_(@_)">
                  <c:v>0.8</c:v>
                </c:pt>
                <c:pt idx="81" formatCode="_(* #,##0.00_);_(* \(#,##0.00\);_(* &quot;-&quot;??_);_(@_)">
                  <c:v>0.81</c:v>
                </c:pt>
                <c:pt idx="82" formatCode="_(* #,##0.00_);_(* \(#,##0.00\);_(* &quot;-&quot;??_);_(@_)">
                  <c:v>0.82</c:v>
                </c:pt>
                <c:pt idx="83" formatCode="_(* #,##0.00_);_(* \(#,##0.00\);_(* &quot;-&quot;??_);_(@_)">
                  <c:v>0.83</c:v>
                </c:pt>
                <c:pt idx="84" formatCode="_(* #,##0.00_);_(* \(#,##0.00\);_(* &quot;-&quot;??_);_(@_)">
                  <c:v>0.84</c:v>
                </c:pt>
                <c:pt idx="85" formatCode="_(* #,##0.00_);_(* \(#,##0.00\);_(* &quot;-&quot;??_);_(@_)">
                  <c:v>0.85</c:v>
                </c:pt>
                <c:pt idx="86" formatCode="_(* #,##0.00_);_(* \(#,##0.00\);_(* &quot;-&quot;??_);_(@_)">
                  <c:v>0.86</c:v>
                </c:pt>
                <c:pt idx="87" formatCode="_(* #,##0.00_);_(* \(#,##0.00\);_(* &quot;-&quot;??_);_(@_)">
                  <c:v>0.87</c:v>
                </c:pt>
                <c:pt idx="88" formatCode="_(* #,##0.00_);_(* \(#,##0.00\);_(* &quot;-&quot;??_);_(@_)">
                  <c:v>0.88</c:v>
                </c:pt>
                <c:pt idx="89" formatCode="_(* #,##0.00_);_(* \(#,##0.00\);_(* &quot;-&quot;??_);_(@_)">
                  <c:v>0.89</c:v>
                </c:pt>
                <c:pt idx="90" formatCode="_(* #,##0.00_);_(* \(#,##0.00\);_(* &quot;-&quot;??_);_(@_)">
                  <c:v>0.9</c:v>
                </c:pt>
                <c:pt idx="91" formatCode="_(* #,##0.00_);_(* \(#,##0.00\);_(* &quot;-&quot;??_);_(@_)">
                  <c:v>0.91</c:v>
                </c:pt>
                <c:pt idx="92" formatCode="_(* #,##0.00_);_(* \(#,##0.00\);_(* &quot;-&quot;??_);_(@_)">
                  <c:v>0.92</c:v>
                </c:pt>
                <c:pt idx="93" formatCode="_(* #,##0.00_);_(* \(#,##0.00\);_(* &quot;-&quot;??_);_(@_)">
                  <c:v>0.93</c:v>
                </c:pt>
                <c:pt idx="94" formatCode="_(* #,##0.00_);_(* \(#,##0.00\);_(* &quot;-&quot;??_);_(@_)">
                  <c:v>0.94</c:v>
                </c:pt>
                <c:pt idx="95" formatCode="_(* #,##0.00_);_(* \(#,##0.00\);_(* &quot;-&quot;??_);_(@_)">
                  <c:v>0.95</c:v>
                </c:pt>
                <c:pt idx="96" formatCode="_(* #,##0.00_);_(* \(#,##0.00\);_(* &quot;-&quot;??_);_(@_)">
                  <c:v>0.96</c:v>
                </c:pt>
                <c:pt idx="97" formatCode="_(* #,##0.00_);_(* \(#,##0.00\);_(* &quot;-&quot;??_);_(@_)">
                  <c:v>0.97</c:v>
                </c:pt>
                <c:pt idx="98" formatCode="_(* #,##0.00_);_(* \(#,##0.00\);_(* &quot;-&quot;??_);_(@_)">
                  <c:v>0.98</c:v>
                </c:pt>
                <c:pt idx="99" formatCode="_(* #,##0.00_);_(* \(#,##0.00\);_(* &quot;-&quot;??_);_(@_)">
                  <c:v>0.99</c:v>
                </c:pt>
                <c:pt idx="100" formatCode="_(* #,##0.00_);_(* \(#,##0.00\);_(* &quot;-&quot;??_);_(@_)">
                  <c:v>1.0</c:v>
                </c:pt>
                <c:pt idx="101" formatCode="_(* #,##0.00_);_(* \(#,##0.00\);_(* &quot;-&quot;??_);_(@_)">
                  <c:v>1.01</c:v>
                </c:pt>
                <c:pt idx="102" formatCode="_(* #,##0.00_);_(* \(#,##0.00\);_(* &quot;-&quot;??_);_(@_)">
                  <c:v>1.02</c:v>
                </c:pt>
                <c:pt idx="103" formatCode="_(* #,##0.00_);_(* \(#,##0.00\);_(* &quot;-&quot;??_);_(@_)">
                  <c:v>1.03</c:v>
                </c:pt>
                <c:pt idx="104" formatCode="_(* #,##0.00_);_(* \(#,##0.00\);_(* &quot;-&quot;??_);_(@_)">
                  <c:v>1.04</c:v>
                </c:pt>
                <c:pt idx="105" formatCode="_(* #,##0.00_);_(* \(#,##0.00\);_(* &quot;-&quot;??_);_(@_)">
                  <c:v>1.05</c:v>
                </c:pt>
                <c:pt idx="106" formatCode="_(* #,##0.00_);_(* \(#,##0.00\);_(* &quot;-&quot;??_);_(@_)">
                  <c:v>1.06</c:v>
                </c:pt>
                <c:pt idx="107" formatCode="_(* #,##0.00_);_(* \(#,##0.00\);_(* &quot;-&quot;??_);_(@_)">
                  <c:v>1.07</c:v>
                </c:pt>
                <c:pt idx="108" formatCode="_(* #,##0.00_);_(* \(#,##0.00\);_(* &quot;-&quot;??_);_(@_)">
                  <c:v>1.08</c:v>
                </c:pt>
                <c:pt idx="109" formatCode="_(* #,##0.00_);_(* \(#,##0.00\);_(* &quot;-&quot;??_);_(@_)">
                  <c:v>1.09</c:v>
                </c:pt>
                <c:pt idx="110" formatCode="_(* #,##0.00_);_(* \(#,##0.00\);_(* &quot;-&quot;??_);_(@_)">
                  <c:v>1.1</c:v>
                </c:pt>
                <c:pt idx="111" formatCode="_(* #,##0.00_);_(* \(#,##0.00\);_(* &quot;-&quot;??_);_(@_)">
                  <c:v>1.11</c:v>
                </c:pt>
                <c:pt idx="112" formatCode="_(* #,##0.00_);_(* \(#,##0.00\);_(* &quot;-&quot;??_);_(@_)">
                  <c:v>1.12</c:v>
                </c:pt>
                <c:pt idx="113" formatCode="_(* #,##0.00_);_(* \(#,##0.00\);_(* &quot;-&quot;??_);_(@_)">
                  <c:v>1.13</c:v>
                </c:pt>
                <c:pt idx="114" formatCode="_(* #,##0.00_);_(* \(#,##0.00\);_(* &quot;-&quot;??_);_(@_)">
                  <c:v>1.14</c:v>
                </c:pt>
                <c:pt idx="115" formatCode="_(* #,##0.00_);_(* \(#,##0.00\);_(* &quot;-&quot;??_);_(@_)">
                  <c:v>1.15</c:v>
                </c:pt>
                <c:pt idx="116" formatCode="_(* #,##0.00_);_(* \(#,##0.00\);_(* &quot;-&quot;??_);_(@_)">
                  <c:v>1.16</c:v>
                </c:pt>
                <c:pt idx="117" formatCode="_(* #,##0.00_);_(* \(#,##0.00\);_(* &quot;-&quot;??_);_(@_)">
                  <c:v>1.17</c:v>
                </c:pt>
                <c:pt idx="118" formatCode="_(* #,##0.00_);_(* \(#,##0.00\);_(* &quot;-&quot;??_);_(@_)">
                  <c:v>1.18</c:v>
                </c:pt>
                <c:pt idx="119" formatCode="_(* #,##0.00_);_(* \(#,##0.00\);_(* &quot;-&quot;??_);_(@_)">
                  <c:v>1.19</c:v>
                </c:pt>
                <c:pt idx="120" formatCode="_(* #,##0.00_);_(* \(#,##0.00\);_(* &quot;-&quot;??_);_(@_)">
                  <c:v>1.2</c:v>
                </c:pt>
                <c:pt idx="121" formatCode="_(* #,##0.00_);_(* \(#,##0.00\);_(* &quot;-&quot;??_);_(@_)">
                  <c:v>1.21</c:v>
                </c:pt>
                <c:pt idx="122" formatCode="_(* #,##0.00_);_(* \(#,##0.00\);_(* &quot;-&quot;??_);_(@_)">
                  <c:v>1.22</c:v>
                </c:pt>
                <c:pt idx="123" formatCode="_(* #,##0.00_);_(* \(#,##0.00\);_(* &quot;-&quot;??_);_(@_)">
                  <c:v>1.23</c:v>
                </c:pt>
                <c:pt idx="124" formatCode="_(* #,##0.00_);_(* \(#,##0.00\);_(* &quot;-&quot;??_);_(@_)">
                  <c:v>1.24</c:v>
                </c:pt>
                <c:pt idx="125" formatCode="_(* #,##0.00_);_(* \(#,##0.00\);_(* &quot;-&quot;??_);_(@_)">
                  <c:v>1.25</c:v>
                </c:pt>
                <c:pt idx="126" formatCode="_(* #,##0.00_);_(* \(#,##0.00\);_(* &quot;-&quot;??_);_(@_)">
                  <c:v>1.26</c:v>
                </c:pt>
                <c:pt idx="127" formatCode="_(* #,##0.00_);_(* \(#,##0.00\);_(* &quot;-&quot;??_);_(@_)">
                  <c:v>1.27</c:v>
                </c:pt>
                <c:pt idx="128" formatCode="_(* #,##0.00_);_(* \(#,##0.00\);_(* &quot;-&quot;??_);_(@_)">
                  <c:v>1.28</c:v>
                </c:pt>
                <c:pt idx="129" formatCode="_(* #,##0.00_);_(* \(#,##0.00\);_(* &quot;-&quot;??_);_(@_)">
                  <c:v>1.29</c:v>
                </c:pt>
                <c:pt idx="130" formatCode="_(* #,##0.00_);_(* \(#,##0.00\);_(* &quot;-&quot;??_);_(@_)">
                  <c:v>1.3</c:v>
                </c:pt>
                <c:pt idx="131" formatCode="_(* #,##0.00_);_(* \(#,##0.00\);_(* &quot;-&quot;??_);_(@_)">
                  <c:v>1.31</c:v>
                </c:pt>
                <c:pt idx="132" formatCode="_(* #,##0.00_);_(* \(#,##0.00\);_(* &quot;-&quot;??_);_(@_)">
                  <c:v>1.32</c:v>
                </c:pt>
                <c:pt idx="133" formatCode="_(* #,##0.00_);_(* \(#,##0.00\);_(* &quot;-&quot;??_);_(@_)">
                  <c:v>1.33</c:v>
                </c:pt>
                <c:pt idx="134" formatCode="_(* #,##0.00_);_(* \(#,##0.00\);_(* &quot;-&quot;??_);_(@_)">
                  <c:v>1.34</c:v>
                </c:pt>
                <c:pt idx="135" formatCode="_(* #,##0.00_);_(* \(#,##0.00\);_(* &quot;-&quot;??_);_(@_)">
                  <c:v>1.35</c:v>
                </c:pt>
                <c:pt idx="136" formatCode="_(* #,##0.00_);_(* \(#,##0.00\);_(* &quot;-&quot;??_);_(@_)">
                  <c:v>1.36</c:v>
                </c:pt>
                <c:pt idx="137" formatCode="_(* #,##0.00_);_(* \(#,##0.00\);_(* &quot;-&quot;??_);_(@_)">
                  <c:v>1.37</c:v>
                </c:pt>
                <c:pt idx="138" formatCode="_(* #,##0.00_);_(* \(#,##0.00\);_(* &quot;-&quot;??_);_(@_)">
                  <c:v>1.38</c:v>
                </c:pt>
                <c:pt idx="139" formatCode="_(* #,##0.00_);_(* \(#,##0.00\);_(* &quot;-&quot;??_);_(@_)">
                  <c:v>1.39</c:v>
                </c:pt>
                <c:pt idx="140" formatCode="_(* #,##0.00_);_(* \(#,##0.00\);_(* &quot;-&quot;??_);_(@_)">
                  <c:v>1.4</c:v>
                </c:pt>
                <c:pt idx="141" formatCode="_(* #,##0.00_);_(* \(#,##0.00\);_(* &quot;-&quot;??_);_(@_)">
                  <c:v>1.41</c:v>
                </c:pt>
                <c:pt idx="142" formatCode="_(* #,##0.00_);_(* \(#,##0.00\);_(* &quot;-&quot;??_);_(@_)">
                  <c:v>1.42</c:v>
                </c:pt>
                <c:pt idx="143" formatCode="_(* #,##0.00_);_(* \(#,##0.00\);_(* &quot;-&quot;??_);_(@_)">
                  <c:v>1.43</c:v>
                </c:pt>
                <c:pt idx="144" formatCode="_(* #,##0.00_);_(* \(#,##0.00\);_(* &quot;-&quot;??_);_(@_)">
                  <c:v>1.44</c:v>
                </c:pt>
                <c:pt idx="145" formatCode="_(* #,##0.00_);_(* \(#,##0.00\);_(* &quot;-&quot;??_);_(@_)">
                  <c:v>1.45</c:v>
                </c:pt>
                <c:pt idx="146" formatCode="_(* #,##0.00_);_(* \(#,##0.00\);_(* &quot;-&quot;??_);_(@_)">
                  <c:v>1.46</c:v>
                </c:pt>
                <c:pt idx="147" formatCode="_(* #,##0.00_);_(* \(#,##0.00\);_(* &quot;-&quot;??_);_(@_)">
                  <c:v>1.47</c:v>
                </c:pt>
                <c:pt idx="148" formatCode="_(* #,##0.00_);_(* \(#,##0.00\);_(* &quot;-&quot;??_);_(@_)">
                  <c:v>1.48</c:v>
                </c:pt>
                <c:pt idx="149" formatCode="_(* #,##0.00_);_(* \(#,##0.00\);_(* &quot;-&quot;??_);_(@_)">
                  <c:v>1.49</c:v>
                </c:pt>
                <c:pt idx="150" formatCode="_(* #,##0.00_);_(* \(#,##0.00\);_(* &quot;-&quot;??_);_(@_)">
                  <c:v>1.5</c:v>
                </c:pt>
              </c:numCache>
            </c:numRef>
          </c:xVal>
          <c:yVal>
            <c:numRef>
              <c:f>SPR_YPR!$L$42:$L$192</c:f>
              <c:numCache>
                <c:formatCode>0.000</c:formatCode>
                <c:ptCount val="151"/>
                <c:pt idx="0">
                  <c:v>1.0</c:v>
                </c:pt>
                <c:pt idx="1">
                  <c:v>0.956852490403543</c:v>
                </c:pt>
                <c:pt idx="2">
                  <c:v>0.916267837099782</c:v>
                </c:pt>
                <c:pt idx="3">
                  <c:v>0.878063088803076</c:v>
                </c:pt>
                <c:pt idx="4">
                  <c:v>0.842070299182596</c:v>
                </c:pt>
                <c:pt idx="5">
                  <c:v>0.808135148797716</c:v>
                </c:pt>
                <c:pt idx="6">
                  <c:v>0.776115706263266</c:v>
                </c:pt>
                <c:pt idx="7">
                  <c:v>0.745881313385528</c:v>
                </c:pt>
                <c:pt idx="8">
                  <c:v>0.7173115808024</c:v>
                </c:pt>
                <c:pt idx="9">
                  <c:v>0.690295482230241</c:v>
                </c:pt>
                <c:pt idx="10">
                  <c:v>0.664730536795013</c:v>
                </c:pt>
                <c:pt idx="11">
                  <c:v>0.640522070131592</c:v>
                </c:pt>
                <c:pt idx="12">
                  <c:v>0.617582545994297</c:v>
                </c:pt>
                <c:pt idx="13">
                  <c:v>0.595830961052798</c:v>
                </c:pt>
                <c:pt idx="14">
                  <c:v>0.575192296366852</c:v>
                </c:pt>
                <c:pt idx="15">
                  <c:v>0.555597019754925</c:v>
                </c:pt>
                <c:pt idx="16">
                  <c:v>0.536980633908098</c:v>
                </c:pt>
                <c:pt idx="17">
                  <c:v>0.519283265662271</c:v>
                </c:pt>
                <c:pt idx="18">
                  <c:v>0.502449292337858</c:v>
                </c:pt>
                <c:pt idx="19">
                  <c:v>0.486427001495056</c:v>
                </c:pt>
                <c:pt idx="20">
                  <c:v>0.471168280841297</c:v>
                </c:pt>
                <c:pt idx="21">
                  <c:v>0.456628335371772</c:v>
                </c:pt>
                <c:pt idx="22">
                  <c:v>0.44276542912941</c:v>
                </c:pt>
                <c:pt idx="23">
                  <c:v>0.429540649241852</c:v>
                </c:pt>
                <c:pt idx="24">
                  <c:v>0.416917690134073</c:v>
                </c:pt>
                <c:pt idx="25">
                  <c:v>0.404862656029752</c:v>
                </c:pt>
                <c:pt idx="26">
                  <c:v>0.393343880045507</c:v>
                </c:pt>
                <c:pt idx="27">
                  <c:v>0.382331758352385</c:v>
                </c:pt>
                <c:pt idx="28">
                  <c:v>0.371798598030888</c:v>
                </c:pt>
                <c:pt idx="29">
                  <c:v>0.361718477381531</c:v>
                </c:pt>
                <c:pt idx="30">
                  <c:v>0.352067117574194</c:v>
                </c:pt>
                <c:pt idx="31">
                  <c:v>0.342821764628062</c:v>
                </c:pt>
                <c:pt idx="32">
                  <c:v>0.333961080811131</c:v>
                </c:pt>
                <c:pt idx="33">
                  <c:v>0.325465044635393</c:v>
                </c:pt>
                <c:pt idx="34">
                  <c:v>0.317314858701948</c:v>
                </c:pt>
                <c:pt idx="35">
                  <c:v>0.30949286472052</c:v>
                </c:pt>
                <c:pt idx="36">
                  <c:v>0.301982465090884</c:v>
                </c:pt>
                <c:pt idx="37">
                  <c:v>0.294768050490498</c:v>
                </c:pt>
                <c:pt idx="38">
                  <c:v>0.287834932963698</c:v>
                </c:pt>
                <c:pt idx="39">
                  <c:v>0.281169284053839</c:v>
                </c:pt>
                <c:pt idx="40">
                  <c:v>0.2747580775613</c:v>
                </c:pt>
                <c:pt idx="41">
                  <c:v>0.2685890365477</c:v>
                </c:pt>
                <c:pt idx="42">
                  <c:v>0.26265058424055</c:v>
                </c:pt>
                <c:pt idx="43">
                  <c:v>0.256931798523113</c:v>
                </c:pt>
                <c:pt idx="44">
                  <c:v>0.251422369721973</c:v>
                </c:pt>
                <c:pt idx="45">
                  <c:v>0.246112561429804</c:v>
                </c:pt>
                <c:pt idx="46">
                  <c:v>0.240993174123609</c:v>
                </c:pt>
                <c:pt idx="47">
                  <c:v>0.236055511359206</c:v>
                </c:pt>
                <c:pt idx="48">
                  <c:v>0.231291348341501</c:v>
                </c:pt>
                <c:pt idx="49">
                  <c:v>0.226692902686973</c:v>
                </c:pt>
                <c:pt idx="50">
                  <c:v>0.222252807210289</c:v>
                </c:pt>
                <c:pt idx="51">
                  <c:v>0.217964084580914</c:v>
                </c:pt>
                <c:pt idx="52">
                  <c:v>0.213820123708412</c:v>
                </c:pt>
                <c:pt idx="53">
                  <c:v>0.209814657726695</c:v>
                </c:pt>
                <c:pt idx="54">
                  <c:v>0.205941743458105</c:v>
                </c:pt>
                <c:pt idx="55">
                  <c:v>0.202195742247848</c:v>
                </c:pt>
                <c:pt idx="56">
                  <c:v>0.19857130206813</c:v>
                </c:pt>
                <c:pt idx="57">
                  <c:v>0.195063340799376</c:v>
                </c:pt>
                <c:pt idx="58">
                  <c:v>0.191667030603277</c:v>
                </c:pt>
                <c:pt idx="59">
                  <c:v>0.188377783309125</c:v>
                </c:pt>
                <c:pt idx="60">
                  <c:v>0.185191236741054</c:v>
                </c:pt>
                <c:pt idx="61">
                  <c:v>0.182103241919433</c:v>
                </c:pt>
                <c:pt idx="62">
                  <c:v>0.179109851074804</c:v>
                </c:pt>
                <c:pt idx="63">
                  <c:v>0.176207306417511</c:v>
                </c:pt>
                <c:pt idx="64">
                  <c:v>0.173392029610476</c:v>
                </c:pt>
                <c:pt idx="65">
                  <c:v>0.170660611896575</c:v>
                </c:pt>
                <c:pt idx="66">
                  <c:v>0.168009804835698</c:v>
                </c:pt>
                <c:pt idx="67">
                  <c:v>0.165436511609974</c:v>
                </c:pt>
                <c:pt idx="68">
                  <c:v>0.162937778858682</c:v>
                </c:pt>
                <c:pt idx="69">
                  <c:v>0.160510789007227</c:v>
                </c:pt>
                <c:pt idx="70">
                  <c:v>0.158152853057192</c:v>
                </c:pt>
                <c:pt idx="71">
                  <c:v>0.155861403806842</c:v>
                </c:pt>
                <c:pt idx="72">
                  <c:v>0.153633989473695</c:v>
                </c:pt>
                <c:pt idx="73">
                  <c:v>0.151468267692823</c:v>
                </c:pt>
                <c:pt idx="74">
                  <c:v>0.149361999866416</c:v>
                </c:pt>
                <c:pt idx="75">
                  <c:v>0.14731304584188</c:v>
                </c:pt>
                <c:pt idx="76">
                  <c:v>0.145319358897349</c:v>
                </c:pt>
                <c:pt idx="77">
                  <c:v>0.143378981014982</c:v>
                </c:pt>
                <c:pt idx="78">
                  <c:v>0.141490038423766</c:v>
                </c:pt>
                <c:pt idx="79">
                  <c:v>0.139650737394829</c:v>
                </c:pt>
                <c:pt idx="80">
                  <c:v>0.137859360273425</c:v>
                </c:pt>
                <c:pt idx="81">
                  <c:v>0.136114261732853</c:v>
                </c:pt>
                <c:pt idx="82">
                  <c:v>0.134413865236558</c:v>
                </c:pt>
                <c:pt idx="83">
                  <c:v>0.132756659695612</c:v>
                </c:pt>
                <c:pt idx="84">
                  <c:v>0.131141196309607</c:v>
                </c:pt>
                <c:pt idx="85">
                  <c:v>0.12956608557982</c:v>
                </c:pt>
                <c:pt idx="86">
                  <c:v>0.128029994484245</c:v>
                </c:pt>
                <c:pt idx="87">
                  <c:v>0.126531643804743</c:v>
                </c:pt>
                <c:pt idx="88">
                  <c:v>0.125069805597254</c:v>
                </c:pt>
                <c:pt idx="89">
                  <c:v>0.123643300796568</c:v>
                </c:pt>
                <c:pt idx="90">
                  <c:v>0.122250996947704</c:v>
                </c:pt>
                <c:pt idx="91">
                  <c:v>0.120891806056495</c:v>
                </c:pt>
                <c:pt idx="92">
                  <c:v>0.119564682552402</c:v>
                </c:pt>
                <c:pt idx="93">
                  <c:v>0.118268621357072</c:v>
                </c:pt>
                <c:pt idx="94">
                  <c:v>0.117002656052529</c:v>
                </c:pt>
                <c:pt idx="95">
                  <c:v>0.115765857143304</c:v>
                </c:pt>
                <c:pt idx="96">
                  <c:v>0.114557330407132</c:v>
                </c:pt>
                <c:pt idx="97">
                  <c:v>0.113376215329228</c:v>
                </c:pt>
                <c:pt idx="98">
                  <c:v>0.112221683615409</c:v>
                </c:pt>
                <c:pt idx="99">
                  <c:v>0.111092937779658</c:v>
                </c:pt>
                <c:pt idx="100">
                  <c:v>0.109989209801986</c:v>
                </c:pt>
                <c:pt idx="101">
                  <c:v>0.108909759852705</c:v>
                </c:pt>
                <c:pt idx="102">
                  <c:v>0.10785387507944</c:v>
                </c:pt>
                <c:pt idx="103">
                  <c:v>0.10682086845346</c:v>
                </c:pt>
                <c:pt idx="104">
                  <c:v>0.1058100776721</c:v>
                </c:pt>
                <c:pt idx="105">
                  <c:v>0.104820864114222</c:v>
                </c:pt>
                <c:pt idx="106">
                  <c:v>0.103852611845886</c:v>
                </c:pt>
                <c:pt idx="107">
                  <c:v>0.10290472667351</c:v>
                </c:pt>
                <c:pt idx="108">
                  <c:v>0.101976635242025</c:v>
                </c:pt>
                <c:pt idx="109">
                  <c:v>0.10106778417562</c:v>
                </c:pt>
                <c:pt idx="110">
                  <c:v>0.100177639258835</c:v>
                </c:pt>
                <c:pt idx="111">
                  <c:v>0.0993056846559118</c:v>
                </c:pt>
                <c:pt idx="112">
                  <c:v>0.098451422166377</c:v>
                </c:pt>
                <c:pt idx="113">
                  <c:v>0.0976143705150068</c:v>
                </c:pt>
                <c:pt idx="114">
                  <c:v>0.0967940646743894</c:v>
                </c:pt>
                <c:pt idx="115">
                  <c:v>0.095990055218419</c:v>
                </c:pt>
                <c:pt idx="116">
                  <c:v>0.0952019077051419</c:v>
                </c:pt>
                <c:pt idx="117">
                  <c:v>0.0944292020874697</c:v>
                </c:pt>
                <c:pt idx="118">
                  <c:v>0.0936715321503524</c:v>
                </c:pt>
                <c:pt idx="119">
                  <c:v>0.0929285049730842</c:v>
                </c:pt>
                <c:pt idx="120">
                  <c:v>0.0921997404154894</c:v>
                </c:pt>
                <c:pt idx="121">
                  <c:v>0.0914848706268006</c:v>
                </c:pt>
                <c:pt idx="122">
                  <c:v>0.0907835395761114</c:v>
                </c:pt>
                <c:pt idx="123">
                  <c:v>0.0900954026033432</c:v>
                </c:pt>
                <c:pt idx="124">
                  <c:v>0.0894201259897211</c:v>
                </c:pt>
                <c:pt idx="125">
                  <c:v>0.0887573865468154</c:v>
                </c:pt>
                <c:pt idx="126">
                  <c:v>0.0881068712232474</c:v>
                </c:pt>
                <c:pt idx="127">
                  <c:v>0.0874682767282097</c:v>
                </c:pt>
                <c:pt idx="128">
                  <c:v>0.0868413091709986</c:v>
                </c:pt>
                <c:pt idx="129">
                  <c:v>0.0862256837157943</c:v>
                </c:pt>
                <c:pt idx="130">
                  <c:v>0.0856211242509663</c:v>
                </c:pt>
                <c:pt idx="131">
                  <c:v>0.0850273630722212</c:v>
                </c:pt>
                <c:pt idx="132">
                  <c:v>0.0844441405789419</c:v>
                </c:pt>
                <c:pt idx="133">
                  <c:v>0.0838712049831031</c:v>
                </c:pt>
                <c:pt idx="134">
                  <c:v>0.0833083120301807</c:v>
                </c:pt>
                <c:pt idx="135">
                  <c:v>0.0827552247314988</c:v>
                </c:pt>
                <c:pt idx="136">
                  <c:v>0.0822117131074903</c:v>
                </c:pt>
                <c:pt idx="137">
                  <c:v>0.0816775539413717</c:v>
                </c:pt>
                <c:pt idx="138">
                  <c:v>0.0811525305427572</c:v>
                </c:pt>
                <c:pt idx="139">
                  <c:v>0.0806364325207633</c:v>
                </c:pt>
                <c:pt idx="140">
                  <c:v>0.0801290555661755</c:v>
                </c:pt>
                <c:pt idx="141">
                  <c:v>0.0796302012422716</c:v>
                </c:pt>
                <c:pt idx="142">
                  <c:v>0.0791396767839137</c:v>
                </c:pt>
                <c:pt idx="143">
                  <c:v>0.0786572949045436</c:v>
                </c:pt>
                <c:pt idx="144">
                  <c:v>0.0781828736107317</c:v>
                </c:pt>
                <c:pt idx="145">
                  <c:v>0.0777162360239469</c:v>
                </c:pt>
                <c:pt idx="146">
                  <c:v>0.0772572102092317</c:v>
                </c:pt>
                <c:pt idx="147">
                  <c:v>0.0768056290104821</c:v>
                </c:pt>
                <c:pt idx="148">
                  <c:v>0.0763613298920462</c:v>
                </c:pt>
                <c:pt idx="149">
                  <c:v>0.0759241547863679</c:v>
                </c:pt>
                <c:pt idx="150">
                  <c:v>0.0754939499474177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262008"/>
        <c:axId val="681257752"/>
      </c:scatterChart>
      <c:scatterChart>
        <c:scatterStyle val="lineMarker"/>
        <c:varyColors val="0"/>
        <c:ser>
          <c:idx val="1"/>
          <c:order val="1"/>
          <c:tx>
            <c:v>YPR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none"/>
          </c:marker>
          <c:xVal>
            <c:numRef>
              <c:f>SPR_YPR!$K$42:$K$165</c:f>
              <c:numCache>
                <c:formatCode>#,##0.00_);\(#,##0.00\)</c:formatCode>
                <c:ptCount val="124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 formatCode="_(* #,##0.00_);_(* \(#,##0.00\);_(* &quot;-&quot;??_);_(@_)">
                  <c:v>0.06</c:v>
                </c:pt>
                <c:pt idx="7" formatCode="_(* #,##0.00_);_(* \(#,##0.00\);_(* &quot;-&quot;??_);_(@_)">
                  <c:v>0.07</c:v>
                </c:pt>
                <c:pt idx="8" formatCode="_(* #,##0.00_);_(* \(#,##0.00\);_(* &quot;-&quot;??_);_(@_)">
                  <c:v>0.08</c:v>
                </c:pt>
                <c:pt idx="9" formatCode="_(* #,##0.00_);_(* \(#,##0.00\);_(* &quot;-&quot;??_);_(@_)">
                  <c:v>0.09</c:v>
                </c:pt>
                <c:pt idx="10" formatCode="_(* #,##0.00_);_(* \(#,##0.00\);_(* &quot;-&quot;??_);_(@_)">
                  <c:v>0.1</c:v>
                </c:pt>
                <c:pt idx="11" formatCode="_(* #,##0.00_);_(* \(#,##0.00\);_(* &quot;-&quot;??_);_(@_)">
                  <c:v>0.11</c:v>
                </c:pt>
                <c:pt idx="12" formatCode="_(* #,##0.00_);_(* \(#,##0.00\);_(* &quot;-&quot;??_);_(@_)">
                  <c:v>0.12</c:v>
                </c:pt>
                <c:pt idx="13" formatCode="_(* #,##0.00_);_(* \(#,##0.00\);_(* &quot;-&quot;??_);_(@_)">
                  <c:v>0.13</c:v>
                </c:pt>
                <c:pt idx="14" formatCode="_(* #,##0.00_);_(* \(#,##0.00\);_(* &quot;-&quot;??_);_(@_)">
                  <c:v>0.14</c:v>
                </c:pt>
                <c:pt idx="15" formatCode="_(* #,##0.00_);_(* \(#,##0.00\);_(* &quot;-&quot;??_);_(@_)">
                  <c:v>0.15</c:v>
                </c:pt>
                <c:pt idx="16" formatCode="_(* #,##0.00_);_(* \(#,##0.00\);_(* &quot;-&quot;??_);_(@_)">
                  <c:v>0.16</c:v>
                </c:pt>
                <c:pt idx="17" formatCode="_(* #,##0.00_);_(* \(#,##0.00\);_(* &quot;-&quot;??_);_(@_)">
                  <c:v>0.17</c:v>
                </c:pt>
                <c:pt idx="18" formatCode="_(* #,##0.00_);_(* \(#,##0.00\);_(* &quot;-&quot;??_);_(@_)">
                  <c:v>0.18</c:v>
                </c:pt>
                <c:pt idx="19" formatCode="_(* #,##0.00_);_(* \(#,##0.00\);_(* &quot;-&quot;??_);_(@_)">
                  <c:v>0.19</c:v>
                </c:pt>
                <c:pt idx="20" formatCode="_(* #,##0.00_);_(* \(#,##0.00\);_(* &quot;-&quot;??_);_(@_)">
                  <c:v>0.2</c:v>
                </c:pt>
                <c:pt idx="21" formatCode="_(* #,##0.00_);_(* \(#,##0.00\);_(* &quot;-&quot;??_);_(@_)">
                  <c:v>0.21</c:v>
                </c:pt>
                <c:pt idx="22" formatCode="_(* #,##0.00_);_(* \(#,##0.00\);_(* &quot;-&quot;??_);_(@_)">
                  <c:v>0.22</c:v>
                </c:pt>
                <c:pt idx="23" formatCode="_(* #,##0.00_);_(* \(#,##0.00\);_(* &quot;-&quot;??_);_(@_)">
                  <c:v>0.23</c:v>
                </c:pt>
                <c:pt idx="24" formatCode="_(* #,##0.00_);_(* \(#,##0.00\);_(* &quot;-&quot;??_);_(@_)">
                  <c:v>0.24</c:v>
                </c:pt>
                <c:pt idx="25" formatCode="_(* #,##0.00_);_(* \(#,##0.00\);_(* &quot;-&quot;??_);_(@_)">
                  <c:v>0.25</c:v>
                </c:pt>
                <c:pt idx="26" formatCode="_(* #,##0.00_);_(* \(#,##0.00\);_(* &quot;-&quot;??_);_(@_)">
                  <c:v>0.26</c:v>
                </c:pt>
                <c:pt idx="27" formatCode="_(* #,##0.00_);_(* \(#,##0.00\);_(* &quot;-&quot;??_);_(@_)">
                  <c:v>0.27</c:v>
                </c:pt>
                <c:pt idx="28" formatCode="_(* #,##0.00_);_(* \(#,##0.00\);_(* &quot;-&quot;??_);_(@_)">
                  <c:v>0.28</c:v>
                </c:pt>
                <c:pt idx="29" formatCode="_(* #,##0.00_);_(* \(#,##0.00\);_(* &quot;-&quot;??_);_(@_)">
                  <c:v>0.29</c:v>
                </c:pt>
                <c:pt idx="30" formatCode="_(* #,##0.00_);_(* \(#,##0.00\);_(* &quot;-&quot;??_);_(@_)">
                  <c:v>0.3</c:v>
                </c:pt>
                <c:pt idx="31" formatCode="_(* #,##0.00_);_(* \(#,##0.00\);_(* &quot;-&quot;??_);_(@_)">
                  <c:v>0.31</c:v>
                </c:pt>
                <c:pt idx="32" formatCode="_(* #,##0.00_);_(* \(#,##0.00\);_(* &quot;-&quot;??_);_(@_)">
                  <c:v>0.32</c:v>
                </c:pt>
                <c:pt idx="33" formatCode="_(* #,##0.00_);_(* \(#,##0.00\);_(* &quot;-&quot;??_);_(@_)">
                  <c:v>0.33</c:v>
                </c:pt>
                <c:pt idx="34" formatCode="_(* #,##0.00_);_(* \(#,##0.00\);_(* &quot;-&quot;??_);_(@_)">
                  <c:v>0.34</c:v>
                </c:pt>
                <c:pt idx="35" formatCode="_(* #,##0.00_);_(* \(#,##0.00\);_(* &quot;-&quot;??_);_(@_)">
                  <c:v>0.35</c:v>
                </c:pt>
                <c:pt idx="36" formatCode="_(* #,##0.00_);_(* \(#,##0.00\);_(* &quot;-&quot;??_);_(@_)">
                  <c:v>0.36</c:v>
                </c:pt>
                <c:pt idx="37" formatCode="_(* #,##0.00_);_(* \(#,##0.00\);_(* &quot;-&quot;??_);_(@_)">
                  <c:v>0.37</c:v>
                </c:pt>
                <c:pt idx="38" formatCode="_(* #,##0.00_);_(* \(#,##0.00\);_(* &quot;-&quot;??_);_(@_)">
                  <c:v>0.38</c:v>
                </c:pt>
                <c:pt idx="39" formatCode="_(* #,##0.00_);_(* \(#,##0.00\);_(* &quot;-&quot;??_);_(@_)">
                  <c:v>0.39</c:v>
                </c:pt>
                <c:pt idx="40" formatCode="_(* #,##0.00_);_(* \(#,##0.00\);_(* &quot;-&quot;??_);_(@_)">
                  <c:v>0.4</c:v>
                </c:pt>
                <c:pt idx="41" formatCode="_(* #,##0.00_);_(* \(#,##0.00\);_(* &quot;-&quot;??_);_(@_)">
                  <c:v>0.41</c:v>
                </c:pt>
                <c:pt idx="42" formatCode="_(* #,##0.00_);_(* \(#,##0.00\);_(* &quot;-&quot;??_);_(@_)">
                  <c:v>0.42</c:v>
                </c:pt>
                <c:pt idx="43" formatCode="_(* #,##0.00_);_(* \(#,##0.00\);_(* &quot;-&quot;??_);_(@_)">
                  <c:v>0.43</c:v>
                </c:pt>
                <c:pt idx="44" formatCode="_(* #,##0.00_);_(* \(#,##0.00\);_(* &quot;-&quot;??_);_(@_)">
                  <c:v>0.44</c:v>
                </c:pt>
                <c:pt idx="45" formatCode="_(* #,##0.00_);_(* \(#,##0.00\);_(* &quot;-&quot;??_);_(@_)">
                  <c:v>0.45</c:v>
                </c:pt>
                <c:pt idx="46" formatCode="_(* #,##0.00_);_(* \(#,##0.00\);_(* &quot;-&quot;??_);_(@_)">
                  <c:v>0.46</c:v>
                </c:pt>
                <c:pt idx="47" formatCode="_(* #,##0.00_);_(* \(#,##0.00\);_(* &quot;-&quot;??_);_(@_)">
                  <c:v>0.47</c:v>
                </c:pt>
                <c:pt idx="48" formatCode="_(* #,##0.00_);_(* \(#,##0.00\);_(* &quot;-&quot;??_);_(@_)">
                  <c:v>0.48</c:v>
                </c:pt>
                <c:pt idx="49" formatCode="_(* #,##0.00_);_(* \(#,##0.00\);_(* &quot;-&quot;??_);_(@_)">
                  <c:v>0.49</c:v>
                </c:pt>
                <c:pt idx="50" formatCode="_(* #,##0.00_);_(* \(#,##0.00\);_(* &quot;-&quot;??_);_(@_)">
                  <c:v>0.5</c:v>
                </c:pt>
                <c:pt idx="51" formatCode="_(* #,##0.00_);_(* \(#,##0.00\);_(* &quot;-&quot;??_);_(@_)">
                  <c:v>0.51</c:v>
                </c:pt>
                <c:pt idx="52" formatCode="_(* #,##0.00_);_(* \(#,##0.00\);_(* &quot;-&quot;??_);_(@_)">
                  <c:v>0.52</c:v>
                </c:pt>
                <c:pt idx="53" formatCode="_(* #,##0.00_);_(* \(#,##0.00\);_(* &quot;-&quot;??_);_(@_)">
                  <c:v>0.53</c:v>
                </c:pt>
                <c:pt idx="54" formatCode="_(* #,##0.00_);_(* \(#,##0.00\);_(* &quot;-&quot;??_);_(@_)">
                  <c:v>0.54</c:v>
                </c:pt>
                <c:pt idx="55" formatCode="_(* #,##0.00_);_(* \(#,##0.00\);_(* &quot;-&quot;??_);_(@_)">
                  <c:v>0.55</c:v>
                </c:pt>
                <c:pt idx="56" formatCode="_(* #,##0.00_);_(* \(#,##0.00\);_(* &quot;-&quot;??_);_(@_)">
                  <c:v>0.56</c:v>
                </c:pt>
                <c:pt idx="57" formatCode="_(* #,##0.00_);_(* \(#,##0.00\);_(* &quot;-&quot;??_);_(@_)">
                  <c:v>0.57</c:v>
                </c:pt>
                <c:pt idx="58" formatCode="_(* #,##0.00_);_(* \(#,##0.00\);_(* &quot;-&quot;??_);_(@_)">
                  <c:v>0.58</c:v>
                </c:pt>
                <c:pt idx="59" formatCode="_(* #,##0.00_);_(* \(#,##0.00\);_(* &quot;-&quot;??_);_(@_)">
                  <c:v>0.59</c:v>
                </c:pt>
                <c:pt idx="60" formatCode="_(* #,##0.00_);_(* \(#,##0.00\);_(* &quot;-&quot;??_);_(@_)">
                  <c:v>0.6</c:v>
                </c:pt>
                <c:pt idx="61" formatCode="_(* #,##0.00_);_(* \(#,##0.00\);_(* &quot;-&quot;??_);_(@_)">
                  <c:v>0.61</c:v>
                </c:pt>
                <c:pt idx="62" formatCode="_(* #,##0.00_);_(* \(#,##0.00\);_(* &quot;-&quot;??_);_(@_)">
                  <c:v>0.62</c:v>
                </c:pt>
                <c:pt idx="63" formatCode="_(* #,##0.00_);_(* \(#,##0.00\);_(* &quot;-&quot;??_);_(@_)">
                  <c:v>0.63</c:v>
                </c:pt>
                <c:pt idx="64" formatCode="_(* #,##0.00_);_(* \(#,##0.00\);_(* &quot;-&quot;??_);_(@_)">
                  <c:v>0.64</c:v>
                </c:pt>
                <c:pt idx="65" formatCode="_(* #,##0.00_);_(* \(#,##0.00\);_(* &quot;-&quot;??_);_(@_)">
                  <c:v>0.65</c:v>
                </c:pt>
                <c:pt idx="66" formatCode="_(* #,##0.00_);_(* \(#,##0.00\);_(* &quot;-&quot;??_);_(@_)">
                  <c:v>0.66</c:v>
                </c:pt>
                <c:pt idx="67" formatCode="_(* #,##0.00_);_(* \(#,##0.00\);_(* &quot;-&quot;??_);_(@_)">
                  <c:v>0.67</c:v>
                </c:pt>
                <c:pt idx="68" formatCode="_(* #,##0.00_);_(* \(#,##0.00\);_(* &quot;-&quot;??_);_(@_)">
                  <c:v>0.68</c:v>
                </c:pt>
                <c:pt idx="69" formatCode="_(* #,##0.00_);_(* \(#,##0.00\);_(* &quot;-&quot;??_);_(@_)">
                  <c:v>0.69</c:v>
                </c:pt>
                <c:pt idx="70" formatCode="_(* #,##0.00_);_(* \(#,##0.00\);_(* &quot;-&quot;??_);_(@_)">
                  <c:v>0.7</c:v>
                </c:pt>
                <c:pt idx="71" formatCode="_(* #,##0.00_);_(* \(#,##0.00\);_(* &quot;-&quot;??_);_(@_)">
                  <c:v>0.71</c:v>
                </c:pt>
                <c:pt idx="72" formatCode="_(* #,##0.00_);_(* \(#,##0.00\);_(* &quot;-&quot;??_);_(@_)">
                  <c:v>0.72</c:v>
                </c:pt>
                <c:pt idx="73" formatCode="_(* #,##0.00_);_(* \(#,##0.00\);_(* &quot;-&quot;??_);_(@_)">
                  <c:v>0.73</c:v>
                </c:pt>
                <c:pt idx="74" formatCode="_(* #,##0.00_);_(* \(#,##0.00\);_(* &quot;-&quot;??_);_(@_)">
                  <c:v>0.74</c:v>
                </c:pt>
                <c:pt idx="75" formatCode="_(* #,##0.00_);_(* \(#,##0.00\);_(* &quot;-&quot;??_);_(@_)">
                  <c:v>0.75</c:v>
                </c:pt>
                <c:pt idx="76" formatCode="_(* #,##0.00_);_(* \(#,##0.00\);_(* &quot;-&quot;??_);_(@_)">
                  <c:v>0.76</c:v>
                </c:pt>
                <c:pt idx="77" formatCode="_(* #,##0.00_);_(* \(#,##0.00\);_(* &quot;-&quot;??_);_(@_)">
                  <c:v>0.77</c:v>
                </c:pt>
                <c:pt idx="78" formatCode="_(* #,##0.00_);_(* \(#,##0.00\);_(* &quot;-&quot;??_);_(@_)">
                  <c:v>0.78</c:v>
                </c:pt>
                <c:pt idx="79" formatCode="_(* #,##0.00_);_(* \(#,##0.00\);_(* &quot;-&quot;??_);_(@_)">
                  <c:v>0.79</c:v>
                </c:pt>
                <c:pt idx="80" formatCode="_(* #,##0.00_);_(* \(#,##0.00\);_(* &quot;-&quot;??_);_(@_)">
                  <c:v>0.8</c:v>
                </c:pt>
                <c:pt idx="81" formatCode="_(* #,##0.00_);_(* \(#,##0.00\);_(* &quot;-&quot;??_);_(@_)">
                  <c:v>0.81</c:v>
                </c:pt>
                <c:pt idx="82" formatCode="_(* #,##0.00_);_(* \(#,##0.00\);_(* &quot;-&quot;??_);_(@_)">
                  <c:v>0.82</c:v>
                </c:pt>
                <c:pt idx="83" formatCode="_(* #,##0.00_);_(* \(#,##0.00\);_(* &quot;-&quot;??_);_(@_)">
                  <c:v>0.83</c:v>
                </c:pt>
                <c:pt idx="84" formatCode="_(* #,##0.00_);_(* \(#,##0.00\);_(* &quot;-&quot;??_);_(@_)">
                  <c:v>0.84</c:v>
                </c:pt>
                <c:pt idx="85" formatCode="_(* #,##0.00_);_(* \(#,##0.00\);_(* &quot;-&quot;??_);_(@_)">
                  <c:v>0.85</c:v>
                </c:pt>
                <c:pt idx="86" formatCode="_(* #,##0.00_);_(* \(#,##0.00\);_(* &quot;-&quot;??_);_(@_)">
                  <c:v>0.86</c:v>
                </c:pt>
                <c:pt idx="87" formatCode="_(* #,##0.00_);_(* \(#,##0.00\);_(* &quot;-&quot;??_);_(@_)">
                  <c:v>0.87</c:v>
                </c:pt>
                <c:pt idx="88" formatCode="_(* #,##0.00_);_(* \(#,##0.00\);_(* &quot;-&quot;??_);_(@_)">
                  <c:v>0.88</c:v>
                </c:pt>
                <c:pt idx="89" formatCode="_(* #,##0.00_);_(* \(#,##0.00\);_(* &quot;-&quot;??_);_(@_)">
                  <c:v>0.89</c:v>
                </c:pt>
                <c:pt idx="90" formatCode="_(* #,##0.00_);_(* \(#,##0.00\);_(* &quot;-&quot;??_);_(@_)">
                  <c:v>0.9</c:v>
                </c:pt>
                <c:pt idx="91" formatCode="_(* #,##0.00_);_(* \(#,##0.00\);_(* &quot;-&quot;??_);_(@_)">
                  <c:v>0.91</c:v>
                </c:pt>
                <c:pt idx="92" formatCode="_(* #,##0.00_);_(* \(#,##0.00\);_(* &quot;-&quot;??_);_(@_)">
                  <c:v>0.92</c:v>
                </c:pt>
                <c:pt idx="93" formatCode="_(* #,##0.00_);_(* \(#,##0.00\);_(* &quot;-&quot;??_);_(@_)">
                  <c:v>0.93</c:v>
                </c:pt>
                <c:pt idx="94" formatCode="_(* #,##0.00_);_(* \(#,##0.00\);_(* &quot;-&quot;??_);_(@_)">
                  <c:v>0.94</c:v>
                </c:pt>
                <c:pt idx="95" formatCode="_(* #,##0.00_);_(* \(#,##0.00\);_(* &quot;-&quot;??_);_(@_)">
                  <c:v>0.95</c:v>
                </c:pt>
                <c:pt idx="96" formatCode="_(* #,##0.00_);_(* \(#,##0.00\);_(* &quot;-&quot;??_);_(@_)">
                  <c:v>0.96</c:v>
                </c:pt>
                <c:pt idx="97" formatCode="_(* #,##0.00_);_(* \(#,##0.00\);_(* &quot;-&quot;??_);_(@_)">
                  <c:v>0.97</c:v>
                </c:pt>
                <c:pt idx="98" formatCode="_(* #,##0.00_);_(* \(#,##0.00\);_(* &quot;-&quot;??_);_(@_)">
                  <c:v>0.98</c:v>
                </c:pt>
                <c:pt idx="99" formatCode="_(* #,##0.00_);_(* \(#,##0.00\);_(* &quot;-&quot;??_);_(@_)">
                  <c:v>0.99</c:v>
                </c:pt>
                <c:pt idx="100" formatCode="_(* #,##0.00_);_(* \(#,##0.00\);_(* &quot;-&quot;??_);_(@_)">
                  <c:v>1.0</c:v>
                </c:pt>
                <c:pt idx="101" formatCode="_(* #,##0.00_);_(* \(#,##0.00\);_(* &quot;-&quot;??_);_(@_)">
                  <c:v>1.01</c:v>
                </c:pt>
                <c:pt idx="102" formatCode="_(* #,##0.00_);_(* \(#,##0.00\);_(* &quot;-&quot;??_);_(@_)">
                  <c:v>1.02</c:v>
                </c:pt>
                <c:pt idx="103" formatCode="_(* #,##0.00_);_(* \(#,##0.00\);_(* &quot;-&quot;??_);_(@_)">
                  <c:v>1.03</c:v>
                </c:pt>
                <c:pt idx="104" formatCode="_(* #,##0.00_);_(* \(#,##0.00\);_(* &quot;-&quot;??_);_(@_)">
                  <c:v>1.04</c:v>
                </c:pt>
                <c:pt idx="105" formatCode="_(* #,##0.00_);_(* \(#,##0.00\);_(* &quot;-&quot;??_);_(@_)">
                  <c:v>1.05</c:v>
                </c:pt>
                <c:pt idx="106" formatCode="_(* #,##0.00_);_(* \(#,##0.00\);_(* &quot;-&quot;??_);_(@_)">
                  <c:v>1.06</c:v>
                </c:pt>
                <c:pt idx="107" formatCode="_(* #,##0.00_);_(* \(#,##0.00\);_(* &quot;-&quot;??_);_(@_)">
                  <c:v>1.07</c:v>
                </c:pt>
                <c:pt idx="108" formatCode="_(* #,##0.00_);_(* \(#,##0.00\);_(* &quot;-&quot;??_);_(@_)">
                  <c:v>1.08</c:v>
                </c:pt>
                <c:pt idx="109" formatCode="_(* #,##0.00_);_(* \(#,##0.00\);_(* &quot;-&quot;??_);_(@_)">
                  <c:v>1.09</c:v>
                </c:pt>
                <c:pt idx="110" formatCode="_(* #,##0.00_);_(* \(#,##0.00\);_(* &quot;-&quot;??_);_(@_)">
                  <c:v>1.1</c:v>
                </c:pt>
                <c:pt idx="111" formatCode="_(* #,##0.00_);_(* \(#,##0.00\);_(* &quot;-&quot;??_);_(@_)">
                  <c:v>1.11</c:v>
                </c:pt>
                <c:pt idx="112" formatCode="_(* #,##0.00_);_(* \(#,##0.00\);_(* &quot;-&quot;??_);_(@_)">
                  <c:v>1.12</c:v>
                </c:pt>
                <c:pt idx="113" formatCode="_(* #,##0.00_);_(* \(#,##0.00\);_(* &quot;-&quot;??_);_(@_)">
                  <c:v>1.13</c:v>
                </c:pt>
                <c:pt idx="114" formatCode="_(* #,##0.00_);_(* \(#,##0.00\);_(* &quot;-&quot;??_);_(@_)">
                  <c:v>1.14</c:v>
                </c:pt>
                <c:pt idx="115" formatCode="_(* #,##0.00_);_(* \(#,##0.00\);_(* &quot;-&quot;??_);_(@_)">
                  <c:v>1.15</c:v>
                </c:pt>
                <c:pt idx="116" formatCode="_(* #,##0.00_);_(* \(#,##0.00\);_(* &quot;-&quot;??_);_(@_)">
                  <c:v>1.16</c:v>
                </c:pt>
                <c:pt idx="117" formatCode="_(* #,##0.00_);_(* \(#,##0.00\);_(* &quot;-&quot;??_);_(@_)">
                  <c:v>1.17</c:v>
                </c:pt>
                <c:pt idx="118" formatCode="_(* #,##0.00_);_(* \(#,##0.00\);_(* &quot;-&quot;??_);_(@_)">
                  <c:v>1.18</c:v>
                </c:pt>
                <c:pt idx="119" formatCode="_(* #,##0.00_);_(* \(#,##0.00\);_(* &quot;-&quot;??_);_(@_)">
                  <c:v>1.19</c:v>
                </c:pt>
                <c:pt idx="120" formatCode="_(* #,##0.00_);_(* \(#,##0.00\);_(* &quot;-&quot;??_);_(@_)">
                  <c:v>1.2</c:v>
                </c:pt>
                <c:pt idx="121" formatCode="_(* #,##0.00_);_(* \(#,##0.00\);_(* &quot;-&quot;??_);_(@_)">
                  <c:v>1.21</c:v>
                </c:pt>
                <c:pt idx="122" formatCode="_(* #,##0.00_);_(* \(#,##0.00\);_(* &quot;-&quot;??_);_(@_)">
                  <c:v>1.22</c:v>
                </c:pt>
                <c:pt idx="123" formatCode="_(* #,##0.00_);_(* \(#,##0.00\);_(* &quot;-&quot;??_);_(@_)">
                  <c:v>1.23</c:v>
                </c:pt>
              </c:numCache>
            </c:numRef>
          </c:xVal>
          <c:yVal>
            <c:numRef>
              <c:f>SPR_YPR!$M$42:$M$165</c:f>
              <c:numCache>
                <c:formatCode>0.000</c:formatCode>
                <c:ptCount val="124"/>
                <c:pt idx="0">
                  <c:v>0.0</c:v>
                </c:pt>
                <c:pt idx="1">
                  <c:v>14.67519306883283</c:v>
                </c:pt>
                <c:pt idx="2">
                  <c:v>27.96566984310129</c:v>
                </c:pt>
                <c:pt idx="3">
                  <c:v>39.99975574736566</c:v>
                </c:pt>
                <c:pt idx="4">
                  <c:v>50.89321639950657</c:v>
                </c:pt>
                <c:pt idx="5">
                  <c:v>60.75057201362591</c:v>
                </c:pt>
                <c:pt idx="6">
                  <c:v>69.6662646715917</c:v>
                </c:pt>
                <c:pt idx="7">
                  <c:v>77.72569601954208</c:v>
                </c:pt>
                <c:pt idx="8">
                  <c:v>85.0061507238492</c:v>
                </c:pt>
                <c:pt idx="9">
                  <c:v>91.5776190956626</c:v>
                </c:pt>
                <c:pt idx="10">
                  <c:v>97.50353062279755</c:v>
                </c:pt>
                <c:pt idx="11">
                  <c:v>102.8414086969667</c:v>
                </c:pt>
                <c:pt idx="12">
                  <c:v>107.6434555629134</c:v>
                </c:pt>
                <c:pt idx="13">
                  <c:v>111.9570754179367</c:v>
                </c:pt>
                <c:pt idx="14">
                  <c:v>115.8253426334004</c:v>
                </c:pt>
                <c:pt idx="15">
                  <c:v>119.2874212349966</c:v>
                </c:pt>
                <c:pt idx="16">
                  <c:v>122.3789410494321</c:v>
                </c:pt>
                <c:pt idx="17">
                  <c:v>125.1323352877356</c:v>
                </c:pt>
                <c:pt idx="18">
                  <c:v>127.5771437774117</c:v>
                </c:pt>
                <c:pt idx="19">
                  <c:v>129.7402855667823</c:v>
                </c:pt>
                <c:pt idx="20">
                  <c:v>131.6463041960231</c:v>
                </c:pt>
                <c:pt idx="21">
                  <c:v>133.3175885528599</c:v>
                </c:pt>
                <c:pt idx="22">
                  <c:v>134.774571899922</c:v>
                </c:pt>
                <c:pt idx="23">
                  <c:v>136.0359113695295</c:v>
                </c:pt>
                <c:pt idx="24">
                  <c:v>137.1186499651911</c:v>
                </c:pt>
                <c:pt idx="25">
                  <c:v>138.0383628829466</c:v>
                </c:pt>
                <c:pt idx="26">
                  <c:v>138.8092897660977</c:v>
                </c:pt>
                <c:pt idx="27">
                  <c:v>139.444454330562</c:v>
                </c:pt>
                <c:pt idx="28">
                  <c:v>139.9557726421735</c:v>
                </c:pt>
                <c:pt idx="29">
                  <c:v>140.3541511892588</c:v>
                </c:pt>
                <c:pt idx="30">
                  <c:v>140.6495757715655</c:v>
                </c:pt>
                <c:pt idx="31">
                  <c:v>140.8511921182047</c:v>
                </c:pt>
                <c:pt idx="32">
                  <c:v>140.9673790510532</c:v>
                </c:pt>
                <c:pt idx="33">
                  <c:v>141.005814924578</c:v>
                </c:pt>
                <c:pt idx="34">
                  <c:v>140.9735379970427</c:v>
                </c:pt>
                <c:pt idx="35">
                  <c:v>140.8770013204182</c:v>
                </c:pt>
                <c:pt idx="36">
                  <c:v>140.7221226760755</c:v>
                </c:pt>
                <c:pt idx="37">
                  <c:v>140.5143300296323</c:v>
                </c:pt>
                <c:pt idx="38">
                  <c:v>140.2586029304161</c:v>
                </c:pt>
                <c:pt idx="39">
                  <c:v>139.9595102382181</c:v>
                </c:pt>
                <c:pt idx="40">
                  <c:v>139.6212445217861</c:v>
                </c:pt>
                <c:pt idx="41">
                  <c:v>139.2476534393097</c:v>
                </c:pt>
                <c:pt idx="42">
                  <c:v>138.8422683805482</c:v>
                </c:pt>
                <c:pt idx="43">
                  <c:v>138.408330622843</c:v>
                </c:pt>
                <c:pt idx="44">
                  <c:v>137.948815228685</c:v>
                </c:pt>
                <c:pt idx="45">
                  <c:v>137.4664528904627</c:v>
                </c:pt>
                <c:pt idx="46">
                  <c:v>136.9637499082343</c:v>
                </c:pt>
                <c:pt idx="47">
                  <c:v>136.4430064685916</c:v>
                </c:pt>
                <c:pt idx="48">
                  <c:v>135.9063333767014</c:v>
                </c:pt>
                <c:pt idx="49">
                  <c:v>135.3556673792371</c:v>
                </c:pt>
                <c:pt idx="50">
                  <c:v>134.792785202974</c:v>
                </c:pt>
                <c:pt idx="51">
                  <c:v>134.2193164221605</c:v>
                </c:pt>
                <c:pt idx="52">
                  <c:v>133.6367552572741</c:v>
                </c:pt>
                <c:pt idx="53">
                  <c:v>133.0464713982918</c:v>
                </c:pt>
                <c:pt idx="54">
                  <c:v>132.4497199370483</c:v>
                </c:pt>
                <c:pt idx="55">
                  <c:v>131.847650485532</c:v>
                </c:pt>
                <c:pt idx="56">
                  <c:v>131.2413155499869</c:v>
                </c:pt>
                <c:pt idx="57">
                  <c:v>130.6316782243722</c:v>
                </c:pt>
                <c:pt idx="58">
                  <c:v>130.0196192610267</c:v>
                </c:pt>
                <c:pt idx="59">
                  <c:v>129.4059435712026</c:v>
                </c:pt>
                <c:pt idx="60">
                  <c:v>128.791386203464</c:v>
                </c:pt>
                <c:pt idx="61">
                  <c:v>128.176617843682</c:v>
                </c:pt>
                <c:pt idx="62">
                  <c:v>127.5622498765295</c:v>
                </c:pt>
                <c:pt idx="63">
                  <c:v>126.9488390448615</c:v>
                </c:pt>
                <c:pt idx="64">
                  <c:v>126.3368917402174</c:v>
                </c:pt>
                <c:pt idx="65">
                  <c:v>125.7268679547866</c:v>
                </c:pt>
                <c:pt idx="66">
                  <c:v>125.1191849225653</c:v>
                </c:pt>
                <c:pt idx="67">
                  <c:v>124.5142204750518</c:v>
                </c:pt>
                <c:pt idx="68">
                  <c:v>123.912316134664</c:v>
                </c:pt>
                <c:pt idx="69">
                  <c:v>123.3137799670836</c:v>
                </c:pt>
                <c:pt idx="70">
                  <c:v>122.7188892119483</c:v>
                </c:pt>
                <c:pt idx="71">
                  <c:v>122.1278927096659</c:v>
                </c:pt>
                <c:pt idx="72">
                  <c:v>121.5410131406405</c:v>
                </c:pt>
                <c:pt idx="73">
                  <c:v>120.9584490918389</c:v>
                </c:pt>
                <c:pt idx="74">
                  <c:v>120.380376964385</c:v>
                </c:pt>
                <c:pt idx="75">
                  <c:v>119.8069527347369</c:v>
                </c:pt>
                <c:pt idx="76">
                  <c:v>119.2383135809678</c:v>
                </c:pt>
                <c:pt idx="77">
                  <c:v>118.6745793847261</c:v>
                </c:pt>
                <c:pt idx="78">
                  <c:v>118.1158541185886</c:v>
                </c:pt>
                <c:pt idx="79">
                  <c:v>117.5622271277279</c:v>
                </c:pt>
                <c:pt idx="80">
                  <c:v>117.0137743140924</c:v>
                </c:pt>
                <c:pt idx="81">
                  <c:v>116.4705592306414</c:v>
                </c:pt>
                <c:pt idx="82">
                  <c:v>115.932634092564</c:v>
                </c:pt>
                <c:pt idx="83">
                  <c:v>115.4000407118626</c:v>
                </c:pt>
                <c:pt idx="84">
                  <c:v>114.8728113611716</c:v>
                </c:pt>
                <c:pt idx="85">
                  <c:v>114.3509695722121</c:v>
                </c:pt>
                <c:pt idx="86">
                  <c:v>113.834530873864</c:v>
                </c:pt>
                <c:pt idx="87">
                  <c:v>113.323503474437</c:v>
                </c:pt>
                <c:pt idx="88">
                  <c:v>112.8178888923672</c:v>
                </c:pt>
                <c:pt idx="89">
                  <c:v>112.3176825392335</c:v>
                </c:pt>
                <c:pt idx="90">
                  <c:v>111.8228742586856</c:v>
                </c:pt>
                <c:pt idx="91">
                  <c:v>111.3334488245962</c:v>
                </c:pt>
                <c:pt idx="92">
                  <c:v>110.8493864014931</c:v>
                </c:pt>
                <c:pt idx="93">
                  <c:v>110.3706629700937</c:v>
                </c:pt>
                <c:pt idx="94">
                  <c:v>109.897250720545</c:v>
                </c:pt>
                <c:pt idx="95">
                  <c:v>109.4291184157732</c:v>
                </c:pt>
                <c:pt idx="96">
                  <c:v>108.966231727166</c:v>
                </c:pt>
                <c:pt idx="97">
                  <c:v>108.5085535446395</c:v>
                </c:pt>
                <c:pt idx="98">
                  <c:v>108.0560442629855</c:v>
                </c:pt>
                <c:pt idx="99">
                  <c:v>107.6086620462542</c:v>
                </c:pt>
                <c:pt idx="100">
                  <c:v>107.1663630717918</c:v>
                </c:pt>
                <c:pt idx="101">
                  <c:v>106.7291017554354</c:v>
                </c:pt>
                <c:pt idx="102">
                  <c:v>106.2968309592492</c:v>
                </c:pt>
                <c:pt idx="103">
                  <c:v>105.8695021830882</c:v>
                </c:pt>
                <c:pt idx="104">
                  <c:v>105.447065741176</c:v>
                </c:pt>
                <c:pt idx="105">
                  <c:v>105.0294709247966</c:v>
                </c:pt>
                <c:pt idx="106">
                  <c:v>104.6166661521208</c:v>
                </c:pt>
                <c:pt idx="107">
                  <c:v>104.2085991061058</c:v>
                </c:pt>
                <c:pt idx="108">
                  <c:v>103.8052168613465</c:v>
                </c:pt>
                <c:pt idx="109">
                  <c:v>103.4064660006845</c:v>
                </c:pt>
                <c:pt idx="110">
                  <c:v>103.0122927223265</c:v>
                </c:pt>
                <c:pt idx="111">
                  <c:v>102.6226429381663</c:v>
                </c:pt>
                <c:pt idx="112">
                  <c:v>102.2374623639558</c:v>
                </c:pt>
                <c:pt idx="113">
                  <c:v>101.8566966019217</c:v>
                </c:pt>
                <c:pt idx="114">
                  <c:v>101.4802912163816</c:v>
                </c:pt>
                <c:pt idx="115">
                  <c:v>101.1081918028749</c:v>
                </c:pt>
                <c:pt idx="116">
                  <c:v>100.7403440512826</c:v>
                </c:pt>
                <c:pt idx="117">
                  <c:v>100.3766938033809</c:v>
                </c:pt>
                <c:pt idx="118">
                  <c:v>100.0171871052371</c:v>
                </c:pt>
                <c:pt idx="119">
                  <c:v>99.66177025482793</c:v>
                </c:pt>
                <c:pt idx="120">
                  <c:v>99.31038984523614</c:v>
                </c:pt>
                <c:pt idx="121">
                  <c:v>98.96299280375042</c:v>
                </c:pt>
                <c:pt idx="122">
                  <c:v>98.61952642717456</c:v>
                </c:pt>
                <c:pt idx="123">
                  <c:v>98.27993841362925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245640"/>
        <c:axId val="681230776"/>
      </c:scatterChart>
      <c:valAx>
        <c:axId val="681262008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</a:t>
                </a:r>
              </a:p>
            </c:rich>
          </c:tx>
          <c:layout>
            <c:manualLayout>
              <c:xMode val="edge"/>
              <c:yMode val="edge"/>
              <c:x val="0.482688439112896"/>
              <c:y val="0.89412073490813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1257752"/>
        <c:crosses val="autoZero"/>
        <c:crossBetween val="midCat"/>
        <c:majorUnit val="0.25"/>
      </c:valAx>
      <c:valAx>
        <c:axId val="681257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</a:t>
                </a:r>
              </a:p>
            </c:rich>
          </c:tx>
          <c:layout>
            <c:manualLayout>
              <c:xMode val="edge"/>
              <c:yMode val="edge"/>
              <c:x val="0.0101833747291656"/>
              <c:y val="0.458825021872266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1262008"/>
        <c:crosses val="autoZero"/>
        <c:crossBetween val="midCat"/>
      </c:valAx>
      <c:valAx>
        <c:axId val="681245640"/>
        <c:scaling>
          <c:orientation val="minMax"/>
        </c:scaling>
        <c:delete val="1"/>
        <c:axPos val="b"/>
        <c:numFmt formatCode="#,##0.00_);\(#,##0.00\)" sourceLinked="1"/>
        <c:majorTickMark val="out"/>
        <c:minorTickMark val="none"/>
        <c:tickLblPos val="nextTo"/>
        <c:crossAx val="681230776"/>
        <c:crosses val="autoZero"/>
        <c:crossBetween val="midCat"/>
      </c:valAx>
      <c:valAx>
        <c:axId val="68123077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YPR</a:t>
                </a:r>
              </a:p>
            </c:rich>
          </c:tx>
          <c:layout>
            <c:manualLayout>
              <c:xMode val="edge"/>
              <c:yMode val="edge"/>
              <c:x val="0.934826930190773"/>
              <c:y val="0.458825021872266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1245640"/>
        <c:crosses val="max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2637707199352"/>
          <c:y val="0.216667104111986"/>
          <c:w val="0.115107893392521"/>
          <c:h val="0.1722226596675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Estimating</a:t>
            </a:r>
            <a:r>
              <a:rPr lang="en-US" baseline="0"/>
              <a:t> Total Mortality from logged Age Frequency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81076027703895"/>
          <c:y val="0.267407407407407"/>
          <c:w val="0.870077950122455"/>
          <c:h val="0.657234762321376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148180022647671"/>
                  <c:y val="-0.427137315152679"/>
                </c:manualLayout>
              </c:layout>
              <c:numFmt formatCode="General" sourceLinked="0"/>
            </c:trendlineLbl>
          </c:trendline>
          <c:yVal>
            <c:numRef>
              <c:f>Catch_Curve!$J$17:$J$32</c:f>
              <c:numCache>
                <c:formatCode>General</c:formatCode>
                <c:ptCount val="16"/>
                <c:pt idx="0">
                  <c:v>6.10255859461357</c:v>
                </c:pt>
                <c:pt idx="1">
                  <c:v>5.288267030694535</c:v>
                </c:pt>
                <c:pt idx="2">
                  <c:v>5.099866427824198</c:v>
                </c:pt>
                <c:pt idx="3">
                  <c:v>4.290459441148391</c:v>
                </c:pt>
                <c:pt idx="4">
                  <c:v>3.891820298110626</c:v>
                </c:pt>
                <c:pt idx="5">
                  <c:v>2.772588722239781</c:v>
                </c:pt>
                <c:pt idx="6">
                  <c:v>2.772588722239781</c:v>
                </c:pt>
                <c:pt idx="7">
                  <c:v>2.564949357461536</c:v>
                </c:pt>
                <c:pt idx="8">
                  <c:v>2.079441541679836</c:v>
                </c:pt>
                <c:pt idx="9">
                  <c:v>2.079441541679836</c:v>
                </c:pt>
                <c:pt idx="10">
                  <c:v>0.0</c:v>
                </c:pt>
                <c:pt idx="11">
                  <c:v>1.09861228866811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222216"/>
        <c:axId val="681213448"/>
      </c:scatterChart>
      <c:valAx>
        <c:axId val="681222216"/>
        <c:scaling>
          <c:orientation val="minMax"/>
        </c:scaling>
        <c:delete val="0"/>
        <c:axPos val="b"/>
        <c:majorTickMark val="out"/>
        <c:minorTickMark val="none"/>
        <c:tickLblPos val="nextTo"/>
        <c:crossAx val="681213448"/>
        <c:crosses val="autoZero"/>
        <c:crossBetween val="midCat"/>
      </c:valAx>
      <c:valAx>
        <c:axId val="681213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1222216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Age Frequency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Catch_Curve!$H$15:$H$41</c:f>
              <c:numCache>
                <c:formatCode>General</c:formatCode>
                <c:ptCount val="27"/>
                <c:pt idx="0">
                  <c:v>1.0</c:v>
                </c:pt>
                <c:pt idx="1">
                  <c:v>1.0</c:v>
                </c:pt>
                <c:pt idx="2">
                  <c:v>447.0</c:v>
                </c:pt>
                <c:pt idx="3">
                  <c:v>198.0</c:v>
                </c:pt>
                <c:pt idx="4">
                  <c:v>164.0</c:v>
                </c:pt>
                <c:pt idx="5">
                  <c:v>73.0</c:v>
                </c:pt>
                <c:pt idx="6">
                  <c:v>49.0</c:v>
                </c:pt>
                <c:pt idx="7">
                  <c:v>16.0</c:v>
                </c:pt>
                <c:pt idx="8">
                  <c:v>16.0</c:v>
                </c:pt>
                <c:pt idx="9">
                  <c:v>13.0</c:v>
                </c:pt>
                <c:pt idx="10">
                  <c:v>8.0</c:v>
                </c:pt>
                <c:pt idx="11">
                  <c:v>8.0</c:v>
                </c:pt>
                <c:pt idx="12">
                  <c:v>0.0</c:v>
                </c:pt>
                <c:pt idx="13">
                  <c:v>3.0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1177128"/>
        <c:axId val="681180072"/>
      </c:barChart>
      <c:catAx>
        <c:axId val="681177128"/>
        <c:scaling>
          <c:orientation val="minMax"/>
        </c:scaling>
        <c:delete val="0"/>
        <c:axPos val="b"/>
        <c:majorTickMark val="out"/>
        <c:minorTickMark val="none"/>
        <c:tickLblPos val="nextTo"/>
        <c:crossAx val="681180072"/>
        <c:crosses val="autoZero"/>
        <c:auto val="1"/>
        <c:lblAlgn val="ctr"/>
        <c:lblOffset val="100"/>
        <c:tickLblSkip val="2"/>
        <c:noMultiLvlLbl val="0"/>
      </c:catAx>
      <c:valAx>
        <c:axId val="681180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1177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Weight vs. Fishing Mortality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Mean Weight</c:v>
          </c:tx>
          <c:marker>
            <c:symbol val="none"/>
          </c:marker>
          <c:cat>
            <c:numRef>
              <c:f>Mean_Weight!$M$22:$M$222</c:f>
              <c:numCache>
                <c:formatCode>#,##0.00_);\(#,##0.00\)</c:formatCode>
                <c:ptCount val="2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 formatCode="_(* #,##0.00_);_(* \(#,##0.00\);_(* &quot;-&quot;??_);_(@_)">
                  <c:v>0.06</c:v>
                </c:pt>
                <c:pt idx="7" formatCode="_(* #,##0.00_);_(* \(#,##0.00\);_(* &quot;-&quot;??_);_(@_)">
                  <c:v>0.07</c:v>
                </c:pt>
                <c:pt idx="8" formatCode="_(* #,##0.00_);_(* \(#,##0.00\);_(* &quot;-&quot;??_);_(@_)">
                  <c:v>0.08</c:v>
                </c:pt>
                <c:pt idx="9" formatCode="_(* #,##0.00_);_(* \(#,##0.00\);_(* &quot;-&quot;??_);_(@_)">
                  <c:v>0.09</c:v>
                </c:pt>
                <c:pt idx="10" formatCode="_(* #,##0.00_);_(* \(#,##0.00\);_(* &quot;-&quot;??_);_(@_)">
                  <c:v>0.1</c:v>
                </c:pt>
                <c:pt idx="11" formatCode="_(* #,##0.00_);_(* \(#,##0.00\);_(* &quot;-&quot;??_);_(@_)">
                  <c:v>0.11</c:v>
                </c:pt>
                <c:pt idx="12" formatCode="_(* #,##0.00_);_(* \(#,##0.00\);_(* &quot;-&quot;??_);_(@_)">
                  <c:v>0.12</c:v>
                </c:pt>
                <c:pt idx="13" formatCode="_(* #,##0.00_);_(* \(#,##0.00\);_(* &quot;-&quot;??_);_(@_)">
                  <c:v>0.13</c:v>
                </c:pt>
                <c:pt idx="14" formatCode="_(* #,##0.00_);_(* \(#,##0.00\);_(* &quot;-&quot;??_);_(@_)">
                  <c:v>0.14</c:v>
                </c:pt>
                <c:pt idx="15" formatCode="_(* #,##0.00_);_(* \(#,##0.00\);_(* &quot;-&quot;??_);_(@_)">
                  <c:v>0.15</c:v>
                </c:pt>
                <c:pt idx="16" formatCode="_(* #,##0.00_);_(* \(#,##0.00\);_(* &quot;-&quot;??_);_(@_)">
                  <c:v>0.16</c:v>
                </c:pt>
                <c:pt idx="17" formatCode="_(* #,##0.00_);_(* \(#,##0.00\);_(* &quot;-&quot;??_);_(@_)">
                  <c:v>0.17</c:v>
                </c:pt>
                <c:pt idx="18" formatCode="_(* #,##0.00_);_(* \(#,##0.00\);_(* &quot;-&quot;??_);_(@_)">
                  <c:v>0.18</c:v>
                </c:pt>
                <c:pt idx="19" formatCode="_(* #,##0.00_);_(* \(#,##0.00\);_(* &quot;-&quot;??_);_(@_)">
                  <c:v>0.19</c:v>
                </c:pt>
                <c:pt idx="20" formatCode="_(* #,##0.00_);_(* \(#,##0.00\);_(* &quot;-&quot;??_);_(@_)">
                  <c:v>0.2</c:v>
                </c:pt>
                <c:pt idx="21" formatCode="_(* #,##0.00_);_(* \(#,##0.00\);_(* &quot;-&quot;??_);_(@_)">
                  <c:v>0.21</c:v>
                </c:pt>
                <c:pt idx="22" formatCode="_(* #,##0.00_);_(* \(#,##0.00\);_(* &quot;-&quot;??_);_(@_)">
                  <c:v>0.22</c:v>
                </c:pt>
                <c:pt idx="23" formatCode="_(* #,##0.00_);_(* \(#,##0.00\);_(* &quot;-&quot;??_);_(@_)">
                  <c:v>0.23</c:v>
                </c:pt>
                <c:pt idx="24" formatCode="_(* #,##0.00_);_(* \(#,##0.00\);_(* &quot;-&quot;??_);_(@_)">
                  <c:v>0.24</c:v>
                </c:pt>
                <c:pt idx="25" formatCode="_(* #,##0.00_);_(* \(#,##0.00\);_(* &quot;-&quot;??_);_(@_)">
                  <c:v>0.25</c:v>
                </c:pt>
                <c:pt idx="26" formatCode="_(* #,##0.00_);_(* \(#,##0.00\);_(* &quot;-&quot;??_);_(@_)">
                  <c:v>0.26</c:v>
                </c:pt>
                <c:pt idx="27" formatCode="_(* #,##0.00_);_(* \(#,##0.00\);_(* &quot;-&quot;??_);_(@_)">
                  <c:v>0.27</c:v>
                </c:pt>
                <c:pt idx="28" formatCode="_(* #,##0.00_);_(* \(#,##0.00\);_(* &quot;-&quot;??_);_(@_)">
                  <c:v>0.28</c:v>
                </c:pt>
                <c:pt idx="29" formatCode="_(* #,##0.00_);_(* \(#,##0.00\);_(* &quot;-&quot;??_);_(@_)">
                  <c:v>0.29</c:v>
                </c:pt>
                <c:pt idx="30" formatCode="_(* #,##0.00_);_(* \(#,##0.00\);_(* &quot;-&quot;??_);_(@_)">
                  <c:v>0.3</c:v>
                </c:pt>
                <c:pt idx="31" formatCode="_(* #,##0.00_);_(* \(#,##0.00\);_(* &quot;-&quot;??_);_(@_)">
                  <c:v>0.31</c:v>
                </c:pt>
                <c:pt idx="32" formatCode="_(* #,##0.00_);_(* \(#,##0.00\);_(* &quot;-&quot;??_);_(@_)">
                  <c:v>0.32</c:v>
                </c:pt>
                <c:pt idx="33" formatCode="_(* #,##0.00_);_(* \(#,##0.00\);_(* &quot;-&quot;??_);_(@_)">
                  <c:v>0.33</c:v>
                </c:pt>
                <c:pt idx="34" formatCode="_(* #,##0.00_);_(* \(#,##0.00\);_(* &quot;-&quot;??_);_(@_)">
                  <c:v>0.34</c:v>
                </c:pt>
                <c:pt idx="35" formatCode="_(* #,##0.00_);_(* \(#,##0.00\);_(* &quot;-&quot;??_);_(@_)">
                  <c:v>0.35</c:v>
                </c:pt>
                <c:pt idx="36" formatCode="_(* #,##0.00_);_(* \(#,##0.00\);_(* &quot;-&quot;??_);_(@_)">
                  <c:v>0.36</c:v>
                </c:pt>
                <c:pt idx="37" formatCode="_(* #,##0.00_);_(* \(#,##0.00\);_(* &quot;-&quot;??_);_(@_)">
                  <c:v>0.37</c:v>
                </c:pt>
                <c:pt idx="38" formatCode="_(* #,##0.00_);_(* \(#,##0.00\);_(* &quot;-&quot;??_);_(@_)">
                  <c:v>0.38</c:v>
                </c:pt>
                <c:pt idx="39" formatCode="_(* #,##0.00_);_(* \(#,##0.00\);_(* &quot;-&quot;??_);_(@_)">
                  <c:v>0.39</c:v>
                </c:pt>
                <c:pt idx="40" formatCode="_(* #,##0.00_);_(* \(#,##0.00\);_(* &quot;-&quot;??_);_(@_)">
                  <c:v>0.4</c:v>
                </c:pt>
                <c:pt idx="41" formatCode="_(* #,##0.00_);_(* \(#,##0.00\);_(* &quot;-&quot;??_);_(@_)">
                  <c:v>0.41</c:v>
                </c:pt>
                <c:pt idx="42" formatCode="_(* #,##0.00_);_(* \(#,##0.00\);_(* &quot;-&quot;??_);_(@_)">
                  <c:v>0.42</c:v>
                </c:pt>
                <c:pt idx="43" formatCode="_(* #,##0.00_);_(* \(#,##0.00\);_(* &quot;-&quot;??_);_(@_)">
                  <c:v>0.43</c:v>
                </c:pt>
                <c:pt idx="44" formatCode="_(* #,##0.00_);_(* \(#,##0.00\);_(* &quot;-&quot;??_);_(@_)">
                  <c:v>0.44</c:v>
                </c:pt>
                <c:pt idx="45" formatCode="_(* #,##0.00_);_(* \(#,##0.00\);_(* &quot;-&quot;??_);_(@_)">
                  <c:v>0.45</c:v>
                </c:pt>
                <c:pt idx="46" formatCode="_(* #,##0.00_);_(* \(#,##0.00\);_(* &quot;-&quot;??_);_(@_)">
                  <c:v>0.46</c:v>
                </c:pt>
                <c:pt idx="47" formatCode="_(* #,##0.00_);_(* \(#,##0.00\);_(* &quot;-&quot;??_);_(@_)">
                  <c:v>0.47</c:v>
                </c:pt>
                <c:pt idx="48" formatCode="_(* #,##0.00_);_(* \(#,##0.00\);_(* &quot;-&quot;??_);_(@_)">
                  <c:v>0.48</c:v>
                </c:pt>
                <c:pt idx="49" formatCode="_(* #,##0.00_);_(* \(#,##0.00\);_(* &quot;-&quot;??_);_(@_)">
                  <c:v>0.49</c:v>
                </c:pt>
                <c:pt idx="50" formatCode="_(* #,##0.00_);_(* \(#,##0.00\);_(* &quot;-&quot;??_);_(@_)">
                  <c:v>0.5</c:v>
                </c:pt>
                <c:pt idx="51" formatCode="_(* #,##0.00_);_(* \(#,##0.00\);_(* &quot;-&quot;??_);_(@_)">
                  <c:v>0.51</c:v>
                </c:pt>
                <c:pt idx="52" formatCode="_(* #,##0.00_);_(* \(#,##0.00\);_(* &quot;-&quot;??_);_(@_)">
                  <c:v>0.52</c:v>
                </c:pt>
                <c:pt idx="53" formatCode="_(* #,##0.00_);_(* \(#,##0.00\);_(* &quot;-&quot;??_);_(@_)">
                  <c:v>0.53</c:v>
                </c:pt>
                <c:pt idx="54" formatCode="_(* #,##0.00_);_(* \(#,##0.00\);_(* &quot;-&quot;??_);_(@_)">
                  <c:v>0.54</c:v>
                </c:pt>
                <c:pt idx="55" formatCode="_(* #,##0.00_);_(* \(#,##0.00\);_(* &quot;-&quot;??_);_(@_)">
                  <c:v>0.55</c:v>
                </c:pt>
                <c:pt idx="56" formatCode="_(* #,##0.00_);_(* \(#,##0.00\);_(* &quot;-&quot;??_);_(@_)">
                  <c:v>0.56</c:v>
                </c:pt>
                <c:pt idx="57" formatCode="_(* #,##0.00_);_(* \(#,##0.00\);_(* &quot;-&quot;??_);_(@_)">
                  <c:v>0.57</c:v>
                </c:pt>
                <c:pt idx="58" formatCode="_(* #,##0.00_);_(* \(#,##0.00\);_(* &quot;-&quot;??_);_(@_)">
                  <c:v>0.58</c:v>
                </c:pt>
                <c:pt idx="59" formatCode="_(* #,##0.00_);_(* \(#,##0.00\);_(* &quot;-&quot;??_);_(@_)">
                  <c:v>0.59</c:v>
                </c:pt>
                <c:pt idx="60" formatCode="_(* #,##0.00_);_(* \(#,##0.00\);_(* &quot;-&quot;??_);_(@_)">
                  <c:v>0.6</c:v>
                </c:pt>
                <c:pt idx="61" formatCode="_(* #,##0.00_);_(* \(#,##0.00\);_(* &quot;-&quot;??_);_(@_)">
                  <c:v>0.61</c:v>
                </c:pt>
                <c:pt idx="62" formatCode="_(* #,##0.00_);_(* \(#,##0.00\);_(* &quot;-&quot;??_);_(@_)">
                  <c:v>0.62</c:v>
                </c:pt>
                <c:pt idx="63" formatCode="_(* #,##0.00_);_(* \(#,##0.00\);_(* &quot;-&quot;??_);_(@_)">
                  <c:v>0.63</c:v>
                </c:pt>
                <c:pt idx="64" formatCode="_(* #,##0.00_);_(* \(#,##0.00\);_(* &quot;-&quot;??_);_(@_)">
                  <c:v>0.64</c:v>
                </c:pt>
                <c:pt idx="65" formatCode="_(* #,##0.00_);_(* \(#,##0.00\);_(* &quot;-&quot;??_);_(@_)">
                  <c:v>0.65</c:v>
                </c:pt>
                <c:pt idx="66" formatCode="_(* #,##0.00_);_(* \(#,##0.00\);_(* &quot;-&quot;??_);_(@_)">
                  <c:v>0.66</c:v>
                </c:pt>
                <c:pt idx="67" formatCode="_(* #,##0.00_);_(* \(#,##0.00\);_(* &quot;-&quot;??_);_(@_)">
                  <c:v>0.67</c:v>
                </c:pt>
                <c:pt idx="68" formatCode="_(* #,##0.00_);_(* \(#,##0.00\);_(* &quot;-&quot;??_);_(@_)">
                  <c:v>0.68</c:v>
                </c:pt>
                <c:pt idx="69" formatCode="_(* #,##0.00_);_(* \(#,##0.00\);_(* &quot;-&quot;??_);_(@_)">
                  <c:v>0.69</c:v>
                </c:pt>
                <c:pt idx="70" formatCode="_(* #,##0.00_);_(* \(#,##0.00\);_(* &quot;-&quot;??_);_(@_)">
                  <c:v>0.7</c:v>
                </c:pt>
                <c:pt idx="71" formatCode="_(* #,##0.00_);_(* \(#,##0.00\);_(* &quot;-&quot;??_);_(@_)">
                  <c:v>0.71</c:v>
                </c:pt>
                <c:pt idx="72" formatCode="_(* #,##0.00_);_(* \(#,##0.00\);_(* &quot;-&quot;??_);_(@_)">
                  <c:v>0.72</c:v>
                </c:pt>
                <c:pt idx="73" formatCode="_(* #,##0.00_);_(* \(#,##0.00\);_(* &quot;-&quot;??_);_(@_)">
                  <c:v>0.73</c:v>
                </c:pt>
                <c:pt idx="74" formatCode="_(* #,##0.00_);_(* \(#,##0.00\);_(* &quot;-&quot;??_);_(@_)">
                  <c:v>0.74</c:v>
                </c:pt>
                <c:pt idx="75" formatCode="_(* #,##0.00_);_(* \(#,##0.00\);_(* &quot;-&quot;??_);_(@_)">
                  <c:v>0.75</c:v>
                </c:pt>
                <c:pt idx="76" formatCode="_(* #,##0.00_);_(* \(#,##0.00\);_(* &quot;-&quot;??_);_(@_)">
                  <c:v>0.76</c:v>
                </c:pt>
                <c:pt idx="77" formatCode="_(* #,##0.00_);_(* \(#,##0.00\);_(* &quot;-&quot;??_);_(@_)">
                  <c:v>0.77</c:v>
                </c:pt>
                <c:pt idx="78" formatCode="_(* #,##0.00_);_(* \(#,##0.00\);_(* &quot;-&quot;??_);_(@_)">
                  <c:v>0.78</c:v>
                </c:pt>
                <c:pt idx="79" formatCode="_(* #,##0.00_);_(* \(#,##0.00\);_(* &quot;-&quot;??_);_(@_)">
                  <c:v>0.79</c:v>
                </c:pt>
                <c:pt idx="80" formatCode="_(* #,##0.00_);_(* \(#,##0.00\);_(* &quot;-&quot;??_);_(@_)">
                  <c:v>0.8</c:v>
                </c:pt>
                <c:pt idx="81" formatCode="_(* #,##0.00_);_(* \(#,##0.00\);_(* &quot;-&quot;??_);_(@_)">
                  <c:v>0.81</c:v>
                </c:pt>
                <c:pt idx="82" formatCode="_(* #,##0.00_);_(* \(#,##0.00\);_(* &quot;-&quot;??_);_(@_)">
                  <c:v>0.82</c:v>
                </c:pt>
                <c:pt idx="83" formatCode="_(* #,##0.00_);_(* \(#,##0.00\);_(* &quot;-&quot;??_);_(@_)">
                  <c:v>0.83</c:v>
                </c:pt>
                <c:pt idx="84" formatCode="_(* #,##0.00_);_(* \(#,##0.00\);_(* &quot;-&quot;??_);_(@_)">
                  <c:v>0.84</c:v>
                </c:pt>
                <c:pt idx="85" formatCode="_(* #,##0.00_);_(* \(#,##0.00\);_(* &quot;-&quot;??_);_(@_)">
                  <c:v>0.85</c:v>
                </c:pt>
                <c:pt idx="86" formatCode="_(* #,##0.00_);_(* \(#,##0.00\);_(* &quot;-&quot;??_);_(@_)">
                  <c:v>0.86</c:v>
                </c:pt>
                <c:pt idx="87" formatCode="_(* #,##0.00_);_(* \(#,##0.00\);_(* &quot;-&quot;??_);_(@_)">
                  <c:v>0.87</c:v>
                </c:pt>
                <c:pt idx="88" formatCode="_(* #,##0.00_);_(* \(#,##0.00\);_(* &quot;-&quot;??_);_(@_)">
                  <c:v>0.88</c:v>
                </c:pt>
                <c:pt idx="89" formatCode="_(* #,##0.00_);_(* \(#,##0.00\);_(* &quot;-&quot;??_);_(@_)">
                  <c:v>0.89</c:v>
                </c:pt>
                <c:pt idx="90" formatCode="_(* #,##0.00_);_(* \(#,##0.00\);_(* &quot;-&quot;??_);_(@_)">
                  <c:v>0.9</c:v>
                </c:pt>
                <c:pt idx="91" formatCode="_(* #,##0.00_);_(* \(#,##0.00\);_(* &quot;-&quot;??_);_(@_)">
                  <c:v>0.91</c:v>
                </c:pt>
                <c:pt idx="92" formatCode="_(* #,##0.00_);_(* \(#,##0.00\);_(* &quot;-&quot;??_);_(@_)">
                  <c:v>0.92</c:v>
                </c:pt>
                <c:pt idx="93" formatCode="_(* #,##0.00_);_(* \(#,##0.00\);_(* &quot;-&quot;??_);_(@_)">
                  <c:v>0.93</c:v>
                </c:pt>
                <c:pt idx="94" formatCode="_(* #,##0.00_);_(* \(#,##0.00\);_(* &quot;-&quot;??_);_(@_)">
                  <c:v>0.94</c:v>
                </c:pt>
                <c:pt idx="95" formatCode="_(* #,##0.00_);_(* \(#,##0.00\);_(* &quot;-&quot;??_);_(@_)">
                  <c:v>0.95</c:v>
                </c:pt>
                <c:pt idx="96" formatCode="_(* #,##0.00_);_(* \(#,##0.00\);_(* &quot;-&quot;??_);_(@_)">
                  <c:v>0.96</c:v>
                </c:pt>
                <c:pt idx="97" formatCode="_(* #,##0.00_);_(* \(#,##0.00\);_(* &quot;-&quot;??_);_(@_)">
                  <c:v>0.97</c:v>
                </c:pt>
                <c:pt idx="98" formatCode="_(* #,##0.00_);_(* \(#,##0.00\);_(* &quot;-&quot;??_);_(@_)">
                  <c:v>0.98</c:v>
                </c:pt>
                <c:pt idx="99" formatCode="_(* #,##0.00_);_(* \(#,##0.00\);_(* &quot;-&quot;??_);_(@_)">
                  <c:v>0.99</c:v>
                </c:pt>
                <c:pt idx="100" formatCode="_(* #,##0.00_);_(* \(#,##0.00\);_(* &quot;-&quot;??_);_(@_)">
                  <c:v>1.0</c:v>
                </c:pt>
                <c:pt idx="101" formatCode="_(* #,##0.00_);_(* \(#,##0.00\);_(* &quot;-&quot;??_);_(@_)">
                  <c:v>1.01</c:v>
                </c:pt>
                <c:pt idx="102" formatCode="_(* #,##0.00_);_(* \(#,##0.00\);_(* &quot;-&quot;??_);_(@_)">
                  <c:v>1.02</c:v>
                </c:pt>
                <c:pt idx="103" formatCode="_(* #,##0.00_);_(* \(#,##0.00\);_(* &quot;-&quot;??_);_(@_)">
                  <c:v>1.03</c:v>
                </c:pt>
                <c:pt idx="104" formatCode="_(* #,##0.00_);_(* \(#,##0.00\);_(* &quot;-&quot;??_);_(@_)">
                  <c:v>1.04</c:v>
                </c:pt>
                <c:pt idx="105" formatCode="_(* #,##0.00_);_(* \(#,##0.00\);_(* &quot;-&quot;??_);_(@_)">
                  <c:v>1.05</c:v>
                </c:pt>
                <c:pt idx="106" formatCode="_(* #,##0.00_);_(* \(#,##0.00\);_(* &quot;-&quot;??_);_(@_)">
                  <c:v>1.06</c:v>
                </c:pt>
                <c:pt idx="107" formatCode="_(* #,##0.00_);_(* \(#,##0.00\);_(* &quot;-&quot;??_);_(@_)">
                  <c:v>1.07</c:v>
                </c:pt>
                <c:pt idx="108" formatCode="_(* #,##0.00_);_(* \(#,##0.00\);_(* &quot;-&quot;??_);_(@_)">
                  <c:v>1.08</c:v>
                </c:pt>
                <c:pt idx="109" formatCode="_(* #,##0.00_);_(* \(#,##0.00\);_(* &quot;-&quot;??_);_(@_)">
                  <c:v>1.09</c:v>
                </c:pt>
                <c:pt idx="110" formatCode="_(* #,##0.00_);_(* \(#,##0.00\);_(* &quot;-&quot;??_);_(@_)">
                  <c:v>1.1</c:v>
                </c:pt>
                <c:pt idx="111" formatCode="_(* #,##0.00_);_(* \(#,##0.00\);_(* &quot;-&quot;??_);_(@_)">
                  <c:v>1.11</c:v>
                </c:pt>
                <c:pt idx="112" formatCode="_(* #,##0.00_);_(* \(#,##0.00\);_(* &quot;-&quot;??_);_(@_)">
                  <c:v>1.12</c:v>
                </c:pt>
                <c:pt idx="113" formatCode="_(* #,##0.00_);_(* \(#,##0.00\);_(* &quot;-&quot;??_);_(@_)">
                  <c:v>1.13</c:v>
                </c:pt>
                <c:pt idx="114" formatCode="_(* #,##0.00_);_(* \(#,##0.00\);_(* &quot;-&quot;??_);_(@_)">
                  <c:v>1.14</c:v>
                </c:pt>
                <c:pt idx="115" formatCode="_(* #,##0.00_);_(* \(#,##0.00\);_(* &quot;-&quot;??_);_(@_)">
                  <c:v>1.15</c:v>
                </c:pt>
                <c:pt idx="116" formatCode="_(* #,##0.00_);_(* \(#,##0.00\);_(* &quot;-&quot;??_);_(@_)">
                  <c:v>1.16</c:v>
                </c:pt>
                <c:pt idx="117" formatCode="_(* #,##0.00_);_(* \(#,##0.00\);_(* &quot;-&quot;??_);_(@_)">
                  <c:v>1.17</c:v>
                </c:pt>
                <c:pt idx="118" formatCode="_(* #,##0.00_);_(* \(#,##0.00\);_(* &quot;-&quot;??_);_(@_)">
                  <c:v>1.18</c:v>
                </c:pt>
                <c:pt idx="119" formatCode="_(* #,##0.00_);_(* \(#,##0.00\);_(* &quot;-&quot;??_);_(@_)">
                  <c:v>1.19</c:v>
                </c:pt>
                <c:pt idx="120" formatCode="_(* #,##0.00_);_(* \(#,##0.00\);_(* &quot;-&quot;??_);_(@_)">
                  <c:v>1.2</c:v>
                </c:pt>
                <c:pt idx="121" formatCode="_(* #,##0.00_);_(* \(#,##0.00\);_(* &quot;-&quot;??_);_(@_)">
                  <c:v>1.21</c:v>
                </c:pt>
                <c:pt idx="122" formatCode="_(* #,##0.00_);_(* \(#,##0.00\);_(* &quot;-&quot;??_);_(@_)">
                  <c:v>1.22</c:v>
                </c:pt>
                <c:pt idx="123" formatCode="_(* #,##0.00_);_(* \(#,##0.00\);_(* &quot;-&quot;??_);_(@_)">
                  <c:v>1.23</c:v>
                </c:pt>
                <c:pt idx="124" formatCode="_(* #,##0.00_);_(* \(#,##0.00\);_(* &quot;-&quot;??_);_(@_)">
                  <c:v>1.24</c:v>
                </c:pt>
                <c:pt idx="125" formatCode="_(* #,##0.00_);_(* \(#,##0.00\);_(* &quot;-&quot;??_);_(@_)">
                  <c:v>1.25</c:v>
                </c:pt>
                <c:pt idx="126" formatCode="_(* #,##0.00_);_(* \(#,##0.00\);_(* &quot;-&quot;??_);_(@_)">
                  <c:v>1.26</c:v>
                </c:pt>
                <c:pt idx="127" formatCode="_(* #,##0.00_);_(* \(#,##0.00\);_(* &quot;-&quot;??_);_(@_)">
                  <c:v>1.27</c:v>
                </c:pt>
                <c:pt idx="128" formatCode="_(* #,##0.00_);_(* \(#,##0.00\);_(* &quot;-&quot;??_);_(@_)">
                  <c:v>1.28</c:v>
                </c:pt>
                <c:pt idx="129" formatCode="_(* #,##0.00_);_(* \(#,##0.00\);_(* &quot;-&quot;??_);_(@_)">
                  <c:v>1.29</c:v>
                </c:pt>
                <c:pt idx="130" formatCode="_(* #,##0.00_);_(* \(#,##0.00\);_(* &quot;-&quot;??_);_(@_)">
                  <c:v>1.3</c:v>
                </c:pt>
                <c:pt idx="131" formatCode="_(* #,##0.00_);_(* \(#,##0.00\);_(* &quot;-&quot;??_);_(@_)">
                  <c:v>1.31</c:v>
                </c:pt>
                <c:pt idx="132" formatCode="_(* #,##0.00_);_(* \(#,##0.00\);_(* &quot;-&quot;??_);_(@_)">
                  <c:v>1.32</c:v>
                </c:pt>
                <c:pt idx="133" formatCode="_(* #,##0.00_);_(* \(#,##0.00\);_(* &quot;-&quot;??_);_(@_)">
                  <c:v>1.33</c:v>
                </c:pt>
                <c:pt idx="134" formatCode="_(* #,##0.00_);_(* \(#,##0.00\);_(* &quot;-&quot;??_);_(@_)">
                  <c:v>1.34</c:v>
                </c:pt>
                <c:pt idx="135" formatCode="_(* #,##0.00_);_(* \(#,##0.00\);_(* &quot;-&quot;??_);_(@_)">
                  <c:v>1.35</c:v>
                </c:pt>
                <c:pt idx="136" formatCode="_(* #,##0.00_);_(* \(#,##0.00\);_(* &quot;-&quot;??_);_(@_)">
                  <c:v>1.36</c:v>
                </c:pt>
                <c:pt idx="137" formatCode="_(* #,##0.00_);_(* \(#,##0.00\);_(* &quot;-&quot;??_);_(@_)">
                  <c:v>1.37</c:v>
                </c:pt>
                <c:pt idx="138" formatCode="_(* #,##0.00_);_(* \(#,##0.00\);_(* &quot;-&quot;??_);_(@_)">
                  <c:v>1.38</c:v>
                </c:pt>
                <c:pt idx="139" formatCode="_(* #,##0.00_);_(* \(#,##0.00\);_(* &quot;-&quot;??_);_(@_)">
                  <c:v>1.39</c:v>
                </c:pt>
                <c:pt idx="140" formatCode="_(* #,##0.00_);_(* \(#,##0.00\);_(* &quot;-&quot;??_);_(@_)">
                  <c:v>1.4</c:v>
                </c:pt>
                <c:pt idx="141" formatCode="_(* #,##0.00_);_(* \(#,##0.00\);_(* &quot;-&quot;??_);_(@_)">
                  <c:v>1.41</c:v>
                </c:pt>
                <c:pt idx="142" formatCode="_(* #,##0.00_);_(* \(#,##0.00\);_(* &quot;-&quot;??_);_(@_)">
                  <c:v>1.42</c:v>
                </c:pt>
                <c:pt idx="143" formatCode="_(* #,##0.00_);_(* \(#,##0.00\);_(* &quot;-&quot;??_);_(@_)">
                  <c:v>1.43</c:v>
                </c:pt>
                <c:pt idx="144" formatCode="_(* #,##0.00_);_(* \(#,##0.00\);_(* &quot;-&quot;??_);_(@_)">
                  <c:v>1.44</c:v>
                </c:pt>
                <c:pt idx="145" formatCode="_(* #,##0.00_);_(* \(#,##0.00\);_(* &quot;-&quot;??_);_(@_)">
                  <c:v>1.45</c:v>
                </c:pt>
                <c:pt idx="146" formatCode="_(* #,##0.00_);_(* \(#,##0.00\);_(* &quot;-&quot;??_);_(@_)">
                  <c:v>1.46</c:v>
                </c:pt>
                <c:pt idx="147" formatCode="_(* #,##0.00_);_(* \(#,##0.00\);_(* &quot;-&quot;??_);_(@_)">
                  <c:v>1.47</c:v>
                </c:pt>
                <c:pt idx="148" formatCode="_(* #,##0.00_);_(* \(#,##0.00\);_(* &quot;-&quot;??_);_(@_)">
                  <c:v>1.48</c:v>
                </c:pt>
                <c:pt idx="149" formatCode="_(* #,##0.00_);_(* \(#,##0.00\);_(* &quot;-&quot;??_);_(@_)">
                  <c:v>1.49</c:v>
                </c:pt>
                <c:pt idx="150" formatCode="_(* #,##0.00_);_(* \(#,##0.00\);_(* &quot;-&quot;??_);_(@_)">
                  <c:v>1.5</c:v>
                </c:pt>
                <c:pt idx="151" formatCode="_(* #,##0.00_);_(* \(#,##0.00\);_(* &quot;-&quot;??_);_(@_)">
                  <c:v>1.51</c:v>
                </c:pt>
                <c:pt idx="152" formatCode="_(* #,##0.00_);_(* \(#,##0.00\);_(* &quot;-&quot;??_);_(@_)">
                  <c:v>1.52</c:v>
                </c:pt>
                <c:pt idx="153" formatCode="_(* #,##0.00_);_(* \(#,##0.00\);_(* &quot;-&quot;??_);_(@_)">
                  <c:v>1.53</c:v>
                </c:pt>
                <c:pt idx="154" formatCode="_(* #,##0.00_);_(* \(#,##0.00\);_(* &quot;-&quot;??_);_(@_)">
                  <c:v>1.54</c:v>
                </c:pt>
                <c:pt idx="155" formatCode="_(* #,##0.00_);_(* \(#,##0.00\);_(* &quot;-&quot;??_);_(@_)">
                  <c:v>1.55</c:v>
                </c:pt>
                <c:pt idx="156" formatCode="_(* #,##0.00_);_(* \(#,##0.00\);_(* &quot;-&quot;??_);_(@_)">
                  <c:v>1.56</c:v>
                </c:pt>
                <c:pt idx="157" formatCode="_(* #,##0.00_);_(* \(#,##0.00\);_(* &quot;-&quot;??_);_(@_)">
                  <c:v>1.57</c:v>
                </c:pt>
                <c:pt idx="158" formatCode="_(* #,##0.00_);_(* \(#,##0.00\);_(* &quot;-&quot;??_);_(@_)">
                  <c:v>1.58</c:v>
                </c:pt>
                <c:pt idx="159" formatCode="_(* #,##0.00_);_(* \(#,##0.00\);_(* &quot;-&quot;??_);_(@_)">
                  <c:v>1.59</c:v>
                </c:pt>
                <c:pt idx="160" formatCode="_(* #,##0.00_);_(* \(#,##0.00\);_(* &quot;-&quot;??_);_(@_)">
                  <c:v>1.6</c:v>
                </c:pt>
                <c:pt idx="161" formatCode="_(* #,##0.00_);_(* \(#,##0.00\);_(* &quot;-&quot;??_);_(@_)">
                  <c:v>1.61</c:v>
                </c:pt>
                <c:pt idx="162" formatCode="_(* #,##0.00_);_(* \(#,##0.00\);_(* &quot;-&quot;??_);_(@_)">
                  <c:v>1.62</c:v>
                </c:pt>
                <c:pt idx="163" formatCode="_(* #,##0.00_);_(* \(#,##0.00\);_(* &quot;-&quot;??_);_(@_)">
                  <c:v>1.63</c:v>
                </c:pt>
                <c:pt idx="164" formatCode="_(* #,##0.00_);_(* \(#,##0.00\);_(* &quot;-&quot;??_);_(@_)">
                  <c:v>1.64</c:v>
                </c:pt>
                <c:pt idx="165" formatCode="_(* #,##0.00_);_(* \(#,##0.00\);_(* &quot;-&quot;??_);_(@_)">
                  <c:v>1.65</c:v>
                </c:pt>
                <c:pt idx="166" formatCode="_(* #,##0.00_);_(* \(#,##0.00\);_(* &quot;-&quot;??_);_(@_)">
                  <c:v>1.66</c:v>
                </c:pt>
                <c:pt idx="167" formatCode="_(* #,##0.00_);_(* \(#,##0.00\);_(* &quot;-&quot;??_);_(@_)">
                  <c:v>1.67</c:v>
                </c:pt>
                <c:pt idx="168" formatCode="_(* #,##0.00_);_(* \(#,##0.00\);_(* &quot;-&quot;??_);_(@_)">
                  <c:v>1.68</c:v>
                </c:pt>
                <c:pt idx="169" formatCode="_(* #,##0.00_);_(* \(#,##0.00\);_(* &quot;-&quot;??_);_(@_)">
                  <c:v>1.69</c:v>
                </c:pt>
                <c:pt idx="170" formatCode="_(* #,##0.00_);_(* \(#,##0.00\);_(* &quot;-&quot;??_);_(@_)">
                  <c:v>1.7</c:v>
                </c:pt>
                <c:pt idx="171" formatCode="_(* #,##0.00_);_(* \(#,##0.00\);_(* &quot;-&quot;??_);_(@_)">
                  <c:v>1.71</c:v>
                </c:pt>
                <c:pt idx="172" formatCode="_(* #,##0.00_);_(* \(#,##0.00\);_(* &quot;-&quot;??_);_(@_)">
                  <c:v>1.72</c:v>
                </c:pt>
                <c:pt idx="173" formatCode="_(* #,##0.00_);_(* \(#,##0.00\);_(* &quot;-&quot;??_);_(@_)">
                  <c:v>1.73</c:v>
                </c:pt>
                <c:pt idx="174" formatCode="_(* #,##0.00_);_(* \(#,##0.00\);_(* &quot;-&quot;??_);_(@_)">
                  <c:v>1.74</c:v>
                </c:pt>
                <c:pt idx="175" formatCode="_(* #,##0.00_);_(* \(#,##0.00\);_(* &quot;-&quot;??_);_(@_)">
                  <c:v>1.75</c:v>
                </c:pt>
                <c:pt idx="176" formatCode="_(* #,##0.00_);_(* \(#,##0.00\);_(* &quot;-&quot;??_);_(@_)">
                  <c:v>1.76</c:v>
                </c:pt>
                <c:pt idx="177" formatCode="_(* #,##0.00_);_(* \(#,##0.00\);_(* &quot;-&quot;??_);_(@_)">
                  <c:v>1.77</c:v>
                </c:pt>
                <c:pt idx="178" formatCode="_(* #,##0.00_);_(* \(#,##0.00\);_(* &quot;-&quot;??_);_(@_)">
                  <c:v>1.78</c:v>
                </c:pt>
                <c:pt idx="179" formatCode="_(* #,##0.00_);_(* \(#,##0.00\);_(* &quot;-&quot;??_);_(@_)">
                  <c:v>1.79</c:v>
                </c:pt>
                <c:pt idx="180" formatCode="_(* #,##0.00_);_(* \(#,##0.00\);_(* &quot;-&quot;??_);_(@_)">
                  <c:v>1.8</c:v>
                </c:pt>
                <c:pt idx="181" formatCode="_(* #,##0.00_);_(* \(#,##0.00\);_(* &quot;-&quot;??_);_(@_)">
                  <c:v>1.81</c:v>
                </c:pt>
                <c:pt idx="182" formatCode="_(* #,##0.00_);_(* \(#,##0.00\);_(* &quot;-&quot;??_);_(@_)">
                  <c:v>1.82</c:v>
                </c:pt>
                <c:pt idx="183" formatCode="_(* #,##0.00_);_(* \(#,##0.00\);_(* &quot;-&quot;??_);_(@_)">
                  <c:v>1.83</c:v>
                </c:pt>
                <c:pt idx="184" formatCode="_(* #,##0.00_);_(* \(#,##0.00\);_(* &quot;-&quot;??_);_(@_)">
                  <c:v>1.84</c:v>
                </c:pt>
                <c:pt idx="185" formatCode="_(* #,##0.00_);_(* \(#,##0.00\);_(* &quot;-&quot;??_);_(@_)">
                  <c:v>1.85</c:v>
                </c:pt>
                <c:pt idx="186" formatCode="_(* #,##0.00_);_(* \(#,##0.00\);_(* &quot;-&quot;??_);_(@_)">
                  <c:v>1.86</c:v>
                </c:pt>
                <c:pt idx="187" formatCode="_(* #,##0.00_);_(* \(#,##0.00\);_(* &quot;-&quot;??_);_(@_)">
                  <c:v>1.87</c:v>
                </c:pt>
                <c:pt idx="188" formatCode="_(* #,##0.00_);_(* \(#,##0.00\);_(* &quot;-&quot;??_);_(@_)">
                  <c:v>1.88</c:v>
                </c:pt>
                <c:pt idx="189" formatCode="_(* #,##0.00_);_(* \(#,##0.00\);_(* &quot;-&quot;??_);_(@_)">
                  <c:v>1.89</c:v>
                </c:pt>
                <c:pt idx="190" formatCode="_(* #,##0.00_);_(* \(#,##0.00\);_(* &quot;-&quot;??_);_(@_)">
                  <c:v>1.9</c:v>
                </c:pt>
                <c:pt idx="191" formatCode="_(* #,##0.00_);_(* \(#,##0.00\);_(* &quot;-&quot;??_);_(@_)">
                  <c:v>1.91</c:v>
                </c:pt>
                <c:pt idx="192" formatCode="_(* #,##0.00_);_(* \(#,##0.00\);_(* &quot;-&quot;??_);_(@_)">
                  <c:v>1.92</c:v>
                </c:pt>
                <c:pt idx="193" formatCode="_(* #,##0.00_);_(* \(#,##0.00\);_(* &quot;-&quot;??_);_(@_)">
                  <c:v>1.93</c:v>
                </c:pt>
                <c:pt idx="194" formatCode="_(* #,##0.00_);_(* \(#,##0.00\);_(* &quot;-&quot;??_);_(@_)">
                  <c:v>1.94</c:v>
                </c:pt>
                <c:pt idx="195" formatCode="_(* #,##0.00_);_(* \(#,##0.00\);_(* &quot;-&quot;??_);_(@_)">
                  <c:v>1.95</c:v>
                </c:pt>
                <c:pt idx="196" formatCode="_(* #,##0.00_);_(* \(#,##0.00\);_(* &quot;-&quot;??_);_(@_)">
                  <c:v>1.96</c:v>
                </c:pt>
                <c:pt idx="197" formatCode="_(* #,##0.00_);_(* \(#,##0.00\);_(* &quot;-&quot;??_);_(@_)">
                  <c:v>1.97</c:v>
                </c:pt>
                <c:pt idx="198" formatCode="_(* #,##0.00_);_(* \(#,##0.00\);_(* &quot;-&quot;??_);_(@_)">
                  <c:v>1.98</c:v>
                </c:pt>
                <c:pt idx="199" formatCode="_(* #,##0.00_);_(* \(#,##0.00\);_(* &quot;-&quot;??_);_(@_)">
                  <c:v>1.99</c:v>
                </c:pt>
                <c:pt idx="200" formatCode="_(* #,##0.00_);_(* \(#,##0.00\);_(* &quot;-&quot;??_);_(@_)">
                  <c:v>2.0</c:v>
                </c:pt>
              </c:numCache>
            </c:numRef>
          </c:cat>
          <c:val>
            <c:numRef>
              <c:f>Mean_Weight!$P$22:$P$222</c:f>
              <c:numCache>
                <c:formatCode>0.000</c:formatCode>
                <c:ptCount val="201"/>
                <c:pt idx="0">
                  <c:v>3.949792707767793</c:v>
                </c:pt>
                <c:pt idx="1">
                  <c:v>3.795532750956396</c:v>
                </c:pt>
                <c:pt idx="2">
                  <c:v>3.651685816879415</c:v>
                </c:pt>
                <c:pt idx="3">
                  <c:v>3.517395181268743</c:v>
                </c:pt>
                <c:pt idx="4">
                  <c:v>3.391875104180816</c:v>
                </c:pt>
                <c:pt idx="5">
                  <c:v>3.274407354518416</c:v>
                </c:pt>
                <c:pt idx="6">
                  <c:v>3.16433698748242</c:v>
                </c:pt>
                <c:pt idx="7">
                  <c:v>3.061067748658542</c:v>
                </c:pt>
                <c:pt idx="8">
                  <c:v>2.964057369106874</c:v>
                </c:pt>
                <c:pt idx="9">
                  <c:v>2.872812931990003</c:v>
                </c:pt>
                <c:pt idx="10">
                  <c:v>2.786886428416985</c:v>
                </c:pt>
                <c:pt idx="11">
                  <c:v>2.705870574060943</c:v>
                </c:pt>
                <c:pt idx="12">
                  <c:v>2.629394925025951</c:v>
                </c:pt>
                <c:pt idx="13">
                  <c:v>2.557122308302966</c:v>
                </c:pt>
                <c:pt idx="14">
                  <c:v>2.488745566464098</c:v>
                </c:pt>
                <c:pt idx="15">
                  <c:v>2.423984606029525</c:v>
                </c:pt>
                <c:pt idx="16">
                  <c:v>2.362583732679626</c:v>
                </c:pt>
                <c:pt idx="17">
                  <c:v>2.304309253022946</c:v>
                </c:pt>
                <c:pt idx="18">
                  <c:v>2.248947321106297</c:v>
                </c:pt>
                <c:pt idx="19">
                  <c:v>2.196302007633498</c:v>
                </c:pt>
                <c:pt idx="20">
                  <c:v>2.146193570484766</c:v>
                </c:pt>
                <c:pt idx="21">
                  <c:v>2.098456906272479</c:v>
                </c:pt>
                <c:pt idx="22">
                  <c:v>2.0529401641016</c:v>
                </c:pt>
                <c:pt idx="23">
                  <c:v>2.009503504267291</c:v>
                </c:pt>
                <c:pt idx="24">
                  <c:v>1.968017986213207</c:v>
                </c:pt>
                <c:pt idx="25">
                  <c:v>1.928364571623764</c:v>
                </c:pt>
                <c:pt idx="26">
                  <c:v>1.890433229991387</c:v>
                </c:pt>
                <c:pt idx="27">
                  <c:v>1.854122135362203</c:v>
                </c:pt>
                <c:pt idx="28">
                  <c:v>1.819336944210522</c:v>
                </c:pt>
                <c:pt idx="29">
                  <c:v>1.78599014552143</c:v>
                </c:pt>
                <c:pt idx="30">
                  <c:v>1.754000475175062</c:v>
                </c:pt>
                <c:pt idx="31">
                  <c:v>1.723292387631764</c:v>
                </c:pt>
                <c:pt idx="32">
                  <c:v>1.69379557872249</c:v>
                </c:pt>
                <c:pt idx="33">
                  <c:v>1.665444554062165</c:v>
                </c:pt>
                <c:pt idx="34">
                  <c:v>1.63817823823417</c:v>
                </c:pt>
                <c:pt idx="35">
                  <c:v>1.611939620450538</c:v>
                </c:pt>
                <c:pt idx="36">
                  <c:v>1.58667543288269</c:v>
                </c:pt>
                <c:pt idx="37">
                  <c:v>1.562335858289448</c:v>
                </c:pt>
                <c:pt idx="38">
                  <c:v>1.538874263949275</c:v>
                </c:pt>
                <c:pt idx="39">
                  <c:v>1.516246959238584</c:v>
                </c:pt>
                <c:pt idx="40">
                  <c:v>1.494412974492796</c:v>
                </c:pt>
                <c:pt idx="41">
                  <c:v>1.473333859046769</c:v>
                </c:pt>
                <c:pt idx="42">
                  <c:v>1.452973496580328</c:v>
                </c:pt>
                <c:pt idx="43">
                  <c:v>1.433297936096899</c:v>
                </c:pt>
                <c:pt idx="44">
                  <c:v>1.414275237041814</c:v>
                </c:pt>
                <c:pt idx="45">
                  <c:v>1.395875327224816</c:v>
                </c:pt>
                <c:pt idx="46">
                  <c:v>1.378069872351054</c:v>
                </c:pt>
                <c:pt idx="47">
                  <c:v>1.360832156088684</c:v>
                </c:pt>
                <c:pt idx="48">
                  <c:v>1.344136969711055</c:v>
                </c:pt>
                <c:pt idx="49">
                  <c:v>1.327960510449006</c:v>
                </c:pt>
                <c:pt idx="50">
                  <c:v>1.312280287775562</c:v>
                </c:pt>
                <c:pt idx="51">
                  <c:v>1.297075036922451</c:v>
                </c:pt>
                <c:pt idx="52">
                  <c:v>1.282324638996808</c:v>
                </c:pt>
                <c:pt idx="53">
                  <c:v>1.268010047127689</c:v>
                </c:pt>
                <c:pt idx="54">
                  <c:v>1.254113218126982</c:v>
                </c:pt>
                <c:pt idx="55">
                  <c:v>1.240617049198304</c:v>
                </c:pt>
                <c:pt idx="56">
                  <c:v>1.227505319271439</c:v>
                </c:pt>
                <c:pt idx="57">
                  <c:v>1.214762634579236</c:v>
                </c:pt>
                <c:pt idx="58">
                  <c:v>1.20237437812924</c:v>
                </c:pt>
                <c:pt idx="59">
                  <c:v>1.190326662754128</c:v>
                </c:pt>
                <c:pt idx="60">
                  <c:v>1.178606287453529</c:v>
                </c:pt>
                <c:pt idx="61">
                  <c:v>1.167200696765598</c:v>
                </c:pt>
                <c:pt idx="62">
                  <c:v>1.15609794292988</c:v>
                </c:pt>
                <c:pt idx="63">
                  <c:v>1.145286650623923</c:v>
                </c:pt>
                <c:pt idx="64">
                  <c:v>1.134755984075043</c:v>
                </c:pt>
                <c:pt idx="65">
                  <c:v>1.124495616365714</c:v>
                </c:pt>
                <c:pt idx="66">
                  <c:v>1.114495700766532</c:v>
                </c:pt>
                <c:pt idx="67">
                  <c:v>1.104746843944759</c:v>
                </c:pt>
                <c:pt idx="68">
                  <c:v>1.095240080909126</c:v>
                </c:pt>
                <c:pt idx="69">
                  <c:v>1.085966851563189</c:v>
                </c:pt>
                <c:pt idx="70">
                  <c:v>1.076918978749916</c:v>
                </c:pt>
                <c:pt idx="71">
                  <c:v>1.068088647679876</c:v>
                </c:pt>
                <c:pt idx="72">
                  <c:v>1.059468386643931</c:v>
                </c:pt>
                <c:pt idx="73">
                  <c:v>1.051051048919365</c:v>
                </c:pt>
                <c:pt idx="74">
                  <c:v>1.042829795785544</c:v>
                </c:pt>
                <c:pt idx="75">
                  <c:v>1.0347980805718</c:v>
                </c:pt>
                <c:pt idx="76">
                  <c:v>1.026949633666248</c:v>
                </c:pt>
                <c:pt idx="77">
                  <c:v>1.019278448419766</c:v>
                </c:pt>
                <c:pt idx="78">
                  <c:v>1.011778767884352</c:v>
                </c:pt>
                <c:pt idx="79">
                  <c:v>1.004445072329745</c:v>
                </c:pt>
                <c:pt idx="80">
                  <c:v>0.99727206748635</c:v>
                </c:pt>
                <c:pt idx="81">
                  <c:v>0.990254673466452</c:v>
                </c:pt>
                <c:pt idx="82">
                  <c:v>0.983388014319184</c:v>
                </c:pt>
                <c:pt idx="83">
                  <c:v>0.976667408178037</c:v>
                </c:pt>
                <c:pt idx="84">
                  <c:v>0.970088357962668</c:v>
                </c:pt>
                <c:pt idx="85">
                  <c:v>0.963646542599537</c:v>
                </c:pt>
                <c:pt idx="86">
                  <c:v>0.957337808728414</c:v>
                </c:pt>
                <c:pt idx="87">
                  <c:v>0.951158162864189</c:v>
                </c:pt>
                <c:pt idx="88">
                  <c:v>0.94510376398551</c:v>
                </c:pt>
                <c:pt idx="89">
                  <c:v>0.939170916523816</c:v>
                </c:pt>
                <c:pt idx="90">
                  <c:v>0.933356063728127</c:v>
                </c:pt>
                <c:pt idx="91">
                  <c:v>0.927655781382678</c:v>
                </c:pt>
                <c:pt idx="92">
                  <c:v>0.922066771856022</c:v>
                </c:pt>
                <c:pt idx="93">
                  <c:v>0.916585858461694</c:v>
                </c:pt>
                <c:pt idx="94">
                  <c:v>0.911209980111858</c:v>
                </c:pt>
                <c:pt idx="95">
                  <c:v>0.905936186246598</c:v>
                </c:pt>
                <c:pt idx="96">
                  <c:v>0.900761632022676</c:v>
                </c:pt>
                <c:pt idx="97">
                  <c:v>0.895683573746611</c:v>
                </c:pt>
                <c:pt idx="98">
                  <c:v>0.890699364537969</c:v>
                </c:pt>
                <c:pt idx="99">
                  <c:v>0.885806450209617</c:v>
                </c:pt>
                <c:pt idx="100">
                  <c:v>0.881002365352592</c:v>
                </c:pt>
                <c:pt idx="101">
                  <c:v>0.876284729613989</c:v>
                </c:pt>
                <c:pt idx="102">
                  <c:v>0.871651244157025</c:v>
                </c:pt>
                <c:pt idx="103">
                  <c:v>0.86709968829312</c:v>
                </c:pt>
                <c:pt idx="104">
                  <c:v>0.862627916276455</c:v>
                </c:pt>
                <c:pt idx="105">
                  <c:v>0.858233854252082</c:v>
                </c:pt>
                <c:pt idx="106">
                  <c:v>0.853915497349192</c:v>
                </c:pt>
                <c:pt idx="107">
                  <c:v>0.84967090691166</c:v>
                </c:pt>
                <c:pt idx="108">
                  <c:v>0.84549820785849</c:v>
                </c:pt>
                <c:pt idx="109">
                  <c:v>0.841395586167193</c:v>
                </c:pt>
                <c:pt idx="110">
                  <c:v>0.837361286473581</c:v>
                </c:pt>
                <c:pt idx="111">
                  <c:v>0.833393609781819</c:v>
                </c:pt>
                <c:pt idx="112">
                  <c:v>0.829490911278967</c:v>
                </c:pt>
                <c:pt idx="113">
                  <c:v>0.825651598248563</c:v>
                </c:pt>
                <c:pt idx="114">
                  <c:v>0.821874128078135</c:v>
                </c:pt>
                <c:pt idx="115">
                  <c:v>0.818157006355805</c:v>
                </c:pt>
                <c:pt idx="116">
                  <c:v>0.814498785051442</c:v>
                </c:pt>
                <c:pt idx="117">
                  <c:v>0.810898060778079</c:v>
                </c:pt>
                <c:pt idx="118">
                  <c:v>0.807353473129544</c:v>
                </c:pt>
                <c:pt idx="119">
                  <c:v>0.803863703090497</c:v>
                </c:pt>
                <c:pt idx="120">
                  <c:v>0.800427471515272</c:v>
                </c:pt>
                <c:pt idx="121">
                  <c:v>0.797043537672111</c:v>
                </c:pt>
                <c:pt idx="122">
                  <c:v>0.793710697849597</c:v>
                </c:pt>
                <c:pt idx="123">
                  <c:v>0.790427784022238</c:v>
                </c:pt>
                <c:pt idx="124">
                  <c:v>0.787193662572337</c:v>
                </c:pt>
                <c:pt idx="125">
                  <c:v>0.784007233065441</c:v>
                </c:pt>
                <c:pt idx="126">
                  <c:v>0.780867427076791</c:v>
                </c:pt>
                <c:pt idx="127">
                  <c:v>0.777773207066358</c:v>
                </c:pt>
                <c:pt idx="128">
                  <c:v>0.774723565300159</c:v>
                </c:pt>
                <c:pt idx="129">
                  <c:v>0.771717522815681</c:v>
                </c:pt>
                <c:pt idx="130">
                  <c:v>0.768754128429341</c:v>
                </c:pt>
                <c:pt idx="131">
                  <c:v>0.765832457784052</c:v>
                </c:pt>
                <c:pt idx="132">
                  <c:v>0.762951612435012</c:v>
                </c:pt>
                <c:pt idx="133">
                  <c:v>0.76011071897199</c:v>
                </c:pt>
                <c:pt idx="134">
                  <c:v>0.757308928176429</c:v>
                </c:pt>
                <c:pt idx="135">
                  <c:v>0.754545414211778</c:v>
                </c:pt>
                <c:pt idx="136">
                  <c:v>0.751819373845579</c:v>
                </c:pt>
                <c:pt idx="137">
                  <c:v>0.749130025701867</c:v>
                </c:pt>
                <c:pt idx="138">
                  <c:v>0.746476609542527</c:v>
                </c:pt>
                <c:pt idx="139">
                  <c:v>0.743858385576346</c:v>
                </c:pt>
                <c:pt idx="140">
                  <c:v>0.741274633794515</c:v>
                </c:pt>
                <c:pt idx="141">
                  <c:v>0.738724653331441</c:v>
                </c:pt>
                <c:pt idx="142">
                  <c:v>0.736207761849759</c:v>
                </c:pt>
                <c:pt idx="143">
                  <c:v>0.733723294948485</c:v>
                </c:pt>
                <c:pt idx="144">
                  <c:v>0.731270605593335</c:v>
                </c:pt>
                <c:pt idx="145">
                  <c:v>0.72884906356824</c:v>
                </c:pt>
                <c:pt idx="146">
                  <c:v>0.726458054947167</c:v>
                </c:pt>
                <c:pt idx="147">
                  <c:v>0.724096981585375</c:v>
                </c:pt>
                <c:pt idx="148">
                  <c:v>0.721765260629303</c:v>
                </c:pt>
                <c:pt idx="149">
                  <c:v>0.719462324044278</c:v>
                </c:pt>
                <c:pt idx="150">
                  <c:v>0.717187618159348</c:v>
                </c:pt>
                <c:pt idx="151">
                  <c:v>0.714940603228478</c:v>
                </c:pt>
                <c:pt idx="152">
                  <c:v>0.712720753007471</c:v>
                </c:pt>
                <c:pt idx="153">
                  <c:v>0.710527554345959</c:v>
                </c:pt>
                <c:pt idx="154">
                  <c:v>0.708360506793837</c:v>
                </c:pt>
                <c:pt idx="155">
                  <c:v>0.706219122221573</c:v>
                </c:pt>
                <c:pt idx="156">
                  <c:v>0.704102924453816</c:v>
                </c:pt>
                <c:pt idx="157">
                  <c:v>0.702011448915786</c:v>
                </c:pt>
                <c:pt idx="158">
                  <c:v>0.699944242291919</c:v>
                </c:pt>
                <c:pt idx="159">
                  <c:v>0.697900862196286</c:v>
                </c:pt>
                <c:pt idx="160">
                  <c:v>0.695880876854327</c:v>
                </c:pt>
                <c:pt idx="161">
                  <c:v>0.693883864795442</c:v>
                </c:pt>
                <c:pt idx="162">
                  <c:v>0.691909414556031</c:v>
                </c:pt>
                <c:pt idx="163">
                  <c:v>0.68995712439255</c:v>
                </c:pt>
                <c:pt idx="164">
                  <c:v>0.688026602004235</c:v>
                </c:pt>
                <c:pt idx="165">
                  <c:v>0.686117464265072</c:v>
                </c:pt>
                <c:pt idx="166">
                  <c:v>0.684229336964704</c:v>
                </c:pt>
                <c:pt idx="167">
                  <c:v>0.682361854557902</c:v>
                </c:pt>
                <c:pt idx="168">
                  <c:v>0.680514659922296</c:v>
                </c:pt>
                <c:pt idx="169">
                  <c:v>0.678687404124036</c:v>
                </c:pt>
                <c:pt idx="170">
                  <c:v>0.676879746191104</c:v>
                </c:pt>
                <c:pt idx="171">
                  <c:v>0.675091352893966</c:v>
                </c:pt>
                <c:pt idx="172">
                  <c:v>0.673321898533325</c:v>
                </c:pt>
                <c:pt idx="173">
                  <c:v>0.671571064734672</c:v>
                </c:pt>
                <c:pt idx="174">
                  <c:v>0.66983854024942</c:v>
                </c:pt>
                <c:pt idx="175">
                  <c:v>0.668124020762355</c:v>
                </c:pt>
                <c:pt idx="176">
                  <c:v>0.666427208705189</c:v>
                </c:pt>
                <c:pt idx="177">
                  <c:v>0.66474781307598</c:v>
                </c:pt>
                <c:pt idx="178">
                  <c:v>0.663085549264218</c:v>
                </c:pt>
                <c:pt idx="179">
                  <c:v>0.661440138881369</c:v>
                </c:pt>
                <c:pt idx="180">
                  <c:v>0.659811309596679</c:v>
                </c:pt>
                <c:pt idx="181">
                  <c:v>0.658198794978053</c:v>
                </c:pt>
                <c:pt idx="182">
                  <c:v>0.65660233433783</c:v>
                </c:pt>
                <c:pt idx="183">
                  <c:v>0.655021672583275</c:v>
                </c:pt>
                <c:pt idx="184">
                  <c:v>0.653456560071636</c:v>
                </c:pt>
                <c:pt idx="185">
                  <c:v>0.651906752469583</c:v>
                </c:pt>
                <c:pt idx="186">
                  <c:v>0.650372010616907</c:v>
                </c:pt>
                <c:pt idx="187">
                  <c:v>0.648852100394297</c:v>
                </c:pt>
                <c:pt idx="188">
                  <c:v>0.647346792595087</c:v>
                </c:pt>
                <c:pt idx="189">
                  <c:v>0.645855862800813</c:v>
                </c:pt>
                <c:pt idx="190">
                  <c:v>0.644379091260455</c:v>
                </c:pt>
                <c:pt idx="191">
                  <c:v>0.642916262773257</c:v>
                </c:pt>
                <c:pt idx="192">
                  <c:v>0.641467166574967</c:v>
                </c:pt>
                <c:pt idx="193">
                  <c:v>0.64003159622742</c:v>
                </c:pt>
                <c:pt idx="194">
                  <c:v>0.638609349511326</c:v>
                </c:pt>
                <c:pt idx="195">
                  <c:v>0.637200228322166</c:v>
                </c:pt>
                <c:pt idx="196">
                  <c:v>0.635804038569094</c:v>
                </c:pt>
                <c:pt idx="197">
                  <c:v>0.634420590076738</c:v>
                </c:pt>
                <c:pt idx="198">
                  <c:v>0.633049696489809</c:v>
                </c:pt>
                <c:pt idx="199">
                  <c:v>0.63169117518043</c:v>
                </c:pt>
                <c:pt idx="200">
                  <c:v>0.630344847158083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095656"/>
        <c:axId val="681083016"/>
      </c:lineChart>
      <c:catAx>
        <c:axId val="681095656"/>
        <c:scaling>
          <c:orientation val="minMax"/>
        </c:scaling>
        <c:delete val="0"/>
        <c:axPos val="b"/>
        <c:numFmt formatCode="#,##0.00_);\(#,##0.00\)" sourceLinked="1"/>
        <c:majorTickMark val="out"/>
        <c:minorTickMark val="none"/>
        <c:tickLblPos val="nextTo"/>
        <c:crossAx val="681083016"/>
        <c:crosses val="autoZero"/>
        <c:auto val="1"/>
        <c:lblAlgn val="ctr"/>
        <c:lblOffset val="100"/>
        <c:noMultiLvlLbl val="0"/>
      </c:catAx>
      <c:valAx>
        <c:axId val="68108301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681095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Length 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Lbar_MeanLength!$A$2:$A$101</c:f>
              <c:numCache>
                <c:formatCode>General</c:formatCode>
                <c:ptCount val="100"/>
                <c:pt idx="0">
                  <c:v>5.0</c:v>
                </c:pt>
                <c:pt idx="1">
                  <c:v>15.0</c:v>
                </c:pt>
                <c:pt idx="2">
                  <c:v>25.0</c:v>
                </c:pt>
                <c:pt idx="3">
                  <c:v>35.0</c:v>
                </c:pt>
                <c:pt idx="4">
                  <c:v>45.0</c:v>
                </c:pt>
                <c:pt idx="5">
                  <c:v>55.0</c:v>
                </c:pt>
                <c:pt idx="6">
                  <c:v>65.0</c:v>
                </c:pt>
                <c:pt idx="7">
                  <c:v>75.0</c:v>
                </c:pt>
                <c:pt idx="8">
                  <c:v>85.0</c:v>
                </c:pt>
                <c:pt idx="9">
                  <c:v>95.0</c:v>
                </c:pt>
                <c:pt idx="10">
                  <c:v>105.0</c:v>
                </c:pt>
                <c:pt idx="11">
                  <c:v>115.0</c:v>
                </c:pt>
                <c:pt idx="12">
                  <c:v>125.0</c:v>
                </c:pt>
                <c:pt idx="13">
                  <c:v>135.0</c:v>
                </c:pt>
                <c:pt idx="14">
                  <c:v>145.0</c:v>
                </c:pt>
                <c:pt idx="15">
                  <c:v>155.0</c:v>
                </c:pt>
                <c:pt idx="16">
                  <c:v>165.0</c:v>
                </c:pt>
                <c:pt idx="17">
                  <c:v>175.0</c:v>
                </c:pt>
                <c:pt idx="18">
                  <c:v>185.0</c:v>
                </c:pt>
                <c:pt idx="19">
                  <c:v>195.0</c:v>
                </c:pt>
                <c:pt idx="20">
                  <c:v>205.0</c:v>
                </c:pt>
                <c:pt idx="21">
                  <c:v>215.0</c:v>
                </c:pt>
                <c:pt idx="22">
                  <c:v>225.0</c:v>
                </c:pt>
                <c:pt idx="23">
                  <c:v>235.0</c:v>
                </c:pt>
                <c:pt idx="24">
                  <c:v>245.0</c:v>
                </c:pt>
                <c:pt idx="25">
                  <c:v>255.0</c:v>
                </c:pt>
                <c:pt idx="26">
                  <c:v>265.0</c:v>
                </c:pt>
                <c:pt idx="27">
                  <c:v>275.0</c:v>
                </c:pt>
                <c:pt idx="28">
                  <c:v>285.0</c:v>
                </c:pt>
                <c:pt idx="29">
                  <c:v>295.0</c:v>
                </c:pt>
                <c:pt idx="30">
                  <c:v>305.0</c:v>
                </c:pt>
                <c:pt idx="31">
                  <c:v>315.0</c:v>
                </c:pt>
                <c:pt idx="32">
                  <c:v>325.0</c:v>
                </c:pt>
                <c:pt idx="33">
                  <c:v>335.0</c:v>
                </c:pt>
                <c:pt idx="34">
                  <c:v>345.0</c:v>
                </c:pt>
                <c:pt idx="35">
                  <c:v>355.0</c:v>
                </c:pt>
                <c:pt idx="36">
                  <c:v>365.0</c:v>
                </c:pt>
                <c:pt idx="37">
                  <c:v>375.0</c:v>
                </c:pt>
                <c:pt idx="38">
                  <c:v>385.0</c:v>
                </c:pt>
                <c:pt idx="39">
                  <c:v>395.0</c:v>
                </c:pt>
                <c:pt idx="40">
                  <c:v>405.0</c:v>
                </c:pt>
                <c:pt idx="41">
                  <c:v>415.0</c:v>
                </c:pt>
                <c:pt idx="42">
                  <c:v>425.0</c:v>
                </c:pt>
                <c:pt idx="43">
                  <c:v>435.0</c:v>
                </c:pt>
                <c:pt idx="44">
                  <c:v>445.0</c:v>
                </c:pt>
                <c:pt idx="45">
                  <c:v>455.0</c:v>
                </c:pt>
                <c:pt idx="46">
                  <c:v>465.0</c:v>
                </c:pt>
                <c:pt idx="47">
                  <c:v>475.0</c:v>
                </c:pt>
                <c:pt idx="48">
                  <c:v>485.0</c:v>
                </c:pt>
                <c:pt idx="49">
                  <c:v>495.0</c:v>
                </c:pt>
                <c:pt idx="50">
                  <c:v>505.0</c:v>
                </c:pt>
                <c:pt idx="51">
                  <c:v>515.0</c:v>
                </c:pt>
                <c:pt idx="52">
                  <c:v>525.0</c:v>
                </c:pt>
                <c:pt idx="53">
                  <c:v>535.0</c:v>
                </c:pt>
                <c:pt idx="54">
                  <c:v>545.0</c:v>
                </c:pt>
                <c:pt idx="55">
                  <c:v>555.0</c:v>
                </c:pt>
                <c:pt idx="56">
                  <c:v>565.0</c:v>
                </c:pt>
                <c:pt idx="57">
                  <c:v>575.0</c:v>
                </c:pt>
                <c:pt idx="58">
                  <c:v>585.0</c:v>
                </c:pt>
                <c:pt idx="59">
                  <c:v>595.0</c:v>
                </c:pt>
                <c:pt idx="60">
                  <c:v>605.0</c:v>
                </c:pt>
                <c:pt idx="61">
                  <c:v>615.0</c:v>
                </c:pt>
                <c:pt idx="62">
                  <c:v>625.0</c:v>
                </c:pt>
                <c:pt idx="63">
                  <c:v>635.0</c:v>
                </c:pt>
                <c:pt idx="64">
                  <c:v>645.0</c:v>
                </c:pt>
                <c:pt idx="65">
                  <c:v>655.0</c:v>
                </c:pt>
                <c:pt idx="66">
                  <c:v>665.0</c:v>
                </c:pt>
                <c:pt idx="67">
                  <c:v>675.0</c:v>
                </c:pt>
                <c:pt idx="68">
                  <c:v>685.0</c:v>
                </c:pt>
                <c:pt idx="69">
                  <c:v>695.0</c:v>
                </c:pt>
                <c:pt idx="70">
                  <c:v>705.0</c:v>
                </c:pt>
                <c:pt idx="71">
                  <c:v>715.0</c:v>
                </c:pt>
                <c:pt idx="72">
                  <c:v>725.0</c:v>
                </c:pt>
                <c:pt idx="73">
                  <c:v>735.0</c:v>
                </c:pt>
                <c:pt idx="74">
                  <c:v>745.0</c:v>
                </c:pt>
                <c:pt idx="75">
                  <c:v>755.0</c:v>
                </c:pt>
                <c:pt idx="76">
                  <c:v>765.0</c:v>
                </c:pt>
                <c:pt idx="77">
                  <c:v>775.0</c:v>
                </c:pt>
                <c:pt idx="78">
                  <c:v>785.0</c:v>
                </c:pt>
                <c:pt idx="79">
                  <c:v>795.0</c:v>
                </c:pt>
                <c:pt idx="80">
                  <c:v>805.0</c:v>
                </c:pt>
                <c:pt idx="81">
                  <c:v>815.0</c:v>
                </c:pt>
                <c:pt idx="82">
                  <c:v>825.0</c:v>
                </c:pt>
                <c:pt idx="83">
                  <c:v>835.0</c:v>
                </c:pt>
                <c:pt idx="84">
                  <c:v>845.0</c:v>
                </c:pt>
                <c:pt idx="85">
                  <c:v>855.0</c:v>
                </c:pt>
                <c:pt idx="86">
                  <c:v>865.0</c:v>
                </c:pt>
                <c:pt idx="87">
                  <c:v>875.0</c:v>
                </c:pt>
                <c:pt idx="88">
                  <c:v>885.0</c:v>
                </c:pt>
                <c:pt idx="89">
                  <c:v>895.0</c:v>
                </c:pt>
                <c:pt idx="90">
                  <c:v>905.0</c:v>
                </c:pt>
                <c:pt idx="91">
                  <c:v>915.0</c:v>
                </c:pt>
                <c:pt idx="92">
                  <c:v>925.0</c:v>
                </c:pt>
                <c:pt idx="93">
                  <c:v>935.0</c:v>
                </c:pt>
                <c:pt idx="94">
                  <c:v>945.0</c:v>
                </c:pt>
                <c:pt idx="95">
                  <c:v>955.0</c:v>
                </c:pt>
                <c:pt idx="96">
                  <c:v>965.0</c:v>
                </c:pt>
                <c:pt idx="97">
                  <c:v>975.0</c:v>
                </c:pt>
                <c:pt idx="98">
                  <c:v>985.0</c:v>
                </c:pt>
                <c:pt idx="99">
                  <c:v>995.0</c:v>
                </c:pt>
              </c:numCache>
            </c:numRef>
          </c:cat>
          <c:val>
            <c:numRef>
              <c:f>Lbar_MeanLength!$B$2:$B$101</c:f>
              <c:numCache>
                <c:formatCode>General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3.0</c:v>
                </c:pt>
                <c:pt idx="22">
                  <c:v>17.0</c:v>
                </c:pt>
                <c:pt idx="23">
                  <c:v>20.0</c:v>
                </c:pt>
                <c:pt idx="24">
                  <c:v>49.0</c:v>
                </c:pt>
                <c:pt idx="25">
                  <c:v>84.0</c:v>
                </c:pt>
                <c:pt idx="26">
                  <c:v>95.0</c:v>
                </c:pt>
                <c:pt idx="27">
                  <c:v>67.0</c:v>
                </c:pt>
                <c:pt idx="28">
                  <c:v>75.0</c:v>
                </c:pt>
                <c:pt idx="29">
                  <c:v>35.0</c:v>
                </c:pt>
                <c:pt idx="30">
                  <c:v>35.0</c:v>
                </c:pt>
                <c:pt idx="31">
                  <c:v>28.0</c:v>
                </c:pt>
                <c:pt idx="32">
                  <c:v>20.0</c:v>
                </c:pt>
                <c:pt idx="33">
                  <c:v>18.0</c:v>
                </c:pt>
                <c:pt idx="34">
                  <c:v>18.0</c:v>
                </c:pt>
                <c:pt idx="35">
                  <c:v>31.0</c:v>
                </c:pt>
                <c:pt idx="36">
                  <c:v>21.0</c:v>
                </c:pt>
                <c:pt idx="37">
                  <c:v>27.0</c:v>
                </c:pt>
                <c:pt idx="38">
                  <c:v>33.0</c:v>
                </c:pt>
                <c:pt idx="39">
                  <c:v>27.0</c:v>
                </c:pt>
                <c:pt idx="40">
                  <c:v>27.0</c:v>
                </c:pt>
                <c:pt idx="41">
                  <c:v>24.0</c:v>
                </c:pt>
                <c:pt idx="42">
                  <c:v>23.0</c:v>
                </c:pt>
                <c:pt idx="43">
                  <c:v>19.0</c:v>
                </c:pt>
                <c:pt idx="44">
                  <c:v>11.0</c:v>
                </c:pt>
                <c:pt idx="45">
                  <c:v>15.0</c:v>
                </c:pt>
                <c:pt idx="46">
                  <c:v>16.0</c:v>
                </c:pt>
                <c:pt idx="47">
                  <c:v>8.0</c:v>
                </c:pt>
                <c:pt idx="48">
                  <c:v>13.0</c:v>
                </c:pt>
                <c:pt idx="49">
                  <c:v>12.0</c:v>
                </c:pt>
                <c:pt idx="50">
                  <c:v>9.0</c:v>
                </c:pt>
                <c:pt idx="51">
                  <c:v>12.0</c:v>
                </c:pt>
                <c:pt idx="52">
                  <c:v>8.0</c:v>
                </c:pt>
                <c:pt idx="53">
                  <c:v>9.0</c:v>
                </c:pt>
                <c:pt idx="54">
                  <c:v>9.0</c:v>
                </c:pt>
                <c:pt idx="55">
                  <c:v>8.0</c:v>
                </c:pt>
                <c:pt idx="56">
                  <c:v>3.0</c:v>
                </c:pt>
                <c:pt idx="57">
                  <c:v>6.0</c:v>
                </c:pt>
                <c:pt idx="58">
                  <c:v>6.0</c:v>
                </c:pt>
                <c:pt idx="59">
                  <c:v>1.0</c:v>
                </c:pt>
                <c:pt idx="60">
                  <c:v>3.0</c:v>
                </c:pt>
                <c:pt idx="61">
                  <c:v>3.0</c:v>
                </c:pt>
                <c:pt idx="62">
                  <c:v>4.0</c:v>
                </c:pt>
                <c:pt idx="63">
                  <c:v>3.0</c:v>
                </c:pt>
                <c:pt idx="64">
                  <c:v>2.0</c:v>
                </c:pt>
                <c:pt idx="65">
                  <c:v>4.0</c:v>
                </c:pt>
                <c:pt idx="66">
                  <c:v>6.0</c:v>
                </c:pt>
                <c:pt idx="67">
                  <c:v>3.0</c:v>
                </c:pt>
                <c:pt idx="68">
                  <c:v>0.0</c:v>
                </c:pt>
                <c:pt idx="69">
                  <c:v>4.0</c:v>
                </c:pt>
                <c:pt idx="70">
                  <c:v>5.0</c:v>
                </c:pt>
                <c:pt idx="71">
                  <c:v>1.0</c:v>
                </c:pt>
                <c:pt idx="72">
                  <c:v>2.0</c:v>
                </c:pt>
                <c:pt idx="73">
                  <c:v>3.0</c:v>
                </c:pt>
                <c:pt idx="74">
                  <c:v>4.0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2.0</c:v>
                </c:pt>
                <c:pt idx="79">
                  <c:v>0.0</c:v>
                </c:pt>
                <c:pt idx="80">
                  <c:v>1.0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1066104"/>
        <c:axId val="681057624"/>
      </c:barChart>
      <c:catAx>
        <c:axId val="681066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1057624"/>
        <c:crosses val="autoZero"/>
        <c:auto val="1"/>
        <c:lblAlgn val="ctr"/>
        <c:lblOffset val="100"/>
        <c:noMultiLvlLbl val="0"/>
      </c:catAx>
      <c:valAx>
        <c:axId val="681057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1066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0</xdr:row>
      <xdr:rowOff>50800</xdr:rowOff>
    </xdr:from>
    <xdr:to>
      <xdr:col>15</xdr:col>
      <xdr:colOff>508000</xdr:colOff>
      <xdr:row>15</xdr:row>
      <xdr:rowOff>50800</xdr:rowOff>
    </xdr:to>
    <xdr:graphicFrame macro="">
      <xdr:nvGraphicFramePr>
        <xdr:cNvPr id="1059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241300</xdr:colOff>
      <xdr:row>21</xdr:row>
      <xdr:rowOff>25400</xdr:rowOff>
    </xdr:from>
    <xdr:to>
      <xdr:col>18</xdr:col>
      <xdr:colOff>736600</xdr:colOff>
      <xdr:row>34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279400</xdr:colOff>
      <xdr:row>0</xdr:row>
      <xdr:rowOff>38100</xdr:rowOff>
    </xdr:from>
    <xdr:to>
      <xdr:col>19</xdr:col>
      <xdr:colOff>723900</xdr:colOff>
      <xdr:row>16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812800</xdr:colOff>
      <xdr:row>1</xdr:row>
      <xdr:rowOff>44450</xdr:rowOff>
    </xdr:from>
    <xdr:to>
      <xdr:col>19</xdr:col>
      <xdr:colOff>393700</xdr:colOff>
      <xdr:row>18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25</xdr:row>
      <xdr:rowOff>25400</xdr:rowOff>
    </xdr:from>
    <xdr:to>
      <xdr:col>10</xdr:col>
      <xdr:colOff>114300</xdr:colOff>
      <xdr:row>43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H10" sqref="H10"/>
    </sheetView>
  </sheetViews>
  <sheetFormatPr baseColWidth="10" defaultRowHeight="12" x14ac:dyDescent="0"/>
  <cols>
    <col min="2" max="2" width="49.5" customWidth="1"/>
  </cols>
  <sheetData>
    <row r="2" spans="2:2" ht="13" thickBot="1"/>
    <row r="3" spans="2:2" ht="49" thickBot="1">
      <c r="B3" s="40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2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8.6640625" bestFit="1" customWidth="1"/>
    <col min="2" max="2" width="11.83203125" customWidth="1"/>
    <col min="3" max="3" width="14.33203125" customWidth="1"/>
    <col min="4" max="4" width="12.33203125" bestFit="1" customWidth="1"/>
    <col min="5" max="6" width="12.33203125" customWidth="1"/>
    <col min="7" max="7" width="12.33203125" bestFit="1" customWidth="1"/>
    <col min="8" max="8" width="12.33203125" customWidth="1"/>
    <col min="9" max="9" width="12.33203125" bestFit="1" customWidth="1"/>
    <col min="10" max="10" width="16.1640625" customWidth="1"/>
    <col min="11" max="11" width="13.83203125" customWidth="1"/>
    <col min="12" max="12" width="8.83203125" customWidth="1"/>
    <col min="14" max="14" width="25.5" customWidth="1"/>
    <col min="15" max="15" width="9.33203125" bestFit="1" customWidth="1"/>
  </cols>
  <sheetData>
    <row r="1" spans="1:16" ht="13" thickBot="1">
      <c r="A1" s="77" t="s">
        <v>6</v>
      </c>
      <c r="B1" s="78"/>
      <c r="K1" s="68"/>
      <c r="L1" s="68"/>
      <c r="M1" s="68"/>
      <c r="N1" s="68"/>
      <c r="O1" s="68"/>
      <c r="P1" s="68"/>
    </row>
    <row r="2" spans="1:16" ht="13" thickTop="1">
      <c r="A2" s="43" t="s">
        <v>15</v>
      </c>
      <c r="B2" s="44">
        <v>0.15</v>
      </c>
      <c r="D2" s="59" t="s">
        <v>77</v>
      </c>
      <c r="E2" s="60"/>
      <c r="F2" s="60"/>
      <c r="G2" s="60"/>
      <c r="H2" s="60"/>
      <c r="I2" s="61"/>
      <c r="K2" s="68"/>
      <c r="L2" s="68"/>
      <c r="M2" s="68"/>
      <c r="N2" s="68"/>
      <c r="O2" s="68"/>
      <c r="P2" s="68"/>
    </row>
    <row r="3" spans="1:16" ht="20">
      <c r="A3" s="69" t="s">
        <v>16</v>
      </c>
      <c r="B3" s="199">
        <v>0.15</v>
      </c>
      <c r="D3" s="62" t="s">
        <v>87</v>
      </c>
      <c r="E3" s="63"/>
      <c r="F3" s="63"/>
      <c r="G3" s="63"/>
      <c r="H3" s="63"/>
      <c r="I3" s="64"/>
      <c r="K3" s="68"/>
      <c r="L3" s="68"/>
      <c r="M3" s="68"/>
      <c r="N3" s="68"/>
      <c r="O3" s="68"/>
      <c r="P3" s="68"/>
    </row>
    <row r="4" spans="1:16" ht="20">
      <c r="A4" s="69" t="s">
        <v>10</v>
      </c>
      <c r="B4" s="199">
        <v>474.8</v>
      </c>
      <c r="D4" s="45" t="s">
        <v>166</v>
      </c>
      <c r="E4" s="46"/>
      <c r="F4" s="46"/>
      <c r="G4" s="46"/>
      <c r="H4" s="46"/>
      <c r="I4" s="47"/>
      <c r="K4" s="68"/>
      <c r="L4" s="68"/>
      <c r="M4" s="68"/>
      <c r="N4" s="68"/>
      <c r="O4" s="68"/>
      <c r="P4" s="68"/>
    </row>
    <row r="5" spans="1:16" ht="20">
      <c r="A5" s="69" t="s">
        <v>11</v>
      </c>
      <c r="B5" s="199">
        <v>0.10100000000000001</v>
      </c>
      <c r="D5" s="71" t="s">
        <v>94</v>
      </c>
      <c r="E5" s="72"/>
      <c r="F5" s="72"/>
      <c r="G5" s="72"/>
      <c r="H5" s="72"/>
      <c r="I5" s="73"/>
      <c r="K5" s="68"/>
      <c r="L5" s="68"/>
      <c r="M5" s="68"/>
      <c r="N5" s="68"/>
      <c r="O5" s="68"/>
      <c r="P5" s="68"/>
    </row>
    <row r="6" spans="1:16" ht="20">
      <c r="A6" s="69" t="s">
        <v>12</v>
      </c>
      <c r="B6" s="199">
        <v>-3.339</v>
      </c>
      <c r="D6" s="57" t="s">
        <v>93</v>
      </c>
      <c r="E6" s="58"/>
      <c r="F6" s="58"/>
      <c r="G6" s="58"/>
      <c r="H6" s="58"/>
      <c r="I6" s="51"/>
      <c r="K6" s="68"/>
      <c r="L6" s="68"/>
      <c r="M6" s="68"/>
      <c r="N6" s="68"/>
      <c r="O6" s="68"/>
      <c r="P6" s="68"/>
    </row>
    <row r="7" spans="1:16" ht="21" thickBot="1">
      <c r="A7" s="69" t="s">
        <v>19</v>
      </c>
      <c r="B7" s="200">
        <v>2.4000000000000001E-4</v>
      </c>
      <c r="D7" s="74" t="s">
        <v>88</v>
      </c>
      <c r="E7" s="75"/>
      <c r="F7" s="75"/>
      <c r="G7" s="75"/>
      <c r="H7" s="75"/>
      <c r="I7" s="76"/>
      <c r="K7" s="68"/>
      <c r="L7" s="68"/>
      <c r="M7" s="68"/>
      <c r="N7" s="68"/>
      <c r="O7" s="68"/>
      <c r="P7" s="68"/>
    </row>
    <row r="8" spans="1:16" ht="20">
      <c r="A8" s="69" t="s">
        <v>20</v>
      </c>
      <c r="B8" s="199">
        <v>2.96</v>
      </c>
      <c r="K8" s="68"/>
      <c r="L8" s="68"/>
      <c r="M8" s="68"/>
      <c r="N8" s="68"/>
      <c r="O8" s="68"/>
      <c r="P8" s="68"/>
    </row>
    <row r="9" spans="1:16" ht="20">
      <c r="A9" s="69" t="s">
        <v>17</v>
      </c>
      <c r="B9" s="200">
        <v>2.4000000000000001E-4</v>
      </c>
      <c r="K9" s="68"/>
      <c r="L9" s="68"/>
      <c r="M9" s="68"/>
      <c r="N9" s="68"/>
      <c r="O9" s="68"/>
      <c r="P9" s="68"/>
    </row>
    <row r="10" spans="1:16" ht="20">
      <c r="A10" s="69" t="s">
        <v>18</v>
      </c>
      <c r="B10" s="199">
        <v>2.96</v>
      </c>
      <c r="K10" s="68"/>
      <c r="L10" s="68"/>
      <c r="M10" s="68"/>
      <c r="N10" s="68"/>
      <c r="O10" s="68"/>
      <c r="P10" s="68"/>
    </row>
    <row r="11" spans="1:16">
      <c r="A11" s="69" t="s">
        <v>35</v>
      </c>
      <c r="B11" s="70">
        <v>268</v>
      </c>
      <c r="K11" s="68"/>
      <c r="L11" s="68"/>
      <c r="M11" s="68"/>
      <c r="N11" s="68"/>
      <c r="O11" s="68"/>
      <c r="P11" s="68"/>
    </row>
    <row r="12" spans="1:16">
      <c r="A12" s="69" t="s">
        <v>36</v>
      </c>
      <c r="B12" s="70">
        <v>35</v>
      </c>
      <c r="K12" s="68"/>
      <c r="L12" s="68"/>
      <c r="M12" s="68"/>
      <c r="N12" s="68"/>
      <c r="O12" s="68"/>
      <c r="P12" s="68"/>
    </row>
    <row r="13" spans="1:16">
      <c r="A13" s="69" t="s">
        <v>37</v>
      </c>
      <c r="B13" s="70">
        <v>268</v>
      </c>
      <c r="K13" s="68"/>
      <c r="L13" s="68"/>
      <c r="M13" s="68"/>
      <c r="N13" s="68"/>
      <c r="O13" s="68"/>
      <c r="P13" s="68"/>
    </row>
    <row r="14" spans="1:16">
      <c r="A14" s="69" t="s">
        <v>38</v>
      </c>
      <c r="B14" s="70">
        <v>35</v>
      </c>
      <c r="K14" s="68"/>
      <c r="L14" s="68"/>
      <c r="M14" s="68"/>
      <c r="N14" s="68"/>
      <c r="O14" s="68"/>
      <c r="P14" s="68"/>
    </row>
    <row r="15" spans="1:16">
      <c r="A15" s="3"/>
      <c r="K15" s="68"/>
      <c r="L15" s="68"/>
      <c r="M15" s="68"/>
      <c r="N15" s="68"/>
      <c r="O15" s="68"/>
      <c r="P15" s="68"/>
    </row>
    <row r="16" spans="1:16">
      <c r="K16" s="68"/>
      <c r="L16" s="68"/>
      <c r="M16" s="68"/>
      <c r="N16" s="68"/>
      <c r="O16" s="68"/>
      <c r="P16" s="68"/>
    </row>
    <row r="18" spans="1:19" ht="13" thickBot="1">
      <c r="A18" s="65" t="s">
        <v>0</v>
      </c>
      <c r="B18" s="66" t="s">
        <v>14</v>
      </c>
      <c r="C18" s="66" t="s">
        <v>5</v>
      </c>
      <c r="D18" s="66" t="s">
        <v>4</v>
      </c>
      <c r="E18" s="66" t="s">
        <v>13</v>
      </c>
      <c r="F18" s="66" t="s">
        <v>1</v>
      </c>
      <c r="G18" s="66" t="s">
        <v>32</v>
      </c>
      <c r="H18" s="66" t="s">
        <v>33</v>
      </c>
      <c r="I18" s="67" t="s">
        <v>34</v>
      </c>
    </row>
    <row r="19" spans="1:19" ht="13" thickTop="1">
      <c r="A19">
        <v>1</v>
      </c>
      <c r="B19" s="4">
        <f t="shared" ref="B19:B33" si="0">Linf*(1-EXP(-1*k*(A19-to)))</f>
        <v>168.47253931202343</v>
      </c>
      <c r="C19" s="198">
        <f>wa*$B19^wb*0.001</f>
        <v>0.93484033498269725</v>
      </c>
      <c r="D19" s="33">
        <f t="shared" ref="D19:D50" si="1">wa*B19^wb*0.001</f>
        <v>0.93484033498269725</v>
      </c>
      <c r="E19" s="6">
        <f t="shared" ref="E19:E82" si="2">1/(1+EXP(-($B19-ma)/((mb-ma)/LOG(19))))</f>
        <v>0.63325999104396991</v>
      </c>
      <c r="F19" s="5">
        <f>1/(1+EXP(-($B19-sela)/((selb-sela)/LOG(19))))</f>
        <v>0.63325999104396991</v>
      </c>
      <c r="G19">
        <v>100</v>
      </c>
      <c r="H19">
        <v>100</v>
      </c>
      <c r="I19">
        <v>1</v>
      </c>
    </row>
    <row r="20" spans="1:19" ht="13" thickBot="1">
      <c r="A20">
        <v>2</v>
      </c>
      <c r="B20" s="4">
        <f t="shared" si="0"/>
        <v>197.90048940409207</v>
      </c>
      <c r="C20" s="198">
        <f t="shared" ref="C20:C82" si="3">wa*$B20^wb*0.001</f>
        <v>1.5055457998269222</v>
      </c>
      <c r="D20" s="33">
        <f t="shared" si="1"/>
        <v>1.5055457998269222</v>
      </c>
      <c r="E20" s="6">
        <f t="shared" si="2"/>
        <v>0.59501125311360425</v>
      </c>
      <c r="F20" s="5">
        <f t="shared" ref="F20:F83" si="4">1/(1+EXP(-($B20-sela)/((selb-sela)/LOG(19))))</f>
        <v>0.59501125311360425</v>
      </c>
      <c r="G20" s="2">
        <f t="shared" ref="G20:G83" si="5">$G19*EXP(-M)</f>
        <v>86.070797642505781</v>
      </c>
      <c r="H20" s="2">
        <f>$H19*EXP(-M-F*$F19)</f>
        <v>78.271314909064301</v>
      </c>
      <c r="I20" s="5">
        <f t="shared" ref="I20:I83" si="6">$H20*(1-EXP(-(F*$F20)))*$C20</f>
        <v>10.061817121632414</v>
      </c>
    </row>
    <row r="21" spans="1:19">
      <c r="A21">
        <v>3</v>
      </c>
      <c r="B21" s="4">
        <f t="shared" si="0"/>
        <v>224.50138558242949</v>
      </c>
      <c r="C21" s="198">
        <f t="shared" si="3"/>
        <v>2.18685283430329</v>
      </c>
      <c r="D21" s="33">
        <f t="shared" si="1"/>
        <v>2.18685283430329</v>
      </c>
      <c r="E21" s="6">
        <f t="shared" si="2"/>
        <v>0.55940056922439341</v>
      </c>
      <c r="F21" s="5">
        <f t="shared" si="4"/>
        <v>0.55940056922439341</v>
      </c>
      <c r="G21" s="2">
        <f t="shared" si="5"/>
        <v>74.081822068171789</v>
      </c>
      <c r="H21" s="2">
        <f t="shared" ref="H21:H83" si="7">$H20*EXP(-M-F*$F20)</f>
        <v>61.616488141871443</v>
      </c>
      <c r="I21" s="5">
        <f t="shared" si="6"/>
        <v>10.845191403806082</v>
      </c>
      <c r="J21" s="48" t="s">
        <v>7</v>
      </c>
      <c r="K21" s="49"/>
      <c r="L21" s="1"/>
      <c r="N21" s="79" t="s">
        <v>22</v>
      </c>
      <c r="O21" s="29"/>
      <c r="P21" s="29"/>
      <c r="Q21" s="29"/>
      <c r="R21" s="29"/>
      <c r="S21" s="31"/>
    </row>
    <row r="22" spans="1:19">
      <c r="A22">
        <v>4</v>
      </c>
      <c r="B22" s="4">
        <f t="shared" si="0"/>
        <v>248.54681434239606</v>
      </c>
      <c r="C22" s="198">
        <f t="shared" si="3"/>
        <v>2.9554221028032241</v>
      </c>
      <c r="D22" s="33">
        <f t="shared" si="1"/>
        <v>2.9554221028032241</v>
      </c>
      <c r="E22" s="6">
        <f t="shared" si="2"/>
        <v>0.52666548220778164</v>
      </c>
      <c r="F22" s="5">
        <f t="shared" si="4"/>
        <v>0.52666548220778164</v>
      </c>
      <c r="G22" s="2">
        <f t="shared" si="5"/>
        <v>63.762815162177333</v>
      </c>
      <c r="H22" s="2">
        <f t="shared" si="7"/>
        <v>48.765320463021197</v>
      </c>
      <c r="I22" s="5">
        <f t="shared" si="6"/>
        <v>10.947502395869908</v>
      </c>
      <c r="J22" s="50" t="s">
        <v>2</v>
      </c>
      <c r="K22" s="51">
        <f ca="1">SUMPRODUCT(Nfished,vulnerability,weight__kg)*(1-EXP(-F))</f>
        <v>119.28742123499661</v>
      </c>
      <c r="L22" s="1"/>
      <c r="N22" s="36" t="s">
        <v>23</v>
      </c>
      <c r="O22" s="28" t="s">
        <v>24</v>
      </c>
      <c r="P22" s="28"/>
      <c r="Q22" s="28"/>
      <c r="R22" s="28"/>
      <c r="S22" s="32"/>
    </row>
    <row r="23" spans="1:19">
      <c r="A23">
        <v>5</v>
      </c>
      <c r="B23" s="4">
        <f t="shared" si="0"/>
        <v>270.28227168843358</v>
      </c>
      <c r="C23" s="198">
        <f t="shared" si="3"/>
        <v>3.7878364653722882</v>
      </c>
      <c r="D23" s="33">
        <f t="shared" si="1"/>
        <v>3.7878364653722882</v>
      </c>
      <c r="E23" s="6">
        <f t="shared" si="2"/>
        <v>0.49686864272108766</v>
      </c>
      <c r="F23" s="5">
        <f t="shared" si="4"/>
        <v>0.49686864272108766</v>
      </c>
      <c r="G23" s="2">
        <f t="shared" si="5"/>
        <v>54.881163609402648</v>
      </c>
      <c r="H23" s="2">
        <f t="shared" si="7"/>
        <v>38.784457700549318</v>
      </c>
      <c r="I23" s="5">
        <f t="shared" si="6"/>
        <v>10.551112565893556</v>
      </c>
      <c r="J23" s="50" t="s">
        <v>90</v>
      </c>
      <c r="K23" s="52">
        <f ca="1">SUMPRODUCT(Nfished,Mature,fecundity)</f>
        <v>856.38371942250762</v>
      </c>
      <c r="L23" s="1"/>
      <c r="N23" s="37" t="s">
        <v>27</v>
      </c>
      <c r="O23" s="28" t="s">
        <v>26</v>
      </c>
      <c r="P23" s="28"/>
      <c r="Q23" s="28"/>
      <c r="R23" s="28"/>
      <c r="S23" s="32"/>
    </row>
    <row r="24" spans="1:19">
      <c r="A24">
        <v>6</v>
      </c>
      <c r="B24" s="4">
        <f t="shared" si="0"/>
        <v>289.92966956839854</v>
      </c>
      <c r="C24" s="198">
        <f t="shared" si="3"/>
        <v>4.6622710346645233</v>
      </c>
      <c r="D24" s="33">
        <f t="shared" si="1"/>
        <v>4.6622710346645233</v>
      </c>
      <c r="E24" s="6">
        <f t="shared" si="2"/>
        <v>0.46994759389348006</v>
      </c>
      <c r="F24" s="5">
        <f t="shared" si="4"/>
        <v>0.46994759389348006</v>
      </c>
      <c r="G24" s="2">
        <f t="shared" si="5"/>
        <v>47.236655274101473</v>
      </c>
      <c r="H24" s="2">
        <f t="shared" si="7"/>
        <v>30.984568655469257</v>
      </c>
      <c r="I24" s="5">
        <f t="shared" si="6"/>
        <v>9.8325554314113468</v>
      </c>
      <c r="J24" s="53" t="s">
        <v>8</v>
      </c>
      <c r="K24" s="54">
        <f ca="1">SUMPRODUCT(fecundity,Mature,Nunfished)</f>
        <v>1541.3756535271925</v>
      </c>
      <c r="L24" s="1"/>
      <c r="N24" s="36"/>
      <c r="O24" s="35" t="s">
        <v>91</v>
      </c>
      <c r="P24" s="28"/>
      <c r="Q24" s="28"/>
      <c r="R24" s="28"/>
      <c r="S24" s="32"/>
    </row>
    <row r="25" spans="1:19" ht="13" thickBot="1">
      <c r="A25">
        <v>7</v>
      </c>
      <c r="B25" s="4">
        <f t="shared" si="0"/>
        <v>307.6896015223507</v>
      </c>
      <c r="C25" s="198">
        <f t="shared" si="3"/>
        <v>5.5593649801801304</v>
      </c>
      <c r="D25" s="33">
        <f t="shared" si="1"/>
        <v>5.5593649801801304</v>
      </c>
      <c r="E25" s="6">
        <f t="shared" si="2"/>
        <v>0.44575805641522831</v>
      </c>
      <c r="F25" s="5">
        <f t="shared" si="4"/>
        <v>0.44575805641522831</v>
      </c>
      <c r="G25" s="2">
        <f t="shared" si="5"/>
        <v>40.656965974059915</v>
      </c>
      <c r="H25" s="2">
        <f t="shared" si="7"/>
        <v>24.853464421298749</v>
      </c>
      <c r="I25" s="5">
        <f t="shared" si="6"/>
        <v>8.9364331455260366</v>
      </c>
      <c r="J25" s="55" t="s">
        <v>3</v>
      </c>
      <c r="K25" s="56">
        <f ca="1">K23/K24</f>
        <v>0.5555970197549247</v>
      </c>
      <c r="L25" s="1"/>
      <c r="N25" s="37" t="s">
        <v>25</v>
      </c>
      <c r="O25" s="28" t="s">
        <v>28</v>
      </c>
      <c r="P25" s="28"/>
      <c r="Q25" s="28"/>
      <c r="R25" s="28"/>
      <c r="S25" s="32"/>
    </row>
    <row r="26" spans="1:19">
      <c r="A26">
        <v>8</v>
      </c>
      <c r="B26" s="4">
        <f t="shared" si="0"/>
        <v>323.7433906773332</v>
      </c>
      <c r="C26" s="198">
        <f t="shared" si="3"/>
        <v>6.4625800861999192</v>
      </c>
      <c r="D26" s="33">
        <f t="shared" si="1"/>
        <v>6.4625800861999192</v>
      </c>
      <c r="E26" s="6">
        <f t="shared" si="2"/>
        <v>0.42410809981323688</v>
      </c>
      <c r="F26" s="5">
        <f t="shared" si="4"/>
        <v>0.42410809981323688</v>
      </c>
      <c r="G26" s="2">
        <f t="shared" si="5"/>
        <v>34.993774911115537</v>
      </c>
      <c r="H26" s="2">
        <f t="shared" si="7"/>
        <v>20.008025092445529</v>
      </c>
      <c r="I26" s="5">
        <f>$H26*(1-EXP(-(F*$F26)))*$C26</f>
        <v>7.9696111622400894</v>
      </c>
      <c r="L26" s="1"/>
      <c r="N26" s="36"/>
      <c r="O26" s="34"/>
      <c r="P26" s="28"/>
      <c r="Q26" s="28"/>
      <c r="R26" s="28"/>
      <c r="S26" s="32"/>
    </row>
    <row r="27" spans="1:19">
      <c r="A27">
        <v>9</v>
      </c>
      <c r="B27" s="4">
        <f t="shared" si="0"/>
        <v>338.25494099750665</v>
      </c>
      <c r="C27" s="198">
        <f t="shared" si="3"/>
        <v>7.3582395668477441</v>
      </c>
      <c r="D27" s="33">
        <f t="shared" si="1"/>
        <v>7.3582395668477441</v>
      </c>
      <c r="E27" s="6">
        <f t="shared" si="2"/>
        <v>0.40478320524064204</v>
      </c>
      <c r="F27" s="5">
        <f t="shared" si="4"/>
        <v>0.40478320524064204</v>
      </c>
      <c r="G27" s="2">
        <f t="shared" si="5"/>
        <v>30.119421191220212</v>
      </c>
      <c r="H27" s="2">
        <f t="shared" si="7"/>
        <v>16.159647386671523</v>
      </c>
      <c r="I27" s="5">
        <f t="shared" si="6"/>
        <v>7.0048948959004163</v>
      </c>
      <c r="K27" s="1"/>
      <c r="L27" s="1"/>
      <c r="N27" s="37" t="s">
        <v>29</v>
      </c>
      <c r="O27" s="28" t="s">
        <v>39</v>
      </c>
      <c r="P27" s="28"/>
      <c r="Q27" s="28"/>
      <c r="R27" s="28"/>
      <c r="S27" s="32"/>
    </row>
    <row r="28" spans="1:19">
      <c r="A28">
        <v>10</v>
      </c>
      <c r="B28" s="4">
        <f t="shared" si="0"/>
        <v>351.37241069029699</v>
      </c>
      <c r="C28" s="198">
        <f t="shared" si="3"/>
        <v>8.2353774740930525</v>
      </c>
      <c r="D28" s="33">
        <f t="shared" si="1"/>
        <v>8.2353774740930525</v>
      </c>
      <c r="E28" s="6">
        <f t="shared" si="2"/>
        <v>0.38756350452957916</v>
      </c>
      <c r="F28" s="5">
        <f t="shared" si="4"/>
        <v>0.38756350452957916</v>
      </c>
      <c r="G28" s="2">
        <f t="shared" si="5"/>
        <v>25.924026064589153</v>
      </c>
      <c r="H28" s="2">
        <f t="shared" si="7"/>
        <v>13.089360857284028</v>
      </c>
      <c r="I28" s="5">
        <f t="shared" si="6"/>
        <v>6.0879837859213106</v>
      </c>
      <c r="K28" s="1"/>
      <c r="L28" s="1"/>
      <c r="N28" s="37" t="s">
        <v>30</v>
      </c>
      <c r="O28" s="28" t="s">
        <v>40</v>
      </c>
      <c r="P28" s="28"/>
      <c r="Q28" s="28"/>
      <c r="R28" s="28"/>
      <c r="S28" s="32"/>
    </row>
    <row r="29" spans="1:19">
      <c r="A29">
        <v>11</v>
      </c>
      <c r="B29" s="4">
        <f t="shared" si="0"/>
        <v>363.2297248534893</v>
      </c>
      <c r="C29" s="198">
        <f t="shared" si="3"/>
        <v>9.0854853332618255</v>
      </c>
      <c r="D29" s="33">
        <f t="shared" si="1"/>
        <v>9.0854853332618255</v>
      </c>
      <c r="E29" s="6">
        <f t="shared" si="2"/>
        <v>0.37223488664344256</v>
      </c>
      <c r="F29" s="5">
        <f t="shared" si="4"/>
        <v>0.37223488664344256</v>
      </c>
      <c r="G29" s="2">
        <f t="shared" si="5"/>
        <v>22.313016014842987</v>
      </c>
      <c r="H29" s="2">
        <f t="shared" si="7"/>
        <v>10.629840911587698</v>
      </c>
      <c r="I29" s="5">
        <f t="shared" si="6"/>
        <v>5.2446338702388475</v>
      </c>
      <c r="K29" s="1"/>
      <c r="L29" s="1"/>
      <c r="N29" s="37" t="s">
        <v>32</v>
      </c>
      <c r="O29" s="28" t="s">
        <v>41</v>
      </c>
      <c r="P29" s="28"/>
      <c r="Q29" s="28"/>
      <c r="R29" s="28"/>
      <c r="S29" s="32"/>
    </row>
    <row r="30" spans="1:19">
      <c r="A30">
        <v>12</v>
      </c>
      <c r="B30" s="4">
        <f t="shared" si="0"/>
        <v>373.94794280690422</v>
      </c>
      <c r="C30" s="198">
        <f t="shared" si="3"/>
        <v>9.902212476166298</v>
      </c>
      <c r="D30" s="33">
        <f t="shared" si="1"/>
        <v>9.902212476166298</v>
      </c>
      <c r="E30" s="6">
        <f t="shared" si="2"/>
        <v>0.35859559811153768</v>
      </c>
      <c r="F30" s="5">
        <f t="shared" si="4"/>
        <v>0.35859559811153768</v>
      </c>
      <c r="G30" s="2">
        <f t="shared" si="5"/>
        <v>19.204990862075416</v>
      </c>
      <c r="H30" s="2">
        <f t="shared" si="7"/>
        <v>8.6523416324382048</v>
      </c>
      <c r="I30" s="5">
        <f t="shared" si="6"/>
        <v>4.4867746865375242</v>
      </c>
      <c r="K30" s="1"/>
      <c r="L30" s="1"/>
      <c r="N30" s="37" t="s">
        <v>33</v>
      </c>
      <c r="O30" s="28" t="s">
        <v>31</v>
      </c>
      <c r="P30" s="34"/>
      <c r="Q30" s="34"/>
      <c r="R30" s="34"/>
      <c r="S30" s="38"/>
    </row>
    <row r="31" spans="1:19" ht="13" thickBot="1">
      <c r="A31">
        <v>13</v>
      </c>
      <c r="B31" s="4">
        <f t="shared" si="0"/>
        <v>383.63649406866625</v>
      </c>
      <c r="C31" s="198">
        <f t="shared" si="3"/>
        <v>10.681055840225049</v>
      </c>
      <c r="D31" s="33">
        <f t="shared" si="1"/>
        <v>10.681055840225049</v>
      </c>
      <c r="E31" s="6">
        <f t="shared" si="2"/>
        <v>0.34645969933265858</v>
      </c>
      <c r="F31" s="5">
        <f t="shared" si="4"/>
        <v>0.34645969933265858</v>
      </c>
      <c r="G31" s="2">
        <f t="shared" si="5"/>
        <v>16.529888822158657</v>
      </c>
      <c r="H31" s="2">
        <f t="shared" si="7"/>
        <v>7.0571455276073651</v>
      </c>
      <c r="I31" s="5">
        <f t="shared" si="6"/>
        <v>3.8172552216339795</v>
      </c>
      <c r="K31" s="1"/>
      <c r="L31" s="1"/>
      <c r="N31" s="39" t="s">
        <v>34</v>
      </c>
      <c r="O31" s="30" t="s">
        <v>42</v>
      </c>
      <c r="P31" s="24"/>
      <c r="Q31" s="24"/>
      <c r="R31" s="24"/>
      <c r="S31" s="25"/>
    </row>
    <row r="32" spans="1:19">
      <c r="A32">
        <v>14</v>
      </c>
      <c r="B32" s="4">
        <f t="shared" si="0"/>
        <v>392.39429559498109</v>
      </c>
      <c r="C32" s="198">
        <f t="shared" si="3"/>
        <v>11.41906092234195</v>
      </c>
      <c r="D32" s="33">
        <f t="shared" si="1"/>
        <v>11.41906092234195</v>
      </c>
      <c r="E32" s="6">
        <f t="shared" si="2"/>
        <v>0.33565842757135805</v>
      </c>
      <c r="F32" s="5">
        <f t="shared" si="4"/>
        <v>0.33565842757135805</v>
      </c>
      <c r="G32" s="2">
        <f t="shared" si="5"/>
        <v>14.22740715865136</v>
      </c>
      <c r="H32" s="2">
        <f t="shared" si="7"/>
        <v>5.7665368362926772</v>
      </c>
      <c r="I32" s="5">
        <f t="shared" si="6"/>
        <v>3.2333078118121539</v>
      </c>
      <c r="K32" s="1"/>
      <c r="L32" s="1"/>
      <c r="N32" s="1"/>
    </row>
    <row r="33" spans="1:17">
      <c r="A33">
        <v>15</v>
      </c>
      <c r="B33" s="4">
        <f t="shared" si="0"/>
        <v>400.3107616900752</v>
      </c>
      <c r="C33" s="198">
        <f t="shared" si="3"/>
        <v>12.114546122898686</v>
      </c>
      <c r="D33" s="33">
        <f t="shared" si="1"/>
        <v>12.114546122898686</v>
      </c>
      <c r="E33" s="6">
        <f t="shared" si="2"/>
        <v>0.32604023343276417</v>
      </c>
      <c r="F33" s="5">
        <f t="shared" si="4"/>
        <v>0.32604023343276417</v>
      </c>
      <c r="G33" s="2">
        <f t="shared" si="5"/>
        <v>12.245642825298193</v>
      </c>
      <c r="H33" s="2">
        <f t="shared" si="7"/>
        <v>4.7195947341808067</v>
      </c>
      <c r="I33" s="5">
        <f t="shared" si="6"/>
        <v>2.7289638313293381</v>
      </c>
      <c r="K33" s="1"/>
      <c r="L33" s="1"/>
      <c r="N33" s="1"/>
    </row>
    <row r="34" spans="1:17">
      <c r="A34">
        <v>16</v>
      </c>
      <c r="B34" s="4">
        <f t="shared" ref="B34:B41" si="8">Linf*(1-EXP(-1*k*(A34-to)))</f>
        <v>407.4667168971518</v>
      </c>
      <c r="C34" s="198">
        <f t="shared" si="3"/>
        <v>12.766856480502723</v>
      </c>
      <c r="D34" s="33">
        <f t="shared" si="1"/>
        <v>12.766856480502723</v>
      </c>
      <c r="E34" s="6">
        <f t="shared" si="2"/>
        <v>0.31747002697776067</v>
      </c>
      <c r="F34" s="5">
        <f t="shared" si="4"/>
        <v>0.31747002697776067</v>
      </c>
      <c r="G34" s="2">
        <f t="shared" si="5"/>
        <v>10.539922456186435</v>
      </c>
      <c r="H34" s="2">
        <f t="shared" si="7"/>
        <v>3.8683068292891227</v>
      </c>
      <c r="I34" s="5">
        <f t="shared" si="6"/>
        <v>2.2966734635830139</v>
      </c>
      <c r="K34" s="1"/>
      <c r="L34" s="1"/>
      <c r="N34" s="1"/>
    </row>
    <row r="35" spans="1:17">
      <c r="A35">
        <v>17</v>
      </c>
      <c r="B35" s="4">
        <f t="shared" si="8"/>
        <v>413.9352211906799</v>
      </c>
      <c r="C35" s="198">
        <f t="shared" si="3"/>
        <v>13.376148788735598</v>
      </c>
      <c r="D35" s="33">
        <f t="shared" si="1"/>
        <v>13.376148788735598</v>
      </c>
      <c r="E35" s="6">
        <f t="shared" si="2"/>
        <v>0.30982799498993718</v>
      </c>
      <c r="F35" s="5">
        <f t="shared" si="4"/>
        <v>0.30982799498993718</v>
      </c>
      <c r="G35" s="2">
        <f t="shared" si="5"/>
        <v>9.071795328941251</v>
      </c>
      <c r="H35" s="2">
        <f t="shared" si="7"/>
        <v>3.1746468424930576</v>
      </c>
      <c r="I35" s="5">
        <f t="shared" si="6"/>
        <v>1.9283495711579064</v>
      </c>
      <c r="K35" s="1"/>
      <c r="L35" s="1"/>
      <c r="N35" s="1"/>
    </row>
    <row r="36" spans="1:17">
      <c r="A36">
        <v>18</v>
      </c>
      <c r="B36" s="4">
        <f t="shared" si="8"/>
        <v>419.78231589496403</v>
      </c>
      <c r="C36" s="198">
        <f t="shared" si="3"/>
        <v>13.943207601782193</v>
      </c>
      <c r="D36" s="33">
        <f t="shared" si="1"/>
        <v>13.943207601782193</v>
      </c>
      <c r="E36" s="6">
        <f t="shared" si="2"/>
        <v>0.30300822473967309</v>
      </c>
      <c r="F36" s="5">
        <f t="shared" si="4"/>
        <v>0.30300822473967309</v>
      </c>
      <c r="G36" s="2">
        <f t="shared" si="5"/>
        <v>7.8081666001153156</v>
      </c>
      <c r="H36" s="2">
        <f t="shared" si="7"/>
        <v>2.6083613689999399</v>
      </c>
      <c r="I36" s="5">
        <f t="shared" si="6"/>
        <v>1.6160094672388259</v>
      </c>
      <c r="K36" s="1"/>
      <c r="L36" s="1"/>
      <c r="N36" s="1"/>
    </row>
    <row r="37" spans="1:17">
      <c r="A37">
        <v>19</v>
      </c>
      <c r="B37" s="4">
        <f t="shared" si="8"/>
        <v>425.06769794457847</v>
      </c>
      <c r="C37" s="198">
        <f t="shared" si="3"/>
        <v>14.469290184225843</v>
      </c>
      <c r="D37" s="33">
        <f t="shared" si="1"/>
        <v>14.469290184225843</v>
      </c>
      <c r="E37" s="6">
        <f t="shared" si="2"/>
        <v>0.29691728160867159</v>
      </c>
      <c r="F37" s="5">
        <f t="shared" si="4"/>
        <v>0.29691728160867159</v>
      </c>
      <c r="G37" s="2">
        <f t="shared" si="5"/>
        <v>6.7205512739749764</v>
      </c>
      <c r="H37" s="2">
        <f t="shared" si="7"/>
        <v>2.1452818932026139</v>
      </c>
      <c r="I37" s="5">
        <f t="shared" si="6"/>
        <v>1.3521441923199649</v>
      </c>
    </row>
    <row r="38" spans="1:17">
      <c r="A38">
        <v>20</v>
      </c>
      <c r="B38" s="4">
        <f t="shared" si="8"/>
        <v>429.84532937064688</v>
      </c>
      <c r="C38" s="198">
        <f t="shared" si="3"/>
        <v>14.955997696985508</v>
      </c>
      <c r="D38" s="33">
        <f t="shared" si="1"/>
        <v>14.955997696985508</v>
      </c>
      <c r="E38" s="6">
        <f t="shared" si="2"/>
        <v>0.29147282833976057</v>
      </c>
      <c r="F38" s="5">
        <f t="shared" si="4"/>
        <v>0.29147282833976057</v>
      </c>
      <c r="G38" s="2">
        <f t="shared" si="5"/>
        <v>5.7844320874838466</v>
      </c>
      <c r="H38" s="2">
        <f t="shared" si="7"/>
        <v>1.7660287296359514</v>
      </c>
      <c r="I38" s="5">
        <f t="shared" si="6"/>
        <v>1.129908302216388</v>
      </c>
    </row>
    <row r="39" spans="1:17">
      <c r="A39">
        <v>21</v>
      </c>
      <c r="B39" s="4">
        <f t="shared" si="8"/>
        <v>434.16398823562378</v>
      </c>
      <c r="C39" s="198">
        <f t="shared" si="3"/>
        <v>15.405169596777169</v>
      </c>
      <c r="D39" s="33">
        <f t="shared" si="1"/>
        <v>15.405169596777169</v>
      </c>
      <c r="E39" s="6">
        <f t="shared" si="2"/>
        <v>0.28660233436446464</v>
      </c>
      <c r="F39" s="5">
        <f t="shared" si="4"/>
        <v>0.28660233436446464</v>
      </c>
      <c r="G39" s="2">
        <f t="shared" si="5"/>
        <v>4.9787068367863947</v>
      </c>
      <c r="H39" s="2">
        <f t="shared" si="7"/>
        <v>1.4550095235475013</v>
      </c>
      <c r="I39" s="5">
        <f t="shared" si="6"/>
        <v>0.94319504283054123</v>
      </c>
    </row>
    <row r="40" spans="1:17">
      <c r="A40">
        <v>22</v>
      </c>
      <c r="B40" s="4">
        <f t="shared" si="8"/>
        <v>438.06776664144172</v>
      </c>
      <c r="C40" s="198">
        <f t="shared" si="3"/>
        <v>15.818798195348634</v>
      </c>
      <c r="D40" s="33">
        <f t="shared" si="1"/>
        <v>15.818798195348634</v>
      </c>
      <c r="E40" s="6">
        <f t="shared" si="2"/>
        <v>0.28224189843161607</v>
      </c>
      <c r="F40" s="5">
        <f t="shared" si="4"/>
        <v>0.28224189843161607</v>
      </c>
      <c r="G40" s="2">
        <f t="shared" si="5"/>
        <v>4.2852126867040186</v>
      </c>
      <c r="H40" s="2">
        <f t="shared" si="7"/>
        <v>1.1996407006570056</v>
      </c>
      <c r="I40" s="5">
        <f t="shared" si="6"/>
        <v>0.78664112475582504</v>
      </c>
      <c r="K40" s="3" t="s">
        <v>21</v>
      </c>
      <c r="L40" s="3" t="s">
        <v>3</v>
      </c>
      <c r="M40" s="3" t="s">
        <v>2</v>
      </c>
      <c r="N40" s="3"/>
      <c r="O40" s="3"/>
      <c r="P40" s="3"/>
    </row>
    <row r="41" spans="1:17">
      <c r="A41">
        <v>23</v>
      </c>
      <c r="B41" s="4">
        <f t="shared" si="8"/>
        <v>441.59652089552714</v>
      </c>
      <c r="C41" s="198">
        <f t="shared" si="3"/>
        <v>16.198960464307646</v>
      </c>
      <c r="D41" s="33">
        <f t="shared" si="1"/>
        <v>16.198960464307646</v>
      </c>
      <c r="E41" s="6">
        <f t="shared" si="2"/>
        <v>0.27833519208108881</v>
      </c>
      <c r="F41" s="5">
        <f t="shared" si="4"/>
        <v>0.27833519208108881</v>
      </c>
      <c r="G41" s="2">
        <f t="shared" si="5"/>
        <v>3.6883167401240011</v>
      </c>
      <c r="H41" s="2">
        <f t="shared" si="7"/>
        <v>0.9897388199183984</v>
      </c>
      <c r="I41" s="5">
        <f t="shared" si="6"/>
        <v>0.65559059420005905</v>
      </c>
      <c r="K41" s="8"/>
      <c r="L41" s="13">
        <f ca="1">K25</f>
        <v>0.5555970197549247</v>
      </c>
      <c r="M41" s="13">
        <f ca="1">K22</f>
        <v>119.28742123499661</v>
      </c>
      <c r="O41" s="12"/>
      <c r="P41" s="5"/>
    </row>
    <row r="42" spans="1:17">
      <c r="A42">
        <v>24</v>
      </c>
      <c r="B42" s="4">
        <f t="shared" ref="B42:B48" si="9">Linf*(1-EXP(-1*k*(A42-to)))</f>
        <v>444.78627843073144</v>
      </c>
      <c r="C42" s="198">
        <f t="shared" si="3"/>
        <v>16.547764405788158</v>
      </c>
      <c r="D42" s="33">
        <f t="shared" si="1"/>
        <v>16.547764405788158</v>
      </c>
      <c r="E42" s="6">
        <f t="shared" si="2"/>
        <v>0.27483252217051729</v>
      </c>
      <c r="F42" s="5">
        <f t="shared" si="4"/>
        <v>0.27483252217051729</v>
      </c>
      <c r="G42" s="2">
        <f t="shared" si="5"/>
        <v>3.174563637806795</v>
      </c>
      <c r="H42" s="2">
        <f t="shared" si="7"/>
        <v>0.81704225338000203</v>
      </c>
      <c r="I42" s="5">
        <f t="shared" si="6"/>
        <v>0.54603705112912737</v>
      </c>
      <c r="K42" s="8">
        <v>0</v>
      </c>
      <c r="L42" s="13">
        <f t="dataTable" ref="L42:M242" dt2D="0" dtr="0" r1="B2" ca="1"/>
        <v>1</v>
      </c>
      <c r="M42" s="13">
        <v>0</v>
      </c>
      <c r="N42" s="8"/>
      <c r="P42" s="5"/>
    </row>
    <row r="43" spans="1:17">
      <c r="A43">
        <v>25</v>
      </c>
      <c r="B43" s="4">
        <f t="shared" si="9"/>
        <v>447.66960563369918</v>
      </c>
      <c r="C43" s="198">
        <f t="shared" si="3"/>
        <v>16.867307588420314</v>
      </c>
      <c r="D43" s="33">
        <f t="shared" si="1"/>
        <v>16.867307588420314</v>
      </c>
      <c r="E43" s="6">
        <f t="shared" si="2"/>
        <v>0.2716900054542038</v>
      </c>
      <c r="F43" s="5">
        <f t="shared" si="4"/>
        <v>0.2716900054542038</v>
      </c>
      <c r="G43" s="2">
        <f t="shared" si="5"/>
        <v>2.7323722447292567</v>
      </c>
      <c r="H43" s="2">
        <f t="shared" si="7"/>
        <v>0.6748334589308852</v>
      </c>
      <c r="I43" s="5">
        <f t="shared" si="6"/>
        <v>0.45455646277310235</v>
      </c>
      <c r="K43" s="8">
        <v>0.01</v>
      </c>
      <c r="L43" s="13">
        <v>0.95685249040354281</v>
      </c>
      <c r="M43" s="13">
        <v>14.675193068832831</v>
      </c>
      <c r="N43" s="8"/>
      <c r="P43" s="5"/>
    </row>
    <row r="44" spans="1:17">
      <c r="A44">
        <v>26</v>
      </c>
      <c r="B44" s="4">
        <f t="shared" si="9"/>
        <v>450.27594033708016</v>
      </c>
      <c r="C44" s="198">
        <f t="shared" si="3"/>
        <v>17.159645739926674</v>
      </c>
      <c r="D44" s="33">
        <f t="shared" si="1"/>
        <v>17.159645739926674</v>
      </c>
      <c r="E44" s="6">
        <f t="shared" si="2"/>
        <v>0.26886884563089269</v>
      </c>
      <c r="F44" s="5">
        <f t="shared" si="4"/>
        <v>0.26886884563089269</v>
      </c>
      <c r="G44" s="2">
        <f t="shared" si="5"/>
        <v>2.3517745856009111</v>
      </c>
      <c r="H44" s="2">
        <f t="shared" si="7"/>
        <v>0.55763935270160725</v>
      </c>
      <c r="I44" s="5">
        <f t="shared" si="6"/>
        <v>0.37823811210778602</v>
      </c>
      <c r="K44" s="8">
        <v>0.02</v>
      </c>
      <c r="L44" s="13">
        <v>0.91626783709978188</v>
      </c>
      <c r="M44" s="13">
        <v>27.965669843101292</v>
      </c>
      <c r="N44" s="8"/>
      <c r="P44" s="5"/>
      <c r="Q44" s="3"/>
    </row>
    <row r="45" spans="1:17">
      <c r="A45">
        <v>27</v>
      </c>
      <c r="B45" s="4">
        <f t="shared" si="9"/>
        <v>452.631892370223</v>
      </c>
      <c r="C45" s="198">
        <f t="shared" si="3"/>
        <v>17.426769572293136</v>
      </c>
      <c r="D45" s="33">
        <f t="shared" si="1"/>
        <v>17.426769572293136</v>
      </c>
      <c r="E45" s="6">
        <f t="shared" si="2"/>
        <v>0.26633470231974676</v>
      </c>
      <c r="F45" s="5">
        <f t="shared" si="4"/>
        <v>0.26633470231974676</v>
      </c>
      <c r="G45" s="2">
        <f t="shared" si="5"/>
        <v>2.0241911445804392</v>
      </c>
      <c r="H45" s="2">
        <f t="shared" si="7"/>
        <v>0.46099265276090617</v>
      </c>
      <c r="I45" s="5">
        <f t="shared" si="6"/>
        <v>0.31461810585830347</v>
      </c>
      <c r="K45" s="8">
        <v>0.03</v>
      </c>
      <c r="L45" s="13">
        <v>0.87806308880307626</v>
      </c>
      <c r="M45" s="13">
        <v>39.999755747365661</v>
      </c>
      <c r="N45" s="8"/>
      <c r="P45" s="5"/>
    </row>
    <row r="46" spans="1:17">
      <c r="A46">
        <v>28</v>
      </c>
      <c r="B46" s="4">
        <f t="shared" si="9"/>
        <v>454.76151523687537</v>
      </c>
      <c r="C46" s="198">
        <f t="shared" si="3"/>
        <v>17.670588281327156</v>
      </c>
      <c r="D46" s="33">
        <f t="shared" si="1"/>
        <v>17.670588281327156</v>
      </c>
      <c r="E46" s="6">
        <f t="shared" si="2"/>
        <v>0.2640571414348229</v>
      </c>
      <c r="F46" s="5">
        <f t="shared" si="4"/>
        <v>0.2640571414348229</v>
      </c>
      <c r="G46" s="2">
        <f t="shared" si="5"/>
        <v>1.7422374639493514</v>
      </c>
      <c r="H46" s="2">
        <f t="shared" si="7"/>
        <v>0.38124106817510733</v>
      </c>
      <c r="I46" s="5">
        <f t="shared" si="6"/>
        <v>0.2616178420626904</v>
      </c>
      <c r="K46" s="8">
        <v>0.04</v>
      </c>
      <c r="L46" s="13">
        <v>0.8420702991825959</v>
      </c>
      <c r="M46" s="13">
        <v>50.893216399506571</v>
      </c>
      <c r="N46" s="8"/>
      <c r="P46" s="5"/>
    </row>
    <row r="47" spans="1:17">
      <c r="A47">
        <v>29</v>
      </c>
      <c r="B47" s="4">
        <f t="shared" si="9"/>
        <v>456.6865516936316</v>
      </c>
      <c r="C47" s="198">
        <f t="shared" si="3"/>
        <v>17.892918403553988</v>
      </c>
      <c r="D47" s="33">
        <f t="shared" si="1"/>
        <v>17.892918403553988</v>
      </c>
      <c r="E47" s="6">
        <f t="shared" si="2"/>
        <v>0.2620091569836045</v>
      </c>
      <c r="F47" s="5">
        <f t="shared" si="4"/>
        <v>0.2620091569836045</v>
      </c>
      <c r="G47" s="2">
        <f t="shared" si="5"/>
        <v>1.499557682047771</v>
      </c>
      <c r="H47" s="2">
        <f t="shared" si="7"/>
        <v>0.31539421377690785</v>
      </c>
      <c r="I47" s="5">
        <f t="shared" si="6"/>
        <v>0.21748854959389291</v>
      </c>
      <c r="K47" s="8">
        <v>0.05</v>
      </c>
      <c r="L47" s="13">
        <v>0.80813514879771631</v>
      </c>
      <c r="M47" s="13">
        <v>60.750572013625913</v>
      </c>
      <c r="N47" s="8"/>
      <c r="P47" s="5"/>
    </row>
    <row r="48" spans="1:17">
      <c r="A48">
        <v>30</v>
      </c>
      <c r="B48" s="4">
        <f t="shared" si="9"/>
        <v>458.42665573640312</v>
      </c>
      <c r="C48" s="198">
        <f t="shared" si="3"/>
        <v>18.095476927467359</v>
      </c>
      <c r="D48" s="33">
        <f t="shared" si="1"/>
        <v>18.095476927467359</v>
      </c>
      <c r="E48" s="6">
        <f t="shared" si="2"/>
        <v>0.2601667551462537</v>
      </c>
      <c r="F48" s="5">
        <f t="shared" si="4"/>
        <v>0.2601667551462537</v>
      </c>
      <c r="G48" s="2">
        <f t="shared" si="5"/>
        <v>1.2906812580479872</v>
      </c>
      <c r="H48" s="2">
        <f t="shared" si="7"/>
        <v>0.26100040398245672</v>
      </c>
      <c r="I48" s="5">
        <f t="shared" si="6"/>
        <v>0.18076221622560382</v>
      </c>
      <c r="K48" s="2">
        <v>0.06</v>
      </c>
      <c r="L48" s="13">
        <v>0.77611570626326654</v>
      </c>
      <c r="M48" s="13">
        <v>69.666264671591705</v>
      </c>
      <c r="N48" s="2"/>
      <c r="P48" s="5"/>
    </row>
    <row r="49" spans="1:16">
      <c r="A49">
        <v>31</v>
      </c>
      <c r="B49" s="4">
        <f t="shared" ref="B49:B84" si="10">Linf*(1-EXP(-1*k*(A49-to)))</f>
        <v>459.9995932613225</v>
      </c>
      <c r="C49" s="198">
        <f t="shared" si="3"/>
        <v>18.279877743102467</v>
      </c>
      <c r="D49" s="33">
        <f t="shared" si="1"/>
        <v>18.279877743102467</v>
      </c>
      <c r="E49" s="6">
        <f t="shared" si="2"/>
        <v>0.25850859243339241</v>
      </c>
      <c r="F49" s="5">
        <f t="shared" si="4"/>
        <v>0.25850859243339241</v>
      </c>
      <c r="G49" s="2">
        <f t="shared" si="5"/>
        <v>1.1108996538242308</v>
      </c>
      <c r="H49" s="2">
        <f t="shared" si="7"/>
        <v>0.21604720854338633</v>
      </c>
      <c r="I49" s="5">
        <f t="shared" si="6"/>
        <v>0.15020875007427598</v>
      </c>
      <c r="K49" s="2">
        <v>7.0000000000000007E-2</v>
      </c>
      <c r="L49" s="13">
        <v>0.74588131338552788</v>
      </c>
      <c r="M49" s="13">
        <v>77.725696019542085</v>
      </c>
      <c r="N49" s="2"/>
      <c r="P49" s="5"/>
    </row>
    <row r="50" spans="1:16">
      <c r="A50">
        <v>32</v>
      </c>
      <c r="B50" s="4">
        <f t="shared" si="10"/>
        <v>461.42142344876288</v>
      </c>
      <c r="C50" s="198">
        <f t="shared" si="3"/>
        <v>18.447630675046938</v>
      </c>
      <c r="D50" s="33">
        <f t="shared" si="1"/>
        <v>18.447630675046938</v>
      </c>
      <c r="E50" s="6">
        <f t="shared" si="2"/>
        <v>0.25701566067247744</v>
      </c>
      <c r="F50" s="5">
        <f t="shared" si="4"/>
        <v>0.25701566067247744</v>
      </c>
      <c r="G50" s="2">
        <f t="shared" si="5"/>
        <v>0.95616019305435096</v>
      </c>
      <c r="H50" s="2">
        <f t="shared" si="7"/>
        <v>0.17888097723185822</v>
      </c>
      <c r="I50" s="5">
        <f t="shared" si="6"/>
        <v>0.12479895785252104</v>
      </c>
      <c r="K50" s="2">
        <v>0.08</v>
      </c>
      <c r="L50" s="13">
        <v>0.7173115808024001</v>
      </c>
      <c r="M50" s="13">
        <v>85.006150723849203</v>
      </c>
      <c r="N50" s="2"/>
      <c r="P50" s="5"/>
    </row>
    <row r="51" spans="1:16">
      <c r="A51">
        <v>33</v>
      </c>
      <c r="B51" s="4">
        <f t="shared" si="10"/>
        <v>462.7066627223445</v>
      </c>
      <c r="C51" s="198">
        <f t="shared" si="3"/>
        <v>18.60014248144369</v>
      </c>
      <c r="D51" s="33">
        <f t="shared" ref="D51:D68" si="11">wa*B51^wb*0.001</f>
        <v>18.60014248144369</v>
      </c>
      <c r="E51" s="6">
        <f t="shared" si="2"/>
        <v>0.25567101248025753</v>
      </c>
      <c r="F51" s="5">
        <f t="shared" si="4"/>
        <v>0.25567101248025753</v>
      </c>
      <c r="G51" s="2">
        <f t="shared" si="5"/>
        <v>0.82297470490200297</v>
      </c>
      <c r="H51" s="2">
        <f t="shared" si="7"/>
        <v>0.14814156011855811</v>
      </c>
      <c r="I51" s="5">
        <f t="shared" si="6"/>
        <v>0.10367279598761962</v>
      </c>
      <c r="K51" s="2">
        <v>0.09</v>
      </c>
      <c r="L51" s="13">
        <v>0.69029548223024084</v>
      </c>
      <c r="M51" s="13">
        <v>91.577619095662612</v>
      </c>
      <c r="N51" s="2"/>
      <c r="P51" s="5"/>
    </row>
    <row r="52" spans="1:16">
      <c r="A52">
        <v>34</v>
      </c>
      <c r="B52" s="4">
        <f t="shared" si="10"/>
        <v>463.86843295689721</v>
      </c>
      <c r="C52" s="198">
        <f t="shared" si="3"/>
        <v>18.738719317696155</v>
      </c>
      <c r="D52" s="33">
        <f t="shared" si="11"/>
        <v>18.738719317696155</v>
      </c>
      <c r="E52" s="6">
        <f t="shared" si="2"/>
        <v>0.25445952171257835</v>
      </c>
      <c r="F52" s="5">
        <f t="shared" si="4"/>
        <v>0.25445952171257835</v>
      </c>
      <c r="G52" s="2">
        <f t="shared" si="5"/>
        <v>0.70834089290521207</v>
      </c>
      <c r="H52" s="2">
        <f t="shared" si="7"/>
        <v>0.12270923969716974</v>
      </c>
      <c r="I52" s="5">
        <f t="shared" si="6"/>
        <v>8.6112306526626908E-2</v>
      </c>
      <c r="K52" s="2">
        <v>0.1</v>
      </c>
      <c r="L52" s="13">
        <v>0.66473053679501337</v>
      </c>
      <c r="M52" s="13">
        <v>97.503530622797555</v>
      </c>
      <c r="N52" s="2"/>
      <c r="P52" s="5"/>
    </row>
    <row r="53" spans="1:16">
      <c r="A53">
        <v>35</v>
      </c>
      <c r="B53" s="4">
        <f t="shared" si="10"/>
        <v>464.91859544853293</v>
      </c>
      <c r="C53" s="198">
        <f t="shared" si="3"/>
        <v>18.864570260988884</v>
      </c>
      <c r="D53" s="33">
        <f t="shared" si="11"/>
        <v>18.864570260988884</v>
      </c>
      <c r="E53" s="6">
        <f t="shared" si="2"/>
        <v>0.25336767413089056</v>
      </c>
      <c r="F53" s="5">
        <f t="shared" si="4"/>
        <v>0.25336767413089056</v>
      </c>
      <c r="G53" s="2">
        <f t="shared" si="5"/>
        <v>0.60967465655156372</v>
      </c>
      <c r="H53" s="2">
        <f t="shared" si="7"/>
        <v>0.10166150577482563</v>
      </c>
      <c r="I53" s="5">
        <f t="shared" si="6"/>
        <v>7.1518655465678774E-2</v>
      </c>
      <c r="K53" s="2">
        <v>0.11</v>
      </c>
      <c r="L53" s="13">
        <v>0.64052207013159257</v>
      </c>
      <c r="M53" s="13">
        <v>102.84140869696668</v>
      </c>
      <c r="N53" s="2"/>
      <c r="P53" s="5"/>
    </row>
    <row r="54" spans="1:16">
      <c r="A54">
        <v>36</v>
      </c>
      <c r="B54" s="4">
        <f t="shared" si="10"/>
        <v>465.86787201462022</v>
      </c>
      <c r="C54" s="198">
        <f t="shared" si="3"/>
        <v>18.978811572844354</v>
      </c>
      <c r="D54" s="33">
        <f t="shared" si="11"/>
        <v>18.978811572844354</v>
      </c>
      <c r="E54" s="6">
        <f t="shared" si="2"/>
        <v>0.25238338418518591</v>
      </c>
      <c r="F54" s="5">
        <f t="shared" si="4"/>
        <v>0.25238338418518591</v>
      </c>
      <c r="G54" s="2">
        <f t="shared" si="5"/>
        <v>0.52475183991813856</v>
      </c>
      <c r="H54" s="2">
        <f t="shared" si="7"/>
        <v>8.4237784924415221E-2</v>
      </c>
      <c r="I54" s="5">
        <f t="shared" si="6"/>
        <v>5.9392725009888285E-2</v>
      </c>
      <c r="K54" s="2">
        <v>0.12</v>
      </c>
      <c r="L54" s="13">
        <v>0.61758254599429707</v>
      </c>
      <c r="M54" s="13">
        <v>107.64345556291339</v>
      </c>
      <c r="N54" s="2"/>
      <c r="P54" s="5"/>
    </row>
    <row r="55" spans="1:16">
      <c r="A55">
        <v>37</v>
      </c>
      <c r="B55" s="4">
        <f t="shared" si="10"/>
        <v>466.7259544600509</v>
      </c>
      <c r="C55" s="198">
        <f t="shared" si="3"/>
        <v>19.082471444037861</v>
      </c>
      <c r="D55" s="33">
        <f t="shared" si="11"/>
        <v>19.082471444037861</v>
      </c>
      <c r="E55" s="6">
        <f t="shared" si="2"/>
        <v>0.25149583438940271</v>
      </c>
      <c r="F55" s="5">
        <f t="shared" si="4"/>
        <v>0.25149583438940271</v>
      </c>
      <c r="G55" s="2">
        <f t="shared" si="5"/>
        <v>0.45165809426126691</v>
      </c>
      <c r="H55" s="2">
        <f t="shared" si="7"/>
        <v>6.9810614264420312E-2</v>
      </c>
      <c r="I55" s="5">
        <f t="shared" si="6"/>
        <v>4.9318759429528521E-2</v>
      </c>
      <c r="K55" s="2">
        <v>0.13</v>
      </c>
      <c r="L55" s="13">
        <v>0.59583096105279798</v>
      </c>
      <c r="M55" s="13">
        <v>111.95707541793666</v>
      </c>
      <c r="N55" s="2"/>
      <c r="P55" s="5"/>
    </row>
    <row r="56" spans="1:16">
      <c r="A56">
        <v>38</v>
      </c>
      <c r="B56" s="4">
        <f t="shared" si="10"/>
        <v>467.50160352741528</v>
      </c>
      <c r="C56" s="198">
        <f t="shared" si="3"/>
        <v>19.176495021376404</v>
      </c>
      <c r="D56" s="33">
        <f t="shared" si="11"/>
        <v>19.176495021376404</v>
      </c>
      <c r="E56" s="6">
        <f t="shared" si="2"/>
        <v>0.25069533426424639</v>
      </c>
      <c r="F56" s="5">
        <f t="shared" si="4"/>
        <v>0.25069533426424639</v>
      </c>
      <c r="G56" s="2">
        <f t="shared" si="5"/>
        <v>0.38874572434761306</v>
      </c>
      <c r="H56" s="2">
        <f t="shared" si="7"/>
        <v>5.7862047720522676E-2</v>
      </c>
      <c r="I56" s="5">
        <f t="shared" si="6"/>
        <v>4.0950617967736191E-2</v>
      </c>
      <c r="K56" s="2">
        <v>0.14000000000000001</v>
      </c>
      <c r="L56" s="13">
        <v>0.57519229636685221</v>
      </c>
      <c r="M56" s="13">
        <v>115.82534263340042</v>
      </c>
      <c r="N56" s="2"/>
      <c r="P56" s="5"/>
    </row>
    <row r="57" spans="1:16">
      <c r="A57">
        <v>39</v>
      </c>
      <c r="B57" s="4">
        <f t="shared" si="10"/>
        <v>468.20273834133297</v>
      </c>
      <c r="C57" s="198">
        <f t="shared" si="3"/>
        <v>19.26174956095559</v>
      </c>
      <c r="D57" s="33">
        <f t="shared" si="11"/>
        <v>19.26174956095559</v>
      </c>
      <c r="E57" s="6">
        <f t="shared" si="2"/>
        <v>0.2499731962517831</v>
      </c>
      <c r="F57" s="5">
        <f t="shared" si="4"/>
        <v>0.2499731962517831</v>
      </c>
      <c r="G57" s="2">
        <f t="shared" si="5"/>
        <v>0.33459654574712738</v>
      </c>
      <c r="H57" s="2">
        <f t="shared" si="7"/>
        <v>4.7964319451741295E-2</v>
      </c>
      <c r="I57" s="5">
        <f t="shared" si="6"/>
        <v>3.4000242437588334E-2</v>
      </c>
      <c r="K57" s="2">
        <v>0.15</v>
      </c>
      <c r="L57" s="13">
        <v>0.5555970197549247</v>
      </c>
      <c r="M57" s="13">
        <v>119.28742123499661</v>
      </c>
      <c r="N57" s="2"/>
      <c r="P57" s="5"/>
    </row>
    <row r="58" spans="1:16">
      <c r="A58">
        <v>40</v>
      </c>
      <c r="B58" s="4">
        <f t="shared" si="10"/>
        <v>468.83651726013949</v>
      </c>
      <c r="C58" s="198">
        <f t="shared" si="3"/>
        <v>19.339029589174263</v>
      </c>
      <c r="D58" s="33">
        <f t="shared" si="11"/>
        <v>19.339029589174263</v>
      </c>
      <c r="E58" s="6">
        <f t="shared" si="2"/>
        <v>0.2493216263742801</v>
      </c>
      <c r="F58" s="5">
        <f t="shared" si="4"/>
        <v>0.2493216263742801</v>
      </c>
      <c r="G58" s="2">
        <f t="shared" si="5"/>
        <v>0.28798991580882427</v>
      </c>
      <c r="H58" s="2">
        <f t="shared" si="7"/>
        <v>3.9763977332424198E-2</v>
      </c>
      <c r="I58" s="5">
        <f t="shared" si="6"/>
        <v>2.8227998712569383E-2</v>
      </c>
      <c r="K58" s="2">
        <v>0.16</v>
      </c>
      <c r="L58" s="13">
        <v>0.53698063390809803</v>
      </c>
      <c r="M58" s="13">
        <v>122.37894104943214</v>
      </c>
      <c r="N58" s="2"/>
      <c r="P58" s="5"/>
    </row>
    <row r="59" spans="1:16">
      <c r="A59">
        <v>41</v>
      </c>
      <c r="B59" s="4">
        <f t="shared" si="10"/>
        <v>469.40941096039535</v>
      </c>
      <c r="C59" s="198">
        <f t="shared" si="3"/>
        <v>19.409061982403983</v>
      </c>
      <c r="D59" s="33">
        <f t="shared" si="11"/>
        <v>19.409061982403983</v>
      </c>
      <c r="E59" s="6">
        <f t="shared" si="2"/>
        <v>0.24873362772449761</v>
      </c>
      <c r="F59" s="5">
        <f t="shared" si="4"/>
        <v>0.24873362772449761</v>
      </c>
      <c r="G59" s="2">
        <f t="shared" si="5"/>
        <v>0.24787521766663589</v>
      </c>
      <c r="H59" s="2">
        <f t="shared" si="7"/>
        <v>3.2968849672279497E-2</v>
      </c>
      <c r="I59" s="5">
        <f t="shared" si="6"/>
        <v>2.3434598683007027E-2</v>
      </c>
      <c r="K59" s="2">
        <v>0.17</v>
      </c>
      <c r="L59" s="13">
        <v>0.51928326566227123</v>
      </c>
      <c r="M59" s="13">
        <v>125.13233528773559</v>
      </c>
      <c r="N59" s="2"/>
      <c r="P59" s="5"/>
    </row>
    <row r="60" spans="1:16">
      <c r="A60">
        <v>42</v>
      </c>
      <c r="B60" s="4">
        <f t="shared" si="10"/>
        <v>469.92726850038889</v>
      </c>
      <c r="C60" s="198">
        <f t="shared" si="3"/>
        <v>19.472510899988212</v>
      </c>
      <c r="D60" s="33">
        <f t="shared" si="11"/>
        <v>19.472510899988212</v>
      </c>
      <c r="E60" s="6">
        <f t="shared" si="2"/>
        <v>0.24820291514324697</v>
      </c>
      <c r="F60" s="5">
        <f t="shared" si="4"/>
        <v>0.24820291514324697</v>
      </c>
      <c r="G60" s="2">
        <f t="shared" si="5"/>
        <v>0.21334817700377093</v>
      </c>
      <c r="H60" s="2">
        <f t="shared" si="7"/>
        <v>2.7337328763338661E-2</v>
      </c>
      <c r="I60" s="5">
        <f t="shared" si="6"/>
        <v>1.9454351738750941E-2</v>
      </c>
      <c r="K60" s="2">
        <v>0.18</v>
      </c>
      <c r="L60" s="13">
        <v>0.50244929233785807</v>
      </c>
      <c r="M60" s="13">
        <v>127.57714377741168</v>
      </c>
      <c r="N60" s="2"/>
      <c r="P60" s="5"/>
    </row>
    <row r="61" spans="1:16">
      <c r="A61">
        <v>43</v>
      </c>
      <c r="B61" s="4">
        <f t="shared" si="10"/>
        <v>470.39537703711807</v>
      </c>
      <c r="C61" s="198">
        <f t="shared" si="3"/>
        <v>19.529982524199905</v>
      </c>
      <c r="D61" s="33">
        <f t="shared" si="11"/>
        <v>19.529982524199905</v>
      </c>
      <c r="E61" s="6">
        <f t="shared" si="2"/>
        <v>0.24772383966910447</v>
      </c>
      <c r="F61" s="5">
        <f t="shared" si="4"/>
        <v>0.24772383966910447</v>
      </c>
      <c r="G61" s="2">
        <f t="shared" si="5"/>
        <v>0.18363047770289073</v>
      </c>
      <c r="H61" s="2">
        <f t="shared" si="7"/>
        <v>2.2669551600705117E-2</v>
      </c>
      <c r="I61" s="5">
        <f t="shared" si="6"/>
        <v>1.6149532310044158E-2</v>
      </c>
      <c r="K61" s="2">
        <v>0.19</v>
      </c>
      <c r="L61" s="13">
        <v>0.48642700149505647</v>
      </c>
      <c r="M61" s="13">
        <v>129.74028556678226</v>
      </c>
      <c r="N61" s="2"/>
      <c r="P61" s="5"/>
    </row>
    <row r="62" spans="1:16">
      <c r="A62">
        <v>44</v>
      </c>
      <c r="B62" s="4">
        <f t="shared" si="10"/>
        <v>470.81851580644337</v>
      </c>
      <c r="C62" s="198">
        <f t="shared" si="3"/>
        <v>19.582029575786986</v>
      </c>
      <c r="D62" s="33">
        <f t="shared" si="11"/>
        <v>19.582029575786986</v>
      </c>
      <c r="E62" s="6">
        <f t="shared" si="2"/>
        <v>0.24729132154044847</v>
      </c>
      <c r="F62" s="5">
        <f t="shared" si="4"/>
        <v>0.24729132154044847</v>
      </c>
      <c r="G62" s="2">
        <f t="shared" si="5"/>
        <v>0.15805221687362178</v>
      </c>
      <c r="H62" s="2">
        <f t="shared" si="7"/>
        <v>1.8800136096032406E-2</v>
      </c>
      <c r="I62" s="5">
        <f t="shared" si="6"/>
        <v>1.3405682639178754E-2</v>
      </c>
      <c r="K62" s="2">
        <v>0.2</v>
      </c>
      <c r="L62" s="13">
        <v>0.47116828084129725</v>
      </c>
      <c r="M62" s="13">
        <v>131.64630419602312</v>
      </c>
      <c r="N62" s="2"/>
      <c r="P62" s="5"/>
    </row>
    <row r="63" spans="1:16">
      <c r="A63">
        <v>45</v>
      </c>
      <c r="B63" s="4">
        <f t="shared" si="10"/>
        <v>471.20100491753124</v>
      </c>
      <c r="C63" s="198">
        <f t="shared" si="3"/>
        <v>19.629155585498051</v>
      </c>
      <c r="D63" s="33">
        <f t="shared" si="11"/>
        <v>19.629155585498051</v>
      </c>
      <c r="E63" s="6">
        <f t="shared" si="2"/>
        <v>0.2469007906965279</v>
      </c>
      <c r="F63" s="5">
        <f t="shared" si="4"/>
        <v>0.2469007906965279</v>
      </c>
      <c r="G63" s="2">
        <f t="shared" si="5"/>
        <v>0.13603680375478938</v>
      </c>
      <c r="H63" s="2">
        <f t="shared" si="7"/>
        <v>1.5592194098594856E-2</v>
      </c>
      <c r="I63" s="5">
        <f t="shared" si="6"/>
        <v>1.1127698123269978E-2</v>
      </c>
      <c r="K63" s="2">
        <v>0.21</v>
      </c>
      <c r="L63" s="13">
        <v>0.4566283353717725</v>
      </c>
      <c r="M63" s="13">
        <v>133.31758855285989</v>
      </c>
      <c r="N63" s="2"/>
      <c r="P63" s="5"/>
    </row>
    <row r="64" spans="1:16">
      <c r="A64">
        <v>46</v>
      </c>
      <c r="B64" s="4">
        <f t="shared" si="10"/>
        <v>471.54674945976274</v>
      </c>
      <c r="C64" s="198">
        <f t="shared" si="3"/>
        <v>19.671818911111583</v>
      </c>
      <c r="D64" s="33">
        <f t="shared" si="11"/>
        <v>19.671818911111583</v>
      </c>
      <c r="E64" s="6">
        <f t="shared" si="2"/>
        <v>0.24654813386637964</v>
      </c>
      <c r="F64" s="5">
        <f t="shared" si="4"/>
        <v>0.24654813386637964</v>
      </c>
      <c r="G64" s="2">
        <f t="shared" si="5"/>
        <v>0.11708796207911748</v>
      </c>
      <c r="H64" s="2">
        <f t="shared" si="7"/>
        <v>1.2932393555995741E-2</v>
      </c>
      <c r="I64" s="5">
        <f t="shared" si="6"/>
        <v>9.2365667018335564E-3</v>
      </c>
      <c r="K64" s="2">
        <v>0.22</v>
      </c>
      <c r="L64" s="13">
        <v>0.44276542912941014</v>
      </c>
      <c r="M64" s="13">
        <v>134.77457189992197</v>
      </c>
      <c r="N64" s="2"/>
      <c r="P64" s="2"/>
    </row>
    <row r="65" spans="1:16">
      <c r="A65">
        <v>47</v>
      </c>
      <c r="B65" s="4">
        <f t="shared" si="10"/>
        <v>471.85927937242576</v>
      </c>
      <c r="C65" s="198">
        <f t="shared" si="3"/>
        <v>19.71043649649647</v>
      </c>
      <c r="D65" s="33">
        <f t="shared" si="11"/>
        <v>19.71043649649647</v>
      </c>
      <c r="E65" s="6">
        <f t="shared" si="2"/>
        <v>0.24622964745581008</v>
      </c>
      <c r="F65" s="5">
        <f t="shared" si="4"/>
        <v>0.24622964745581008</v>
      </c>
      <c r="G65" s="2">
        <f t="shared" si="5"/>
        <v>0.10077854290485111</v>
      </c>
      <c r="H65" s="2">
        <f t="shared" si="7"/>
        <v>1.0726883552928E-2</v>
      </c>
      <c r="I65" s="5">
        <f t="shared" si="6"/>
        <v>7.6666543233896312E-3</v>
      </c>
      <c r="K65" s="2">
        <v>0.23</v>
      </c>
      <c r="L65" s="13">
        <v>0.42954064924185248</v>
      </c>
      <c r="M65" s="13">
        <v>136.03591136952949</v>
      </c>
      <c r="N65" s="2"/>
      <c r="P65" s="2"/>
    </row>
    <row r="66" spans="1:16">
      <c r="A66">
        <v>48</v>
      </c>
      <c r="B66" s="4">
        <f t="shared" si="10"/>
        <v>472.14178548424678</v>
      </c>
      <c r="C66" s="198">
        <f t="shared" si="3"/>
        <v>19.745387374519016</v>
      </c>
      <c r="D66" s="33">
        <f t="shared" si="11"/>
        <v>19.745387374519016</v>
      </c>
      <c r="E66" s="6">
        <f t="shared" si="2"/>
        <v>0.2459419955464982</v>
      </c>
      <c r="F66" s="5">
        <f t="shared" si="4"/>
        <v>0.2459419955464982</v>
      </c>
      <c r="G66" s="2">
        <f t="shared" si="5"/>
        <v>8.6740895730700263E-2</v>
      </c>
      <c r="H66" s="2">
        <f t="shared" si="7"/>
        <v>8.897929639722562E-3</v>
      </c>
      <c r="I66" s="5">
        <f t="shared" si="6"/>
        <v>6.363445963797224E-3</v>
      </c>
      <c r="K66" s="2">
        <v>0.24</v>
      </c>
      <c r="L66" s="13">
        <v>0.41691769013407315</v>
      </c>
      <c r="M66" s="13">
        <v>137.11864996519105</v>
      </c>
      <c r="N66" s="2"/>
      <c r="P66" s="2"/>
    </row>
    <row r="67" spans="1:16">
      <c r="A67">
        <v>49</v>
      </c>
      <c r="B67" s="4">
        <f t="shared" si="10"/>
        <v>472.39715209071397</v>
      </c>
      <c r="C67" s="198">
        <f t="shared" si="3"/>
        <v>19.777015919523908</v>
      </c>
      <c r="D67" s="33">
        <f t="shared" si="11"/>
        <v>19.777015919523908</v>
      </c>
      <c r="E67" s="6">
        <f t="shared" si="2"/>
        <v>0.24568217241023571</v>
      </c>
      <c r="F67" s="5">
        <f t="shared" si="4"/>
        <v>0.24568217241023571</v>
      </c>
      <c r="G67" s="2">
        <f t="shared" si="5"/>
        <v>7.4658580837667965E-2</v>
      </c>
      <c r="H67" s="2">
        <f t="shared" si="7"/>
        <v>7.381134297089237E-3</v>
      </c>
      <c r="I67" s="5">
        <f t="shared" si="6"/>
        <v>5.2816664065444968E-3</v>
      </c>
      <c r="K67" s="2">
        <v>0.25</v>
      </c>
      <c r="L67" s="13">
        <v>0.40486265602975158</v>
      </c>
      <c r="M67" s="13">
        <v>138.03836288294664</v>
      </c>
      <c r="N67" s="2"/>
      <c r="P67" s="2"/>
    </row>
    <row r="68" spans="1:16">
      <c r="A68">
        <v>50</v>
      </c>
      <c r="B68" s="4">
        <f t="shared" si="10"/>
        <v>472.62798640179562</v>
      </c>
      <c r="C68" s="198">
        <f t="shared" si="3"/>
        <v>19.805634857936905</v>
      </c>
      <c r="D68" s="33">
        <f t="shared" si="11"/>
        <v>19.805634857936905</v>
      </c>
      <c r="E68" s="6">
        <f t="shared" si="2"/>
        <v>0.2454474690176639</v>
      </c>
      <c r="F68" s="5">
        <f t="shared" si="4"/>
        <v>0.2454474690176639</v>
      </c>
      <c r="G68" s="2">
        <f t="shared" si="5"/>
        <v>6.4259236035555792E-2</v>
      </c>
      <c r="H68" s="2">
        <f t="shared" si="7"/>
        <v>6.1231397727684288E-3</v>
      </c>
      <c r="I68" s="5">
        <f t="shared" si="6"/>
        <v>4.3837174139872192E-3</v>
      </c>
      <c r="K68" s="2">
        <v>0.26</v>
      </c>
      <c r="L68" s="13">
        <v>0.39334388004550674</v>
      </c>
      <c r="M68" s="13">
        <v>138.80928976609769</v>
      </c>
      <c r="N68" s="2"/>
      <c r="P68" s="2"/>
    </row>
    <row r="69" spans="1:16">
      <c r="A69">
        <v>51</v>
      </c>
      <c r="B69" s="4">
        <f t="shared" si="10"/>
        <v>472.83664516070576</v>
      </c>
      <c r="C69" s="198">
        <f t="shared" si="3"/>
        <v>19.831528047491272</v>
      </c>
      <c r="D69" s="33">
        <f t="shared" ref="D69:D84" si="12">wa*B69^wb*0.001</f>
        <v>19.831528047491272</v>
      </c>
      <c r="E69" s="6">
        <f t="shared" si="2"/>
        <v>0.24523544308650932</v>
      </c>
      <c r="F69" s="5">
        <f t="shared" si="4"/>
        <v>0.24523544308650932</v>
      </c>
      <c r="G69" s="2">
        <f t="shared" si="5"/>
        <v>5.5308437014783378E-2</v>
      </c>
      <c r="H69" s="2">
        <f t="shared" si="7"/>
        <v>5.0797288256108821E-3</v>
      </c>
      <c r="I69" s="5">
        <f t="shared" si="6"/>
        <v>3.6383783585678111E-3</v>
      </c>
      <c r="K69" s="2">
        <v>0.27</v>
      </c>
      <c r="L69" s="13">
        <v>0.38233175835238487</v>
      </c>
      <c r="M69" s="13">
        <v>139.444454330562</v>
      </c>
      <c r="N69" s="2"/>
      <c r="P69" s="2"/>
    </row>
    <row r="70" spans="1:16">
      <c r="A70">
        <v>52</v>
      </c>
      <c r="B70" s="4">
        <f t="shared" si="10"/>
        <v>473.02525870548567</v>
      </c>
      <c r="C70" s="198">
        <f t="shared" si="3"/>
        <v>19.854953036854347</v>
      </c>
      <c r="D70" s="33">
        <f t="shared" si="12"/>
        <v>19.854953036854347</v>
      </c>
      <c r="E70" s="6">
        <f t="shared" si="2"/>
        <v>0.24504389227087237</v>
      </c>
      <c r="F70" s="5">
        <f t="shared" si="4"/>
        <v>0.24504389227087237</v>
      </c>
      <c r="G70" s="2">
        <f t="shared" si="5"/>
        <v>4.7604412902226965E-2</v>
      </c>
      <c r="H70" s="2">
        <f t="shared" si="7"/>
        <v>4.2142538907620451E-3</v>
      </c>
      <c r="I70" s="5">
        <f t="shared" si="6"/>
        <v>3.0197261425408892E-3</v>
      </c>
      <c r="K70" s="2">
        <v>0.28000000000000003</v>
      </c>
      <c r="L70" s="13">
        <v>0.37179859803088777</v>
      </c>
      <c r="M70" s="13">
        <v>139.95577264217346</v>
      </c>
      <c r="N70" s="2"/>
      <c r="P70" s="2"/>
    </row>
    <row r="71" spans="1:16">
      <c r="A71">
        <v>53</v>
      </c>
      <c r="B71" s="4">
        <f t="shared" si="10"/>
        <v>473.19575271906183</v>
      </c>
      <c r="C71" s="198">
        <f t="shared" si="3"/>
        <v>19.876143418176436</v>
      </c>
      <c r="D71" s="33">
        <f t="shared" si="12"/>
        <v>19.876143418176436</v>
      </c>
      <c r="E71" s="6">
        <f t="shared" si="2"/>
        <v>0.24487083014194952</v>
      </c>
      <c r="F71" s="5">
        <f t="shared" si="4"/>
        <v>0.24487083014194952</v>
      </c>
      <c r="G71" s="2">
        <f t="shared" si="5"/>
        <v>4.0973497897978682E-2</v>
      </c>
      <c r="H71" s="2">
        <f t="shared" si="7"/>
        <v>3.4963374546923892E-3</v>
      </c>
      <c r="I71" s="5">
        <f t="shared" si="6"/>
        <v>2.506237572343696E-3</v>
      </c>
      <c r="K71" s="2">
        <v>0.28999999999999998</v>
      </c>
      <c r="L71" s="13">
        <v>0.36171847738153068</v>
      </c>
      <c r="M71" s="13">
        <v>140.35415118925883</v>
      </c>
      <c r="N71" s="2"/>
      <c r="P71" s="2"/>
    </row>
    <row r="72" spans="1:16">
      <c r="A72">
        <v>54</v>
      </c>
      <c r="B72" s="4">
        <f t="shared" si="10"/>
        <v>473.3498678898427</v>
      </c>
      <c r="C72" s="198">
        <f t="shared" si="3"/>
        <v>19.895310985427209</v>
      </c>
      <c r="D72" s="33">
        <f t="shared" si="12"/>
        <v>19.895310985427209</v>
      </c>
      <c r="E72" s="6">
        <f t="shared" si="2"/>
        <v>0.24471446465280991</v>
      </c>
      <c r="F72" s="5">
        <f t="shared" si="4"/>
        <v>0.24471446465280991</v>
      </c>
      <c r="G72" s="2">
        <f t="shared" si="5"/>
        <v>3.5266216462825593E-2</v>
      </c>
      <c r="H72" s="2">
        <f t="shared" si="7"/>
        <v>2.9007965002941743E-3</v>
      </c>
      <c r="I72" s="5">
        <f t="shared" si="6"/>
        <v>2.0800434920403153E-3</v>
      </c>
      <c r="K72" s="2">
        <v>0.3</v>
      </c>
      <c r="L72" s="13">
        <v>0.35206711757419384</v>
      </c>
      <c r="M72" s="13">
        <v>140.64957577156551</v>
      </c>
      <c r="N72" s="2"/>
      <c r="P72" s="2"/>
    </row>
    <row r="73" spans="1:16">
      <c r="A73">
        <v>55</v>
      </c>
      <c r="B73" s="4">
        <f t="shared" si="10"/>
        <v>473.48917768358029</v>
      </c>
      <c r="C73" s="198">
        <f t="shared" si="3"/>
        <v>19.912647711412816</v>
      </c>
      <c r="D73" s="33">
        <f t="shared" si="12"/>
        <v>19.912647711412816</v>
      </c>
      <c r="E73" s="6">
        <f t="shared" si="2"/>
        <v>0.24457317881648208</v>
      </c>
      <c r="F73" s="5">
        <f t="shared" si="4"/>
        <v>0.24457317881648208</v>
      </c>
      <c r="G73" s="2">
        <f t="shared" si="5"/>
        <v>3.0353913807886677E-2</v>
      </c>
      <c r="H73" s="2">
        <f t="shared" si="7"/>
        <v>2.4067521544791992E-3</v>
      </c>
      <c r="I73" s="5">
        <f t="shared" si="6"/>
        <v>1.7263091094950583E-3</v>
      </c>
      <c r="K73" s="2">
        <v>0.31</v>
      </c>
      <c r="L73" s="14">
        <v>0.34282176462806191</v>
      </c>
      <c r="M73" s="14">
        <v>140.85119211820475</v>
      </c>
      <c r="N73" s="2"/>
      <c r="P73" s="2"/>
    </row>
    <row r="74" spans="1:16">
      <c r="A74">
        <v>56</v>
      </c>
      <c r="B74" s="4">
        <f t="shared" si="10"/>
        <v>473.61510440794427</v>
      </c>
      <c r="C74" s="198">
        <f t="shared" si="3"/>
        <v>19.928327556171045</v>
      </c>
      <c r="D74" s="33">
        <f t="shared" si="12"/>
        <v>19.928327556171045</v>
      </c>
      <c r="E74" s="6">
        <f t="shared" si="2"/>
        <v>0.24444551335843231</v>
      </c>
      <c r="F74" s="5">
        <f t="shared" si="4"/>
        <v>0.24444551335843231</v>
      </c>
      <c r="G74" s="2">
        <f t="shared" si="5"/>
        <v>2.6125855730166764E-2</v>
      </c>
      <c r="H74" s="2">
        <f t="shared" si="7"/>
        <v>1.9968924716369393E-3</v>
      </c>
      <c r="I74" s="5">
        <f t="shared" si="6"/>
        <v>1.4327192309256654E-3</v>
      </c>
      <c r="K74" s="2">
        <v>0.32</v>
      </c>
      <c r="L74" s="14">
        <v>0.33396108081113146</v>
      </c>
      <c r="M74" s="14">
        <v>140.96737905105323</v>
      </c>
      <c r="N74" s="2"/>
      <c r="P74" s="2"/>
    </row>
    <row r="75" spans="1:16">
      <c r="A75">
        <v>57</v>
      </c>
      <c r="B75" s="4">
        <f t="shared" si="10"/>
        <v>473.72893373381999</v>
      </c>
      <c r="C75" s="198">
        <f t="shared" si="3"/>
        <v>19.942508119075875</v>
      </c>
      <c r="D75" s="33">
        <f t="shared" si="12"/>
        <v>19.942508119075875</v>
      </c>
      <c r="E75" s="6">
        <f t="shared" si="2"/>
        <v>0.24433015113224429</v>
      </c>
      <c r="F75" s="5">
        <f t="shared" si="4"/>
        <v>0.24433015113224429</v>
      </c>
      <c r="G75" s="2">
        <f t="shared" si="5"/>
        <v>2.2486732417884837E-2</v>
      </c>
      <c r="H75" s="2">
        <f t="shared" si="7"/>
        <v>1.6568618825230357E-3</v>
      </c>
      <c r="I75" s="5">
        <f t="shared" si="6"/>
        <v>1.1890506913433509E-3</v>
      </c>
      <c r="K75" s="2">
        <v>0.33</v>
      </c>
      <c r="L75" s="14">
        <v>0.32546504463539283</v>
      </c>
      <c r="M75" s="14">
        <v>141.00581492457803</v>
      </c>
      <c r="N75" s="2"/>
      <c r="P75" s="2"/>
    </row>
    <row r="76" spans="1:16">
      <c r="A76">
        <v>58</v>
      </c>
      <c r="B76" s="4">
        <f t="shared" si="10"/>
        <v>473.83182782159014</v>
      </c>
      <c r="C76" s="198">
        <f t="shared" si="3"/>
        <v>19.95533214649614</v>
      </c>
      <c r="D76" s="33">
        <f t="shared" si="12"/>
        <v>19.95533214649614</v>
      </c>
      <c r="E76" s="6">
        <f t="shared" si="2"/>
        <v>0.24422590311150272</v>
      </c>
      <c r="F76" s="5">
        <f t="shared" si="4"/>
        <v>0.24422590311150272</v>
      </c>
      <c r="G76" s="2">
        <f t="shared" si="5"/>
        <v>1.9354509955809406E-2</v>
      </c>
      <c r="H76" s="2">
        <f t="shared" si="7"/>
        <v>1.3747554467093122E-3</v>
      </c>
      <c r="I76" s="5">
        <f t="shared" si="6"/>
        <v>9.8681724585903134E-4</v>
      </c>
      <c r="K76" s="2">
        <v>0.34</v>
      </c>
      <c r="L76" s="14">
        <v>0.31731485870194792</v>
      </c>
      <c r="M76" s="14">
        <v>140.97353799704265</v>
      </c>
      <c r="N76" s="2"/>
      <c r="P76" s="2"/>
    </row>
    <row r="77" spans="1:16">
      <c r="A77">
        <v>59</v>
      </c>
      <c r="B77" s="4">
        <f t="shared" si="10"/>
        <v>473.92483718641427</v>
      </c>
      <c r="C77" s="198">
        <f t="shared" si="3"/>
        <v>19.96692890629204</v>
      </c>
      <c r="D77" s="33">
        <f t="shared" si="12"/>
        <v>19.96692890629204</v>
      </c>
      <c r="E77" s="6">
        <f t="shared" si="2"/>
        <v>0.2441316957920534</v>
      </c>
      <c r="F77" s="5">
        <f t="shared" si="4"/>
        <v>0.2441316957920534</v>
      </c>
      <c r="G77" s="2">
        <f t="shared" si="5"/>
        <v>1.665858109876335E-2</v>
      </c>
      <c r="H77" s="2">
        <f t="shared" si="7"/>
        <v>1.1406998446857105E-3</v>
      </c>
      <c r="I77" s="5">
        <f t="shared" si="6"/>
        <v>8.1897466740522688E-4</v>
      </c>
      <c r="K77" s="2">
        <v>0.35</v>
      </c>
      <c r="L77" s="14">
        <v>0.30949286472051973</v>
      </c>
      <c r="M77" s="14">
        <v>140.87700132041817</v>
      </c>
      <c r="N77" s="2"/>
      <c r="P77" s="2"/>
    </row>
    <row r="78" spans="1:16">
      <c r="A78">
        <v>60</v>
      </c>
      <c r="B78" s="4">
        <f t="shared" si="10"/>
        <v>474.00891142364657</v>
      </c>
      <c r="C78" s="198">
        <f t="shared" si="3"/>
        <v>19.977415439817012</v>
      </c>
      <c r="D78" s="33">
        <f t="shared" si="12"/>
        <v>19.977415439817012</v>
      </c>
      <c r="E78" s="6">
        <f t="shared" si="2"/>
        <v>0.2440465598573599</v>
      </c>
      <c r="F78" s="5">
        <f t="shared" si="4"/>
        <v>0.2440465598573599</v>
      </c>
      <c r="G78" s="2">
        <f t="shared" si="5"/>
        <v>1.4338173627629319E-2</v>
      </c>
      <c r="H78" s="2">
        <f t="shared" si="7"/>
        <v>9.4650617769187994E-4</v>
      </c>
      <c r="I78" s="5">
        <f t="shared" si="6"/>
        <v>6.7967586199874964E-4</v>
      </c>
      <c r="K78" s="2">
        <v>0.36</v>
      </c>
      <c r="L78" s="14">
        <v>0.30198246509088356</v>
      </c>
      <c r="M78" s="14">
        <v>140.72212267607551</v>
      </c>
      <c r="N78" s="2"/>
    </row>
    <row r="79" spans="1:16">
      <c r="A79">
        <v>61</v>
      </c>
      <c r="B79" s="4">
        <f t="shared" si="10"/>
        <v>474.08490890389544</v>
      </c>
      <c r="C79" s="198">
        <f t="shared" si="3"/>
        <v>19.986897701455788</v>
      </c>
      <c r="D79" s="33">
        <f t="shared" si="12"/>
        <v>19.986897701455788</v>
      </c>
      <c r="E79" s="6">
        <f t="shared" si="2"/>
        <v>0.24396961997597369</v>
      </c>
      <c r="F79" s="5">
        <f t="shared" si="4"/>
        <v>0.24396961997597369</v>
      </c>
      <c r="G79" s="2">
        <f t="shared" si="5"/>
        <v>1.2340980408667962E-2</v>
      </c>
      <c r="H79" s="2">
        <f t="shared" si="7"/>
        <v>7.8538222768727121E-4</v>
      </c>
      <c r="I79" s="5">
        <f t="shared" si="6"/>
        <v>5.6406753195215682E-4</v>
      </c>
      <c r="K79" s="2">
        <v>0.37</v>
      </c>
      <c r="L79" s="14">
        <v>0.29476805049049776</v>
      </c>
      <c r="M79" s="14">
        <v>140.5143300296323</v>
      </c>
      <c r="N79" s="2"/>
    </row>
    <row r="80" spans="1:16">
      <c r="A80">
        <v>62</v>
      </c>
      <c r="B80" s="4">
        <f t="shared" si="10"/>
        <v>474.15360553670854</v>
      </c>
      <c r="C80" s="198">
        <f t="shared" si="3"/>
        <v>19.995471595078325</v>
      </c>
      <c r="D80" s="33">
        <f t="shared" si="12"/>
        <v>19.995471595078325</v>
      </c>
      <c r="E80" s="6">
        <f t="shared" si="2"/>
        <v>0.24390008561447299</v>
      </c>
      <c r="F80" s="5">
        <f t="shared" si="4"/>
        <v>0.24390008561447299</v>
      </c>
      <c r="G80" s="2">
        <f t="shared" si="5"/>
        <v>1.0621980274645884E-2</v>
      </c>
      <c r="H80" s="2">
        <f t="shared" si="7"/>
        <v>6.516939634577441E-4</v>
      </c>
      <c r="I80" s="5">
        <f t="shared" si="6"/>
        <v>4.6812134796728975E-4</v>
      </c>
      <c r="K80" s="2">
        <v>0.38</v>
      </c>
      <c r="L80" s="14">
        <v>0.28783493296369755</v>
      </c>
      <c r="M80" s="14">
        <v>140.25860293041615</v>
      </c>
      <c r="N80" s="2"/>
    </row>
    <row r="81" spans="1:14">
      <c r="A81">
        <v>63</v>
      </c>
      <c r="B81" s="4">
        <f t="shared" si="10"/>
        <v>474.21570269235633</v>
      </c>
      <c r="C81" s="198">
        <f t="shared" si="3"/>
        <v>20.003223916150347</v>
      </c>
      <c r="D81" s="33">
        <f t="shared" si="12"/>
        <v>20.003223916150347</v>
      </c>
      <c r="E81" s="6">
        <f t="shared" si="2"/>
        <v>0.24383724276186833</v>
      </c>
      <c r="F81" s="5">
        <f t="shared" si="4"/>
        <v>0.24383724276186833</v>
      </c>
      <c r="G81" s="2">
        <f t="shared" si="5"/>
        <v>9.1424231478173384E-3</v>
      </c>
      <c r="H81" s="2">
        <f t="shared" si="7"/>
        <v>5.4076784118211349E-4</v>
      </c>
      <c r="I81" s="5">
        <f t="shared" si="6"/>
        <v>3.8849378093561859E-4</v>
      </c>
      <c r="K81" s="2">
        <v>0.39</v>
      </c>
      <c r="L81" s="14">
        <v>0.2811692840538389</v>
      </c>
      <c r="M81" s="14">
        <v>139.95951023821812</v>
      </c>
      <c r="N81" s="2"/>
    </row>
    <row r="82" spans="1:14">
      <c r="A82">
        <v>64</v>
      </c>
      <c r="B82" s="4">
        <f t="shared" si="10"/>
        <v>474.27183436259457</v>
      </c>
      <c r="C82" s="198">
        <f t="shared" si="3"/>
        <v>20.010233207610597</v>
      </c>
      <c r="D82" s="33">
        <f t="shared" si="12"/>
        <v>20.010233207610597</v>
      </c>
      <c r="E82" s="6">
        <f t="shared" si="2"/>
        <v>0.2437804464726393</v>
      </c>
      <c r="F82" s="5">
        <f t="shared" si="4"/>
        <v>0.2437804464726393</v>
      </c>
      <c r="G82" s="2">
        <f t="shared" si="5"/>
        <v>7.8689565271794683E-3</v>
      </c>
      <c r="H82" s="2">
        <f t="shared" si="7"/>
        <v>4.4872690409336168E-4</v>
      </c>
      <c r="I82" s="5">
        <f t="shared" si="6"/>
        <v>3.2240973373613366E-4</v>
      </c>
      <c r="K82" s="2">
        <v>0.4</v>
      </c>
      <c r="L82" s="14">
        <v>0.27475807756129955</v>
      </c>
      <c r="M82" s="14">
        <v>139.62124452178614</v>
      </c>
      <c r="N82" s="2"/>
    </row>
    <row r="83" spans="1:14">
      <c r="A83">
        <v>65</v>
      </c>
      <c r="B83" s="4">
        <f t="shared" si="10"/>
        <v>474.32257363351403</v>
      </c>
      <c r="C83" s="198">
        <f t="shared" ref="C83:C84" si="13">wa*$B83^wb*0.001</f>
        <v>20.016570537020232</v>
      </c>
      <c r="D83" s="33">
        <f t="shared" si="12"/>
        <v>20.016570537020232</v>
      </c>
      <c r="E83" s="6">
        <f t="shared" ref="E83:E84" si="14">1/(1+EXP(-($B83-ma)/((mb-ma)/LOG(19))))</f>
        <v>0.24372911414544612</v>
      </c>
      <c r="F83" s="5">
        <f t="shared" si="4"/>
        <v>0.24372911414544612</v>
      </c>
      <c r="G83" s="2">
        <f t="shared" si="5"/>
        <v>6.7728736490853909E-3</v>
      </c>
      <c r="H83" s="2">
        <f t="shared" si="7"/>
        <v>3.7235488978779941E-4</v>
      </c>
      <c r="I83" s="5">
        <f t="shared" si="6"/>
        <v>2.6756593592738035E-4</v>
      </c>
      <c r="K83" s="2">
        <v>0.41</v>
      </c>
      <c r="L83" s="14">
        <v>0.26858903654770011</v>
      </c>
      <c r="M83" s="14">
        <v>139.24765343930972</v>
      </c>
      <c r="N83" s="2"/>
    </row>
    <row r="84" spans="1:14">
      <c r="A84">
        <v>66</v>
      </c>
      <c r="B84" s="4">
        <f t="shared" si="10"/>
        <v>474.36843853656268</v>
      </c>
      <c r="C84" s="198">
        <f t="shared" si="13"/>
        <v>20.022300201910365</v>
      </c>
      <c r="D84" s="33">
        <f t="shared" si="12"/>
        <v>20.022300201910365</v>
      </c>
      <c r="E84" s="6">
        <f t="shared" si="14"/>
        <v>0.24368271946331851</v>
      </c>
      <c r="F84" s="5">
        <f t="shared" ref="F84" si="15">1/(1+EXP(-($B84-sela)/((selb-sela)/LOG(19))))</f>
        <v>0.24368271946331851</v>
      </c>
      <c r="G84" s="2">
        <f t="shared" ref="G84" si="16">$G83*EXP(-M)</f>
        <v>5.8294663730868836E-3</v>
      </c>
      <c r="H84" s="2">
        <f t="shared" ref="H84" si="17">$H83*EXP(-M-F*$F83)</f>
        <v>3.0898354936633035E-4</v>
      </c>
      <c r="I84" s="5">
        <f t="shared" ref="I84" si="18">$H84*(1-EXP(-(F*$F84)))*$C84</f>
        <v>2.2205074797362878E-4</v>
      </c>
      <c r="K84" s="2">
        <v>0.42</v>
      </c>
      <c r="L84" s="14">
        <v>0.26265058424054977</v>
      </c>
      <c r="M84" s="14">
        <v>138.84226838054821</v>
      </c>
      <c r="N84" s="2"/>
    </row>
    <row r="85" spans="1:14">
      <c r="K85" s="2">
        <v>0.43</v>
      </c>
      <c r="L85" s="14">
        <v>0.25693179852311337</v>
      </c>
      <c r="M85" s="14">
        <v>138.40833062284304</v>
      </c>
      <c r="N85" s="2"/>
    </row>
    <row r="86" spans="1:14">
      <c r="K86" s="2">
        <v>0.44</v>
      </c>
      <c r="L86" s="14">
        <v>0.25142236972197263</v>
      </c>
      <c r="M86" s="14">
        <v>137.94881522868502</v>
      </c>
      <c r="N86" s="2"/>
    </row>
    <row r="87" spans="1:14">
      <c r="K87" s="2">
        <v>0.45</v>
      </c>
      <c r="L87" s="14">
        <v>0.24611256142980434</v>
      </c>
      <c r="M87" s="14">
        <v>137.46645289046268</v>
      </c>
      <c r="N87" s="2"/>
    </row>
    <row r="88" spans="1:14">
      <c r="K88" s="2">
        <v>0.46</v>
      </c>
      <c r="L88" s="14">
        <v>0.24099317412360863</v>
      </c>
      <c r="M88" s="14">
        <v>136.96374990823426</v>
      </c>
      <c r="N88" s="2"/>
    </row>
    <row r="89" spans="1:14">
      <c r="K89" s="2">
        <v>0.47</v>
      </c>
      <c r="L89" s="14">
        <v>0.23605551135920613</v>
      </c>
      <c r="M89" s="14">
        <v>136.44300646859162</v>
      </c>
      <c r="N89" s="2"/>
    </row>
    <row r="90" spans="1:14">
      <c r="K90" s="2">
        <v>0.48</v>
      </c>
      <c r="L90" s="14">
        <v>0.23129134834150081</v>
      </c>
      <c r="M90" s="14">
        <v>135.90633337670144</v>
      </c>
      <c r="N90" s="2"/>
    </row>
    <row r="91" spans="1:14">
      <c r="K91" s="2">
        <v>0.49</v>
      </c>
      <c r="L91" s="14">
        <v>0.22669290268697345</v>
      </c>
      <c r="M91" s="14">
        <v>135.35566737923708</v>
      </c>
      <c r="N91" s="2"/>
    </row>
    <row r="92" spans="1:14">
      <c r="K92" s="2">
        <v>0.5</v>
      </c>
      <c r="L92" s="14">
        <v>0.22225280721028895</v>
      </c>
      <c r="M92" s="14">
        <v>134.79278520297404</v>
      </c>
      <c r="N92" s="2"/>
    </row>
    <row r="93" spans="1:14">
      <c r="K93" s="2">
        <v>0.51</v>
      </c>
      <c r="L93" s="14">
        <v>0.21796408458091371</v>
      </c>
      <c r="M93" s="14">
        <v>134.21931642216046</v>
      </c>
      <c r="N93" s="2"/>
    </row>
    <row r="94" spans="1:14">
      <c r="K94" s="2">
        <v>0.52</v>
      </c>
      <c r="L94" s="14">
        <v>0.21382012370841177</v>
      </c>
      <c r="M94" s="14">
        <v>133.63675525727413</v>
      </c>
      <c r="N94" s="2"/>
    </row>
    <row r="95" spans="1:14">
      <c r="K95" s="2">
        <v>0.53</v>
      </c>
      <c r="L95" s="14">
        <v>0.20981465772669516</v>
      </c>
      <c r="M95" s="14">
        <v>133.04647139829183</v>
      </c>
      <c r="N95" s="2"/>
    </row>
    <row r="96" spans="1:14">
      <c r="K96" s="2">
        <v>0.54</v>
      </c>
      <c r="L96" s="14">
        <v>0.2059417434581052</v>
      </c>
      <c r="M96" s="14">
        <v>132.44971993704829</v>
      </c>
      <c r="N96" s="2"/>
    </row>
    <row r="97" spans="11:14">
      <c r="K97" s="2">
        <v>0.55000000000000004</v>
      </c>
      <c r="L97" s="14">
        <v>0.20219574224784809</v>
      </c>
      <c r="M97" s="14">
        <v>131.84765048553197</v>
      </c>
      <c r="N97" s="2"/>
    </row>
    <row r="98" spans="11:14">
      <c r="K98" s="2">
        <v>0.56000000000000005</v>
      </c>
      <c r="L98" s="14">
        <v>0.19857130206813017</v>
      </c>
      <c r="M98" s="14">
        <v>131.24131554998687</v>
      </c>
      <c r="N98" s="2"/>
    </row>
    <row r="99" spans="11:14">
      <c r="K99" s="2">
        <v>0.56999999999999995</v>
      </c>
      <c r="L99" s="14">
        <v>0.19506334079937601</v>
      </c>
      <c r="M99" s="14">
        <v>130.63167822437219</v>
      </c>
      <c r="N99" s="2"/>
    </row>
    <row r="100" spans="11:14">
      <c r="K100" s="2">
        <v>0.57999999999999996</v>
      </c>
      <c r="L100" s="14">
        <v>0.19166703060327689</v>
      </c>
      <c r="M100" s="14">
        <v>130.01961926102666</v>
      </c>
      <c r="N100" s="2"/>
    </row>
    <row r="101" spans="11:14">
      <c r="K101" s="2">
        <v>0.59</v>
      </c>
      <c r="L101" s="14">
        <v>0.18837778330912461</v>
      </c>
      <c r="M101" s="14">
        <v>129.40594357120264</v>
      </c>
      <c r="N101" s="2"/>
    </row>
    <row r="102" spans="11:14">
      <c r="K102" s="2">
        <v>0.6</v>
      </c>
      <c r="L102" s="14">
        <v>0.18519123674105445</v>
      </c>
      <c r="M102" s="14">
        <v>128.7913862034639</v>
      </c>
      <c r="N102" s="2"/>
    </row>
    <row r="103" spans="11:14">
      <c r="K103" s="2">
        <v>0.61</v>
      </c>
      <c r="L103" s="14">
        <v>0.18210324191943317</v>
      </c>
      <c r="M103" s="14">
        <v>128.17661784368201</v>
      </c>
      <c r="N103" s="2"/>
    </row>
    <row r="104" spans="11:14">
      <c r="K104" s="2">
        <v>0.62</v>
      </c>
      <c r="L104" s="14">
        <v>0.17910985107480382</v>
      </c>
      <c r="M104" s="14">
        <v>127.56224987652951</v>
      </c>
      <c r="N104" s="2"/>
    </row>
    <row r="105" spans="11:14">
      <c r="K105" s="2">
        <v>0.63</v>
      </c>
      <c r="L105" s="14">
        <v>0.17620730641751087</v>
      </c>
      <c r="M105" s="14">
        <v>126.94883904486154</v>
      </c>
      <c r="N105" s="2"/>
    </row>
    <row r="106" spans="11:14">
      <c r="K106" s="2">
        <v>0.64</v>
      </c>
      <c r="L106" s="14">
        <v>0.17339202961047651</v>
      </c>
      <c r="M106" s="14">
        <v>126.33689174021737</v>
      </c>
      <c r="N106" s="2"/>
    </row>
    <row r="107" spans="11:14">
      <c r="K107" s="2">
        <v>0.65</v>
      </c>
      <c r="L107" s="14">
        <v>0.1706606118965748</v>
      </c>
      <c r="M107" s="14">
        <v>125.7268679547866</v>
      </c>
      <c r="N107" s="2"/>
    </row>
    <row r="108" spans="11:14">
      <c r="K108" s="2">
        <v>0.66</v>
      </c>
      <c r="L108" s="14">
        <v>0.16800980483569786</v>
      </c>
      <c r="M108" s="14">
        <v>125.11918492256528</v>
      </c>
      <c r="N108" s="2"/>
    </row>
    <row r="109" spans="11:14">
      <c r="K109" s="2">
        <v>0.67</v>
      </c>
      <c r="L109" s="14">
        <v>0.16543651160997438</v>
      </c>
      <c r="M109" s="14">
        <v>124.5142204750518</v>
      </c>
      <c r="N109" s="2"/>
    </row>
    <row r="110" spans="11:14">
      <c r="K110" s="2">
        <v>0.68</v>
      </c>
      <c r="L110" s="14">
        <v>0.1629377788586818</v>
      </c>
      <c r="M110" s="14">
        <v>123.91231613466401</v>
      </c>
      <c r="N110" s="2"/>
    </row>
    <row r="111" spans="11:14">
      <c r="K111" s="2">
        <v>0.69</v>
      </c>
      <c r="L111" s="14">
        <v>0.16051078900722682</v>
      </c>
      <c r="M111" s="14">
        <v>123.3137799670836</v>
      </c>
      <c r="N111" s="2"/>
    </row>
    <row r="112" spans="11:14">
      <c r="K112" s="2">
        <v>0.7</v>
      </c>
      <c r="L112" s="14">
        <v>0.15815285305719243</v>
      </c>
      <c r="M112" s="14">
        <v>122.71888921194827</v>
      </c>
      <c r="N112" s="2"/>
    </row>
    <row r="113" spans="11:14">
      <c r="K113" s="2">
        <v>0.71</v>
      </c>
      <c r="L113" s="14">
        <v>0.15586140380684224</v>
      </c>
      <c r="M113" s="14">
        <v>122.1278927096659</v>
      </c>
      <c r="N113" s="2"/>
    </row>
    <row r="114" spans="11:14">
      <c r="K114" s="2">
        <v>0.72</v>
      </c>
      <c r="L114" s="14">
        <v>0.15363398947369455</v>
      </c>
      <c r="M114" s="14">
        <v>121.54101314064047</v>
      </c>
      <c r="N114" s="2"/>
    </row>
    <row r="115" spans="11:14">
      <c r="K115" s="2">
        <v>0.73</v>
      </c>
      <c r="L115" s="14">
        <v>0.15146826769282268</v>
      </c>
      <c r="M115" s="14">
        <v>120.95844909183887</v>
      </c>
      <c r="N115" s="2"/>
    </row>
    <row r="116" spans="11:14">
      <c r="K116" s="2">
        <v>0.74</v>
      </c>
      <c r="L116" s="14">
        <v>0.14936199986641632</v>
      </c>
      <c r="M116" s="14">
        <v>120.38037696438501</v>
      </c>
      <c r="N116" s="2"/>
    </row>
    <row r="117" spans="11:14">
      <c r="K117" s="2">
        <v>0.75</v>
      </c>
      <c r="L117" s="14">
        <v>0.14731304584187993</v>
      </c>
      <c r="M117" s="14">
        <v>119.80695273473688</v>
      </c>
      <c r="N117" s="2"/>
    </row>
    <row r="118" spans="11:14">
      <c r="K118" s="2">
        <v>0.76</v>
      </c>
      <c r="L118" s="14">
        <v>0.14531935889734876</v>
      </c>
      <c r="M118" s="14">
        <v>119.23831358096776</v>
      </c>
      <c r="N118" s="2"/>
    </row>
    <row r="119" spans="11:14">
      <c r="K119" s="2">
        <v>0.77</v>
      </c>
      <c r="L119" s="14">
        <v>0.14337898101498167</v>
      </c>
      <c r="M119" s="14">
        <v>118.67457938472606</v>
      </c>
      <c r="N119" s="2"/>
    </row>
    <row r="120" spans="11:14">
      <c r="K120" s="2">
        <v>0.78</v>
      </c>
      <c r="L120" s="14">
        <v>0.14149003842376595</v>
      </c>
      <c r="M120" s="14">
        <v>118.11585411858859</v>
      </c>
      <c r="N120" s="2"/>
    </row>
    <row r="121" spans="11:14">
      <c r="K121" s="2">
        <v>0.79</v>
      </c>
      <c r="L121" s="14">
        <v>0.13965073739482908</v>
      </c>
      <c r="M121" s="14">
        <v>117.56222712772789</v>
      </c>
      <c r="N121" s="2"/>
    </row>
    <row r="122" spans="11:14">
      <c r="K122" s="2">
        <v>0.8</v>
      </c>
      <c r="L122" s="14">
        <v>0.13785936027342502</v>
      </c>
      <c r="M122" s="14">
        <v>117.01377431409243</v>
      </c>
      <c r="N122" s="2"/>
    </row>
    <row r="123" spans="11:14">
      <c r="K123" s="2">
        <v>0.81</v>
      </c>
      <c r="L123" s="14">
        <v>0.1361142617328526</v>
      </c>
      <c r="M123" s="14">
        <v>116.47055923064138</v>
      </c>
      <c r="N123" s="2"/>
    </row>
    <row r="124" spans="11:14">
      <c r="K124" s="2">
        <v>0.82</v>
      </c>
      <c r="L124" s="14">
        <v>0.13441386523655838</v>
      </c>
      <c r="M124" s="14">
        <v>115.93263409256396</v>
      </c>
      <c r="N124" s="2"/>
    </row>
    <row r="125" spans="11:14">
      <c r="K125" s="2">
        <v>0.83</v>
      </c>
      <c r="L125" s="14">
        <v>0.13275665969561234</v>
      </c>
      <c r="M125" s="14">
        <v>115.40004071186257</v>
      </c>
      <c r="N125" s="2"/>
    </row>
    <row r="126" spans="11:14">
      <c r="K126" s="2">
        <v>0.84</v>
      </c>
      <c r="L126" s="14">
        <v>0.13114119630960652</v>
      </c>
      <c r="M126" s="14">
        <v>114.87281136117157</v>
      </c>
      <c r="N126" s="2"/>
    </row>
    <row r="127" spans="11:14">
      <c r="K127" s="2">
        <v>0.85</v>
      </c>
      <c r="L127" s="14">
        <v>0.12956608557982024</v>
      </c>
      <c r="M127" s="14">
        <v>114.35096957221205</v>
      </c>
      <c r="N127" s="2"/>
    </row>
    <row r="128" spans="11:14">
      <c r="K128" s="2">
        <v>0.86</v>
      </c>
      <c r="L128" s="14">
        <v>0.12802999448424496</v>
      </c>
      <c r="M128" s="14">
        <v>113.83453087386398</v>
      </c>
      <c r="N128" s="2"/>
    </row>
    <row r="129" spans="11:14">
      <c r="K129" s="2">
        <v>0.87</v>
      </c>
      <c r="L129" s="14">
        <v>0.12653164380474261</v>
      </c>
      <c r="M129" s="14">
        <v>113.32350347443698</v>
      </c>
      <c r="N129" s="2"/>
    </row>
    <row r="130" spans="11:14">
      <c r="K130" s="2">
        <v>0.88</v>
      </c>
      <c r="L130" s="14">
        <v>0.12506980559725434</v>
      </c>
      <c r="M130" s="14">
        <v>112.81788889236716</v>
      </c>
      <c r="N130" s="2"/>
    </row>
    <row r="131" spans="11:14">
      <c r="K131" s="2">
        <v>0.89</v>
      </c>
      <c r="L131" s="14">
        <v>0.123643300796568</v>
      </c>
      <c r="M131" s="14">
        <v>112.31768253923347</v>
      </c>
      <c r="N131" s="2"/>
    </row>
    <row r="132" spans="11:14">
      <c r="K132" s="2">
        <v>0.9</v>
      </c>
      <c r="L132" s="14">
        <v>0.12225099694770415</v>
      </c>
      <c r="M132" s="14">
        <v>111.82287425868559</v>
      </c>
      <c r="N132" s="2"/>
    </row>
    <row r="133" spans="11:14">
      <c r="K133" s="2">
        <v>0.91</v>
      </c>
      <c r="L133" s="14">
        <v>0.12089180605649472</v>
      </c>
      <c r="M133" s="14">
        <v>111.33344882459616</v>
      </c>
      <c r="N133" s="2"/>
    </row>
    <row r="134" spans="11:14">
      <c r="K134" s="2">
        <v>0.92</v>
      </c>
      <c r="L134" s="14">
        <v>0.11956468255240173</v>
      </c>
      <c r="M134" s="14">
        <v>110.84938640149308</v>
      </c>
      <c r="N134" s="2"/>
    </row>
    <row r="135" spans="11:14">
      <c r="K135" s="2">
        <v>0.93</v>
      </c>
      <c r="L135" s="14">
        <v>0.1182686213570716</v>
      </c>
      <c r="M135" s="14">
        <v>110.37066297009375</v>
      </c>
      <c r="N135" s="2"/>
    </row>
    <row r="136" spans="11:14">
      <c r="K136" s="2">
        <v>0.94</v>
      </c>
      <c r="L136" s="14">
        <v>0.11700265605252937</v>
      </c>
      <c r="M136" s="14">
        <v>109.89725072054503</v>
      </c>
      <c r="N136" s="2"/>
    </row>
    <row r="137" spans="11:14">
      <c r="K137" s="2">
        <v>0.95</v>
      </c>
      <c r="L137" s="14">
        <v>0.11576585714330367</v>
      </c>
      <c r="M137" s="14">
        <v>109.42911841577322</v>
      </c>
      <c r="N137" s="2"/>
    </row>
    <row r="138" spans="11:14">
      <c r="K138" s="2">
        <v>0.96</v>
      </c>
      <c r="L138" s="14">
        <v>0.11455733040713188</v>
      </c>
      <c r="M138" s="14">
        <v>108.96623172716602</v>
      </c>
      <c r="N138" s="2"/>
    </row>
    <row r="139" spans="11:14">
      <c r="K139" s="2">
        <v>0.97</v>
      </c>
      <c r="L139" s="14">
        <v>0.11337621532922844</v>
      </c>
      <c r="M139" s="14">
        <v>108.50855354463948</v>
      </c>
      <c r="N139" s="2"/>
    </row>
    <row r="140" spans="11:14">
      <c r="K140" s="2">
        <v>0.98</v>
      </c>
      <c r="L140" s="14">
        <v>0.11222168361540921</v>
      </c>
      <c r="M140" s="14">
        <v>108.05604426298552</v>
      </c>
      <c r="N140" s="2"/>
    </row>
    <row r="141" spans="11:14">
      <c r="K141" s="2">
        <v>0.99</v>
      </c>
      <c r="L141" s="14">
        <v>0.11109293777965751</v>
      </c>
      <c r="M141" s="14">
        <v>107.60866204625421</v>
      </c>
      <c r="N141" s="2"/>
    </row>
    <row r="142" spans="11:14">
      <c r="K142" s="2">
        <v>1</v>
      </c>
      <c r="L142" s="14">
        <v>0.10998920980198609</v>
      </c>
      <c r="M142" s="14">
        <v>107.16636307179181</v>
      </c>
      <c r="N142" s="2"/>
    </row>
    <row r="143" spans="11:14">
      <c r="K143" s="2">
        <v>1.01</v>
      </c>
      <c r="L143" s="14">
        <v>0.10890975985270548</v>
      </c>
      <c r="M143" s="14">
        <v>106.72910175543542</v>
      </c>
      <c r="N143" s="2"/>
    </row>
    <row r="144" spans="11:14">
      <c r="K144" s="2">
        <v>1.02</v>
      </c>
      <c r="L144" s="14">
        <v>0.10785387507944011</v>
      </c>
      <c r="M144" s="14">
        <v>106.29683095924922</v>
      </c>
      <c r="N144" s="2"/>
    </row>
    <row r="145" spans="11:14">
      <c r="K145" s="2">
        <v>1.03</v>
      </c>
      <c r="L145" s="14">
        <v>0.10682086845346028</v>
      </c>
      <c r="M145" s="14">
        <v>105.86950218308817</v>
      </c>
      <c r="N145" s="2"/>
    </row>
    <row r="146" spans="11:14">
      <c r="K146" s="2">
        <v>1.04</v>
      </c>
      <c r="L146" s="14">
        <v>0.10581007767209968</v>
      </c>
      <c r="M146" s="14">
        <v>105.44706574117592</v>
      </c>
      <c r="N146" s="2"/>
    </row>
    <row r="147" spans="11:14">
      <c r="K147" s="2">
        <v>1.05</v>
      </c>
      <c r="L147" s="14">
        <v>0.10482086411422238</v>
      </c>
      <c r="M147" s="14">
        <v>105.0294709247966</v>
      </c>
      <c r="N147" s="2"/>
    </row>
    <row r="148" spans="11:14">
      <c r="K148" s="2">
        <v>1.06</v>
      </c>
      <c r="L148" s="14">
        <v>0.10385261184588589</v>
      </c>
      <c r="M148" s="14">
        <v>104.61666615212081</v>
      </c>
      <c r="N148" s="2"/>
    </row>
    <row r="149" spans="11:14">
      <c r="K149" s="2">
        <v>1.07</v>
      </c>
      <c r="L149" s="14">
        <v>0.10290472667350989</v>
      </c>
      <c r="M149" s="14">
        <v>104.20859910610575</v>
      </c>
      <c r="N149" s="2"/>
    </row>
    <row r="150" spans="11:14">
      <c r="K150" s="2">
        <v>1.08</v>
      </c>
      <c r="L150" s="14">
        <v>0.10197663524202544</v>
      </c>
      <c r="M150" s="14">
        <v>103.80521686134648</v>
      </c>
      <c r="N150" s="2"/>
    </row>
    <row r="151" spans="11:14">
      <c r="K151" s="2">
        <v>1.0900000000000001</v>
      </c>
      <c r="L151" s="14">
        <v>0.10106778417561951</v>
      </c>
      <c r="M151" s="14">
        <v>103.40646600068455</v>
      </c>
      <c r="N151" s="2"/>
    </row>
    <row r="152" spans="11:14">
      <c r="K152" s="2">
        <v>1.1000000000000001</v>
      </c>
      <c r="L152" s="14">
        <v>0.10017763925883502</v>
      </c>
      <c r="M152" s="14">
        <v>103.01229272232651</v>
      </c>
      <c r="N152" s="2"/>
    </row>
    <row r="153" spans="11:14">
      <c r="K153" s="2">
        <v>1.1100000000000001</v>
      </c>
      <c r="L153" s="14">
        <v>9.9305684655911872E-2</v>
      </c>
      <c r="M153" s="14">
        <v>102.62264293816631</v>
      </c>
      <c r="N153" s="2"/>
    </row>
    <row r="154" spans="11:14">
      <c r="K154" s="2">
        <v>1.1200000000000001</v>
      </c>
      <c r="L154" s="14">
        <v>9.8451422166376992E-2</v>
      </c>
      <c r="M154" s="14">
        <v>102.2374623639558</v>
      </c>
      <c r="N154" s="2"/>
    </row>
    <row r="155" spans="11:14">
      <c r="K155" s="2">
        <v>1.1299999999999999</v>
      </c>
      <c r="L155" s="14">
        <v>9.7614370515006779E-2</v>
      </c>
      <c r="M155" s="14">
        <v>101.85669660192174</v>
      </c>
      <c r="N155" s="2"/>
    </row>
    <row r="156" spans="11:14">
      <c r="K156" s="2">
        <v>1.1399999999999999</v>
      </c>
      <c r="L156" s="14">
        <v>9.6794064674389405E-2</v>
      </c>
      <c r="M156" s="14">
        <v>101.4802912163816</v>
      </c>
      <c r="N156" s="2"/>
    </row>
    <row r="157" spans="11:14">
      <c r="K157" s="2">
        <v>1.1499999999999999</v>
      </c>
      <c r="L157" s="14">
        <v>9.5990055218419065E-2</v>
      </c>
      <c r="M157" s="14">
        <v>101.10819180287491</v>
      </c>
      <c r="N157" s="2"/>
    </row>
    <row r="158" spans="11:14">
      <c r="K158" s="2">
        <v>1.1599999999999999</v>
      </c>
      <c r="L158" s="14">
        <v>9.5201907705141919E-2</v>
      </c>
      <c r="M158" s="14">
        <v>100.74034405128258</v>
      </c>
      <c r="N158" s="2"/>
    </row>
    <row r="159" spans="11:14">
      <c r="K159" s="2">
        <v>1.17</v>
      </c>
      <c r="L159" s="14">
        <v>9.4429202087469702E-2</v>
      </c>
      <c r="M159" s="14">
        <v>100.37669380338093</v>
      </c>
      <c r="N159" s="2"/>
    </row>
    <row r="160" spans="11:14">
      <c r="K160" s="2">
        <v>1.18</v>
      </c>
      <c r="L160" s="14">
        <v>9.3671532150352399E-2</v>
      </c>
      <c r="M160" s="14">
        <v>100.01718710523708</v>
      </c>
      <c r="N160" s="2"/>
    </row>
    <row r="161" spans="11:14">
      <c r="K161" s="2">
        <v>1.19</v>
      </c>
      <c r="L161" s="14">
        <v>9.2928504973084275E-2</v>
      </c>
      <c r="M161" s="14">
        <v>99.661770254827928</v>
      </c>
      <c r="N161" s="2"/>
    </row>
    <row r="162" spans="11:14">
      <c r="K162" s="2">
        <v>1.2</v>
      </c>
      <c r="L162" s="14">
        <v>9.2199740415489437E-2</v>
      </c>
      <c r="M162" s="14">
        <v>99.310389845236145</v>
      </c>
      <c r="N162" s="2"/>
    </row>
    <row r="163" spans="11:14">
      <c r="K163" s="2">
        <v>1.21</v>
      </c>
      <c r="L163" s="14">
        <v>9.1484870626800649E-2</v>
      </c>
      <c r="M163" s="14">
        <v>98.962992803750424</v>
      </c>
      <c r="N163" s="2"/>
    </row>
    <row r="164" spans="11:14">
      <c r="K164" s="2">
        <v>1.22</v>
      </c>
      <c r="L164" s="14">
        <v>9.0783539576111461E-2</v>
      </c>
      <c r="M164" s="14">
        <v>98.619526427174563</v>
      </c>
      <c r="N164" s="2"/>
    </row>
    <row r="165" spans="11:14">
      <c r="K165" s="2">
        <v>1.23</v>
      </c>
      <c r="L165" s="14">
        <v>9.0095402603343214E-2</v>
      </c>
      <c r="M165" s="14">
        <v>98.279938413629253</v>
      </c>
      <c r="N165" s="2"/>
    </row>
    <row r="166" spans="11:14">
      <c r="K166" s="2">
        <v>1.24</v>
      </c>
      <c r="L166" s="14">
        <v>8.9420125989721128E-2</v>
      </c>
      <c r="M166" s="14">
        <v>97.944176891105357</v>
      </c>
      <c r="N166" s="2"/>
    </row>
    <row r="167" spans="11:14">
      <c r="K167" s="2">
        <v>1.25</v>
      </c>
      <c r="L167" s="14">
        <v>8.875738654681542E-2</v>
      </c>
      <c r="M167" s="14">
        <v>97.612190443016857</v>
      </c>
      <c r="N167" s="2"/>
    </row>
    <row r="168" spans="11:14">
      <c r="K168" s="2">
        <v>1.26</v>
      </c>
      <c r="L168" s="14">
        <v>8.8106871223247396E-2</v>
      </c>
      <c r="M168" s="14">
        <v>97.283928130977088</v>
      </c>
      <c r="N168" s="2"/>
    </row>
    <row r="169" spans="11:14">
      <c r="K169" s="2">
        <v>1.27</v>
      </c>
      <c r="L169" s="14">
        <v>8.7468276728209698E-2</v>
      </c>
      <c r="M169" s="14">
        <v>96.959339515007144</v>
      </c>
      <c r="N169" s="2"/>
    </row>
    <row r="170" spans="11:14">
      <c r="K170" s="2">
        <v>1.28</v>
      </c>
      <c r="L170" s="14">
        <v>8.684130917099861E-2</v>
      </c>
      <c r="M170" s="14">
        <v>96.638374671374493</v>
      </c>
      <c r="N170" s="2"/>
    </row>
    <row r="171" spans="11:14">
      <c r="K171" s="2">
        <v>1.29</v>
      </c>
      <c r="L171" s="14">
        <v>8.6225683715794296E-2</v>
      </c>
      <c r="M171" s="14">
        <v>96.320984208241285</v>
      </c>
      <c r="N171" s="2"/>
    </row>
    <row r="172" spans="11:14">
      <c r="K172" s="2">
        <v>1.3</v>
      </c>
      <c r="L172" s="14">
        <v>8.5621124250966268E-2</v>
      </c>
      <c r="M172" s="14">
        <v>96.00711927928964</v>
      </c>
      <c r="N172" s="2"/>
    </row>
    <row r="173" spans="11:14">
      <c r="K173" s="2">
        <v>1.31</v>
      </c>
      <c r="L173" s="14">
        <v>8.5027363072221251E-2</v>
      </c>
      <c r="M173" s="14">
        <v>95.696731595482831</v>
      </c>
      <c r="N173" s="2"/>
    </row>
    <row r="174" spans="11:14">
      <c r="K174" s="2">
        <v>1.32</v>
      </c>
      <c r="L174" s="14">
        <v>8.4444140578941895E-2</v>
      </c>
      <c r="M174" s="14">
        <v>95.38977343510436</v>
      </c>
      <c r="N174" s="2"/>
    </row>
    <row r="175" spans="11:14">
      <c r="K175" s="2">
        <v>1.33</v>
      </c>
      <c r="L175" s="14">
        <v>8.3871204983103145E-2</v>
      </c>
      <c r="M175" s="14">
        <v>95.086197652212093</v>
      </c>
      <c r="N175" s="2"/>
    </row>
    <row r="176" spans="11:14">
      <c r="K176" s="2">
        <v>1.34</v>
      </c>
      <c r="L176" s="14">
        <v>8.3308312030180687E-2</v>
      </c>
      <c r="M176" s="14">
        <v>94.785957683631409</v>
      </c>
      <c r="N176" s="2"/>
    </row>
    <row r="177" spans="11:14">
      <c r="K177" s="2">
        <v>1.35</v>
      </c>
      <c r="L177" s="14">
        <v>8.2755224731498767E-2</v>
      </c>
      <c r="M177" s="14">
        <v>94.489007554604243</v>
      </c>
      <c r="N177" s="2"/>
    </row>
    <row r="178" spans="11:14">
      <c r="K178" s="2">
        <v>1.36</v>
      </c>
      <c r="L178" s="14">
        <v>8.2211713107490314E-2</v>
      </c>
      <c r="M178" s="14">
        <v>94.195301883200784</v>
      </c>
      <c r="N178" s="2"/>
    </row>
    <row r="179" spans="11:14">
      <c r="K179" s="2">
        <v>1.37</v>
      </c>
      <c r="L179" s="14">
        <v>8.1677553941371731E-2</v>
      </c>
      <c r="M179" s="14">
        <v>93.904795883595952</v>
      </c>
      <c r="N179" s="2"/>
    </row>
    <row r="180" spans="11:14">
      <c r="K180" s="2">
        <v>1.38</v>
      </c>
      <c r="L180" s="14">
        <v>8.1152530542757187E-2</v>
      </c>
      <c r="M180" s="14">
        <v>93.61744536830183</v>
      </c>
      <c r="N180" s="2"/>
    </row>
    <row r="181" spans="11:14">
      <c r="K181" s="2">
        <v>1.39</v>
      </c>
      <c r="L181" s="14">
        <v>8.0636432520763288E-2</v>
      </c>
      <c r="M181" s="14">
        <v>93.333206749443832</v>
      </c>
      <c r="N181" s="2"/>
    </row>
    <row r="182" spans="11:14">
      <c r="K182" s="2">
        <v>1.4</v>
      </c>
      <c r="L182" s="14">
        <v>8.0129055566175514E-2</v>
      </c>
      <c r="M182" s="14">
        <v>93.0520370391597</v>
      </c>
      <c r="N182" s="2"/>
    </row>
    <row r="183" spans="11:14">
      <c r="K183" s="2">
        <v>1.41</v>
      </c>
      <c r="L183" s="14">
        <v>7.9630201242271631E-2</v>
      </c>
      <c r="M183" s="14">
        <v>92.773893849197364</v>
      </c>
      <c r="N183" s="2"/>
    </row>
    <row r="184" spans="11:14">
      <c r="K184" s="2">
        <v>1.42</v>
      </c>
      <c r="L184" s="14">
        <v>7.913967678391369E-2</v>
      </c>
      <c r="M184" s="14">
        <v>92.498735389778602</v>
      </c>
      <c r="N184" s="2"/>
    </row>
    <row r="185" spans="11:14">
      <c r="K185" s="2">
        <v>1.43</v>
      </c>
      <c r="L185" s="14">
        <v>7.8657294904543582E-2</v>
      </c>
      <c r="M185" s="14">
        <v>92.226520467794742</v>
      </c>
      <c r="N185" s="2"/>
    </row>
    <row r="186" spans="11:14">
      <c r="K186" s="2">
        <v>1.44</v>
      </c>
      <c r="L186" s="14">
        <v>7.8182873610731743E-2</v>
      </c>
      <c r="M186" s="14">
        <v>91.957208484392908</v>
      </c>
      <c r="N186" s="2"/>
    </row>
    <row r="187" spans="11:14">
      <c r="K187" s="2">
        <v>1.45</v>
      </c>
      <c r="L187" s="14">
        <v>7.7716236023946936E-2</v>
      </c>
      <c r="M187" s="14">
        <v>91.690759432007738</v>
      </c>
      <c r="N187" s="2"/>
    </row>
    <row r="188" spans="11:14">
      <c r="K188" s="2">
        <v>1.46</v>
      </c>
      <c r="L188" s="14">
        <v>7.7257210209231666E-2</v>
      </c>
      <c r="M188" s="14">
        <v>91.427133890890531</v>
      </c>
      <c r="N188" s="2"/>
    </row>
    <row r="189" spans="11:14">
      <c r="K189" s="2">
        <v>1.47</v>
      </c>
      <c r="L189" s="14">
        <v>7.6805629010482129E-2</v>
      </c>
      <c r="M189" s="14">
        <v>91.166293025183052</v>
      </c>
      <c r="N189" s="2"/>
    </row>
    <row r="190" spans="11:14">
      <c r="K190" s="2">
        <v>1.48</v>
      </c>
      <c r="L190" s="14">
        <v>7.6361329892046248E-2</v>
      </c>
      <c r="M190" s="14">
        <v>90.908198578579558</v>
      </c>
      <c r="N190" s="2"/>
    </row>
    <row r="191" spans="11:14">
      <c r="K191" s="2">
        <v>1.49</v>
      </c>
      <c r="L191" s="14">
        <v>7.5924154786367951E-2</v>
      </c>
      <c r="M191" s="14">
        <v>90.652812869618515</v>
      </c>
      <c r="N191" s="2"/>
    </row>
    <row r="192" spans="11:14">
      <c r="K192" s="2">
        <v>1.5</v>
      </c>
      <c r="L192" s="14">
        <v>7.5493949947417691E-2</v>
      </c>
      <c r="M192" s="14">
        <v>90.400098786641749</v>
      </c>
      <c r="N192" s="2"/>
    </row>
    <row r="193" spans="11:14">
      <c r="K193" s="2">
        <v>1.51</v>
      </c>
      <c r="L193" s="14">
        <v>7.5070565809661483E-2</v>
      </c>
      <c r="M193" s="14">
        <v>90.150019782454848</v>
      </c>
      <c r="N193" s="2"/>
    </row>
    <row r="194" spans="11:14">
      <c r="K194" s="2">
        <v>1.52</v>
      </c>
      <c r="L194" s="14">
        <v>7.4653856852334527E-2</v>
      </c>
      <c r="M194" s="14">
        <v>89.90253986872348</v>
      </c>
      <c r="N194" s="2"/>
    </row>
    <row r="195" spans="11:14">
      <c r="K195" s="2">
        <v>1.53</v>
      </c>
      <c r="L195" s="14">
        <v>7.4243681468793066E-2</v>
      </c>
      <c r="M195" s="14">
        <v>89.657623610133371</v>
      </c>
      <c r="N195" s="2"/>
    </row>
    <row r="196" spans="11:14">
      <c r="K196" s="2">
        <v>1.54</v>
      </c>
      <c r="L196" s="14">
        <v>7.3839901840731803E-2</v>
      </c>
      <c r="M196" s="14">
        <v>89.415236118342875</v>
      </c>
      <c r="N196" s="2"/>
    </row>
    <row r="197" spans="11:14">
      <c r="K197" s="2">
        <v>1.55</v>
      </c>
      <c r="L197" s="14">
        <v>7.3442383817062903E-2</v>
      </c>
      <c r="M197" s="14">
        <v>89.175343045754246</v>
      </c>
      <c r="N197" s="2"/>
    </row>
    <row r="198" spans="11:14">
      <c r="K198" s="2">
        <v>1.56</v>
      </c>
      <c r="L198" s="14">
        <v>7.305099679726082E-2</v>
      </c>
      <c r="M198" s="14">
        <v>88.937910579125415</v>
      </c>
      <c r="N198" s="2"/>
    </row>
    <row r="199" spans="11:14">
      <c r="K199" s="2">
        <v>1.57</v>
      </c>
      <c r="L199" s="14">
        <v>7.2665613618989155E-2</v>
      </c>
      <c r="M199" s="14">
        <v>88.702905433046595</v>
      </c>
      <c r="N199" s="2"/>
    </row>
    <row r="200" spans="11:14">
      <c r="K200" s="2">
        <v>1.58</v>
      </c>
      <c r="L200" s="14">
        <v>7.2286110449831464E-2</v>
      </c>
      <c r="M200" s="14">
        <v>88.470294843300238</v>
      </c>
      <c r="N200" s="2"/>
    </row>
    <row r="201" spans="11:14">
      <c r="K201" s="2">
        <v>1.59</v>
      </c>
      <c r="L201" s="14">
        <v>7.191236668295721E-2</v>
      </c>
      <c r="M201" s="14">
        <v>88.240046560123616</v>
      </c>
      <c r="N201" s="2"/>
    </row>
    <row r="202" spans="11:14">
      <c r="K202" s="2">
        <v>1.6</v>
      </c>
      <c r="L202" s="14">
        <v>7.1544264836562135E-2</v>
      </c>
      <c r="M202" s="14">
        <v>88.012128841391188</v>
      </c>
      <c r="N202" s="2"/>
    </row>
    <row r="203" spans="11:14">
      <c r="K203" s="2">
        <v>1.61</v>
      </c>
      <c r="L203" s="14">
        <v>7.1181690456928681E-2</v>
      </c>
      <c r="M203" s="14">
        <v>87.786510445732546</v>
      </c>
      <c r="N203" s="2"/>
    </row>
    <row r="204" spans="11:14">
      <c r="K204" s="2">
        <v>1.62</v>
      </c>
      <c r="L204" s="14">
        <v>7.0824532024960141E-2</v>
      </c>
      <c r="M204" s="14">
        <v>87.563160625600815</v>
      </c>
      <c r="N204" s="2"/>
    </row>
    <row r="205" spans="11:14">
      <c r="K205" s="2">
        <v>1.63</v>
      </c>
      <c r="L205" s="14">
        <v>7.0472680866046994E-2</v>
      </c>
      <c r="M205" s="14">
        <v>87.342049120303869</v>
      </c>
      <c r="N205" s="2"/>
    </row>
    <row r="206" spans="11:14">
      <c r="K206" s="2">
        <v>1.64</v>
      </c>
      <c r="L206" s="14">
        <v>7.0126031063133476E-2</v>
      </c>
      <c r="M206" s="14">
        <v>87.123146149012797</v>
      </c>
      <c r="N206" s="2"/>
    </row>
    <row r="207" spans="11:14">
      <c r="K207" s="2">
        <v>1.65</v>
      </c>
      <c r="L207" s="14">
        <v>6.9784479372853842E-2</v>
      </c>
      <c r="M207" s="14">
        <v>86.906422403756238</v>
      </c>
      <c r="N207" s="2"/>
    </row>
    <row r="208" spans="11:14">
      <c r="K208" s="2">
        <v>1.66</v>
      </c>
      <c r="L208" s="14">
        <v>6.9447925144618006E-2</v>
      </c>
      <c r="M208" s="14">
        <v>86.691849042413125</v>
      </c>
      <c r="N208" s="2"/>
    </row>
    <row r="209" spans="11:14">
      <c r="K209" s="2">
        <v>1.67</v>
      </c>
      <c r="L209" s="14">
        <v>6.9116270242528366E-2</v>
      </c>
      <c r="M209" s="14">
        <v>86.479397681712484</v>
      </c>
      <c r="N209" s="2"/>
    </row>
    <row r="210" spans="11:14">
      <c r="K210" s="2">
        <v>1.68</v>
      </c>
      <c r="L210" s="14">
        <v>6.87894189700166E-2</v>
      </c>
      <c r="M210" s="14">
        <v>86.269040390248747</v>
      </c>
      <c r="N210" s="2"/>
    </row>
    <row r="211" spans="11:14">
      <c r="K211" s="2">
        <v>1.69</v>
      </c>
      <c r="L211" s="14">
        <v>6.8467277997092846E-2</v>
      </c>
      <c r="M211" s="14">
        <v>86.060749681520605</v>
      </c>
      <c r="N211" s="2"/>
    </row>
    <row r="212" spans="11:14">
      <c r="K212" s="2">
        <v>1.7</v>
      </c>
      <c r="L212" s="14">
        <v>6.8149756290106098E-2</v>
      </c>
      <c r="M212" s="14">
        <v>85.854498507001566</v>
      </c>
      <c r="N212" s="2"/>
    </row>
    <row r="213" spans="11:14">
      <c r="K213" s="2">
        <v>1.71</v>
      </c>
      <c r="L213" s="14">
        <v>6.7836765043916933E-2</v>
      </c>
      <c r="M213" s="14">
        <v>85.650260249247182</v>
      </c>
      <c r="N213" s="2"/>
    </row>
    <row r="214" spans="11:14">
      <c r="K214" s="2">
        <v>1.72</v>
      </c>
      <c r="L214" s="14">
        <v>6.7528217616389122E-2</v>
      </c>
      <c r="M214" s="14">
        <v>85.448008715045859</v>
      </c>
      <c r="N214" s="2"/>
    </row>
    <row r="215" spans="11:14">
      <c r="K215" s="2">
        <v>1.73</v>
      </c>
      <c r="L215" s="14">
        <v>6.7224029465111385E-2</v>
      </c>
      <c r="M215" s="14">
        <v>85.247718128618914</v>
      </c>
      <c r="N215" s="2"/>
    </row>
    <row r="216" spans="11:14">
      <c r="K216" s="2">
        <v>1.74</v>
      </c>
      <c r="L216" s="14">
        <v>6.6924118086262488E-2</v>
      </c>
      <c r="M216" s="14">
        <v>85.049363124873722</v>
      </c>
      <c r="N216" s="2"/>
    </row>
    <row r="217" spans="11:14">
      <c r="K217" s="2">
        <v>1.75</v>
      </c>
      <c r="L217" s="14">
        <v>6.6628402955538568E-2</v>
      </c>
      <c r="M217" s="14">
        <v>84.852918742715772</v>
      </c>
      <c r="N217" s="2"/>
    </row>
    <row r="218" spans="11:14">
      <c r="K218" s="2">
        <v>1.76</v>
      </c>
      <c r="L218" s="14">
        <v>6.633680547106309E-2</v>
      </c>
      <c r="M218" s="14">
        <v>84.658360418421765</v>
      </c>
      <c r="N218" s="2"/>
    </row>
    <row r="219" spans="11:14">
      <c r="K219" s="2">
        <v>1.77</v>
      </c>
      <c r="L219" s="14">
        <v>6.604924889820521E-2</v>
      </c>
      <c r="M219" s="14">
        <v>84.465663979079011</v>
      </c>
      <c r="N219" s="2"/>
    </row>
    <row r="220" spans="11:14">
      <c r="K220" s="2">
        <v>1.78</v>
      </c>
      <c r="L220" s="14">
        <v>6.5765658316233724E-2</v>
      </c>
      <c r="M220" s="14">
        <v>84.274805636093234</v>
      </c>
      <c r="N220" s="2"/>
    </row>
    <row r="221" spans="11:14">
      <c r="K221" s="2">
        <v>1.79</v>
      </c>
      <c r="L221" s="14">
        <v>6.5485960566737875E-2</v>
      </c>
      <c r="M221" s="14">
        <v>84.085761978767749</v>
      </c>
      <c r="N221" s="2"/>
    </row>
    <row r="222" spans="11:14">
      <c r="K222" s="2">
        <v>1.8</v>
      </c>
      <c r="L222" s="14">
        <v>6.521008420374888E-2</v>
      </c>
      <c r="M222" s="14">
        <v>83.898509967956812</v>
      </c>
      <c r="N222" s="2"/>
    </row>
    <row r="223" spans="11:14">
      <c r="K223" s="2">
        <v>1.81</v>
      </c>
      <c r="L223" s="14">
        <v>6.4937959445498378E-2</v>
      </c>
      <c r="M223" s="14">
        <v>83.713026929794751</v>
      </c>
      <c r="N223" s="2"/>
    </row>
    <row r="224" spans="11:14">
      <c r="K224" s="2">
        <v>1.82</v>
      </c>
      <c r="L224" s="14">
        <v>6.4669518127753539E-2</v>
      </c>
      <c r="M224" s="14">
        <v>83.52929054950306</v>
      </c>
      <c r="N224" s="2"/>
    </row>
    <row r="225" spans="11:14">
      <c r="K225" s="2">
        <v>1.83</v>
      </c>
      <c r="L225" s="14">
        <v>6.4404693658670187E-2</v>
      </c>
      <c r="M225" s="14">
        <v>83.347278865277104</v>
      </c>
      <c r="N225" s="2"/>
    </row>
    <row r="226" spans="11:14">
      <c r="K226" s="2">
        <v>1.84</v>
      </c>
      <c r="L226" s="14">
        <v>6.4143420975108112E-2</v>
      </c>
      <c r="M226" s="14">
        <v>83.166970262253599</v>
      </c>
      <c r="N226" s="2"/>
    </row>
    <row r="227" spans="11:14">
      <c r="K227" s="2">
        <v>1.85</v>
      </c>
      <c r="L227" s="14">
        <v>6.3885636500355239E-2</v>
      </c>
      <c r="M227" s="14">
        <v>82.988343466560138</v>
      </c>
      <c r="N227" s="2"/>
    </row>
    <row r="228" spans="11:14">
      <c r="K228" s="2">
        <v>1.86</v>
      </c>
      <c r="L228" s="14">
        <v>6.3631278103208525E-2</v>
      </c>
      <c r="M228" s="14">
        <v>82.811377539447264</v>
      </c>
      <c r="N228" s="2"/>
    </row>
    <row r="229" spans="11:14">
      <c r="K229" s="2">
        <v>1.87</v>
      </c>
      <c r="L229" s="14">
        <v>6.3380285058363184E-2</v>
      </c>
      <c r="M229" s="14">
        <v>82.636051871504648</v>
      </c>
      <c r="N229" s="2"/>
    </row>
    <row r="230" spans="11:14">
      <c r="K230" s="2">
        <v>1.88</v>
      </c>
      <c r="L230" s="14">
        <v>6.3132598008062438E-2</v>
      </c>
      <c r="M230" s="14">
        <v>82.46234617696129</v>
      </c>
      <c r="N230" s="2"/>
    </row>
    <row r="231" spans="11:14">
      <c r="K231" s="2">
        <v>1.89</v>
      </c>
      <c r="L231" s="14">
        <v>6.288815892496194E-2</v>
      </c>
      <c r="M231" s="14">
        <v>82.290240488070026</v>
      </c>
      <c r="N231" s="2"/>
    </row>
    <row r="232" spans="11:14">
      <c r="K232" s="2">
        <v>1.9</v>
      </c>
      <c r="L232" s="14">
        <v>6.2646911076166253E-2</v>
      </c>
      <c r="M232" s="14">
        <v>82.119715149577132</v>
      </c>
      <c r="N232" s="2"/>
    </row>
    <row r="233" spans="11:14">
      <c r="K233" s="2">
        <v>1.91</v>
      </c>
      <c r="L233" s="14">
        <v>6.2408798988394708E-2</v>
      </c>
      <c r="M233" s="14">
        <v>81.950750813277068</v>
      </c>
      <c r="N233" s="2"/>
    </row>
    <row r="234" spans="11:14">
      <c r="K234" s="2">
        <v>1.92</v>
      </c>
      <c r="L234" s="14">
        <v>6.2173768414236351E-2</v>
      </c>
      <c r="M234" s="14">
        <v>81.783328432651246</v>
      </c>
      <c r="N234" s="2"/>
    </row>
    <row r="235" spans="11:14">
      <c r="K235" s="2">
        <v>1.93</v>
      </c>
      <c r="L235" s="14">
        <v>6.1941766299456531E-2</v>
      </c>
      <c r="M235" s="14">
        <v>81.617429257592875</v>
      </c>
      <c r="N235" s="2"/>
    </row>
    <row r="236" spans="11:14">
      <c r="K236" s="2">
        <v>1.94</v>
      </c>
      <c r="L236" s="14">
        <v>6.1712740751316587E-2</v>
      </c>
      <c r="M236" s="14">
        <v>81.453034829215468</v>
      </c>
      <c r="N236" s="2"/>
    </row>
    <row r="237" spans="11:14">
      <c r="K237" s="2">
        <v>1.95</v>
      </c>
      <c r="L237" s="14">
        <v>6.148664100787158E-2</v>
      </c>
      <c r="M237" s="14">
        <v>81.290126974745604</v>
      </c>
      <c r="N237" s="2"/>
    </row>
    <row r="238" spans="11:14">
      <c r="K238" s="2">
        <v>1.96</v>
      </c>
      <c r="L238" s="14">
        <v>6.1263417408212395E-2</v>
      </c>
      <c r="M238" s="14">
        <v>81.128687802500039</v>
      </c>
      <c r="N238" s="2"/>
    </row>
    <row r="239" spans="11:14">
      <c r="K239" s="2">
        <v>1.97</v>
      </c>
      <c r="L239" s="14">
        <v>6.1043021363618201E-2</v>
      </c>
      <c r="M239" s="14">
        <v>80.968699696945436</v>
      </c>
      <c r="N239" s="2"/>
    </row>
    <row r="240" spans="11:14">
      <c r="K240" s="2">
        <v>1.98</v>
      </c>
      <c r="L240" s="14">
        <v>6.0825405329589036E-2</v>
      </c>
      <c r="M240" s="14">
        <v>80.810145313841844</v>
      </c>
      <c r="N240" s="2"/>
    </row>
    <row r="241" spans="11:14">
      <c r="K241" s="2">
        <v>1.99</v>
      </c>
      <c r="L241" s="14">
        <v>6.0610522778726215E-2</v>
      </c>
      <c r="M241" s="14">
        <v>80.653007575466916</v>
      </c>
      <c r="N241" s="2"/>
    </row>
    <row r="242" spans="11:14">
      <c r="K242" s="2">
        <v>2</v>
      </c>
      <c r="L242" s="14">
        <v>6.0398328174433684E-2</v>
      </c>
      <c r="M242" s="14">
        <v>80.497269665923113</v>
      </c>
      <c r="N242" s="2"/>
    </row>
  </sheetData>
  <phoneticPr fontId="3" type="noConversion"/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pane ySplit="14" topLeftCell="A15" activePane="bottomLeft" state="frozen"/>
      <selection pane="bottomLeft" activeCell="H17" sqref="H17"/>
    </sheetView>
  </sheetViews>
  <sheetFormatPr baseColWidth="10" defaultRowHeight="15" x14ac:dyDescent="0"/>
  <cols>
    <col min="1" max="5" width="10.83203125" style="109"/>
    <col min="6" max="6" width="4.5" style="109" customWidth="1"/>
    <col min="7" max="13" width="10.83203125" style="109"/>
    <col min="14" max="14" width="3.5" style="109" customWidth="1"/>
    <col min="15" max="20" width="10.83203125" style="109"/>
  </cols>
  <sheetData>
    <row r="1" spans="1:14" ht="16" thickBot="1">
      <c r="A1" s="151" t="s">
        <v>6</v>
      </c>
      <c r="B1" s="152"/>
      <c r="D1" s="153" t="s">
        <v>48</v>
      </c>
      <c r="E1" s="154"/>
      <c r="F1" s="154"/>
      <c r="G1" s="154"/>
      <c r="H1" s="154"/>
      <c r="I1" s="154"/>
      <c r="J1" s="154"/>
      <c r="K1" s="154"/>
      <c r="L1" s="154"/>
      <c r="M1" s="154"/>
      <c r="N1" s="155"/>
    </row>
    <row r="2" spans="1:14" ht="14" customHeight="1" thickTop="1">
      <c r="A2" s="156" t="s">
        <v>10</v>
      </c>
      <c r="B2" s="199">
        <v>973.2</v>
      </c>
      <c r="D2" s="158" t="s">
        <v>103</v>
      </c>
      <c r="E2" s="159"/>
      <c r="F2" s="159"/>
      <c r="G2" s="159"/>
      <c r="H2" s="159"/>
      <c r="I2" s="159"/>
      <c r="J2" s="159"/>
      <c r="K2" s="159"/>
      <c r="L2" s="159"/>
      <c r="M2" s="159"/>
      <c r="N2" s="160"/>
    </row>
    <row r="3" spans="1:14" ht="14" customHeight="1">
      <c r="A3" s="156" t="s">
        <v>11</v>
      </c>
      <c r="B3" s="201">
        <v>0.12740000000000001</v>
      </c>
      <c r="D3" s="161" t="s">
        <v>89</v>
      </c>
      <c r="E3" s="162"/>
      <c r="F3" s="162"/>
      <c r="G3" s="162"/>
      <c r="H3" s="162"/>
      <c r="I3" s="162"/>
      <c r="J3" s="162"/>
      <c r="K3" s="162"/>
      <c r="L3" s="162"/>
      <c r="M3" s="162"/>
      <c r="N3" s="163"/>
    </row>
    <row r="4" spans="1:14" ht="14" customHeight="1">
      <c r="A4" s="156" t="s">
        <v>12</v>
      </c>
      <c r="B4" s="199">
        <v>-0.34310000000000002</v>
      </c>
      <c r="D4" s="164" t="s">
        <v>97</v>
      </c>
      <c r="E4" s="165"/>
      <c r="F4" s="165"/>
      <c r="G4" s="165"/>
      <c r="H4" s="165"/>
      <c r="I4" s="165"/>
      <c r="J4" s="165"/>
      <c r="K4" s="165"/>
      <c r="L4" s="165"/>
      <c r="M4" s="165"/>
      <c r="N4" s="166"/>
    </row>
    <row r="5" spans="1:14" ht="14" customHeight="1" thickBot="1">
      <c r="A5" s="167" t="s">
        <v>16</v>
      </c>
      <c r="B5" s="199">
        <v>0.222</v>
      </c>
      <c r="D5" s="168" t="s">
        <v>55</v>
      </c>
      <c r="E5" s="169"/>
      <c r="F5" s="169"/>
      <c r="G5" s="169"/>
      <c r="H5" s="169"/>
      <c r="I5" s="169"/>
      <c r="J5" s="169"/>
      <c r="K5" s="169"/>
      <c r="L5" s="169"/>
      <c r="M5" s="169"/>
      <c r="N5" s="157"/>
    </row>
    <row r="6" spans="1:14" ht="14" customHeight="1">
      <c r="D6" s="158" t="s">
        <v>58</v>
      </c>
      <c r="E6" s="159"/>
      <c r="F6" s="159"/>
      <c r="G6" s="170"/>
      <c r="H6" s="159"/>
      <c r="I6" s="159"/>
      <c r="J6" s="159"/>
      <c r="K6" s="159"/>
      <c r="L6" s="159"/>
      <c r="M6" s="159"/>
      <c r="N6" s="160"/>
    </row>
    <row r="7" spans="1:14" ht="14" customHeight="1">
      <c r="D7" s="171" t="s">
        <v>98</v>
      </c>
      <c r="E7" s="172"/>
      <c r="F7" s="172"/>
      <c r="G7" s="172"/>
      <c r="H7" s="172"/>
      <c r="I7" s="172"/>
      <c r="J7" s="172"/>
      <c r="K7" s="172"/>
      <c r="L7" s="172"/>
      <c r="M7" s="172"/>
      <c r="N7" s="173"/>
    </row>
    <row r="8" spans="1:14" ht="14" customHeight="1">
      <c r="D8" s="174" t="s">
        <v>95</v>
      </c>
      <c r="E8" s="175"/>
      <c r="F8" s="175"/>
      <c r="G8" s="175"/>
      <c r="H8" s="175"/>
      <c r="I8" s="175"/>
      <c r="J8" s="175"/>
      <c r="K8" s="175"/>
      <c r="L8" s="175"/>
      <c r="M8" s="175"/>
      <c r="N8" s="176"/>
    </row>
    <row r="9" spans="1:14" ht="14" customHeight="1">
      <c r="D9" s="177" t="s">
        <v>96</v>
      </c>
      <c r="E9" s="178"/>
      <c r="F9" s="178"/>
      <c r="G9" s="178"/>
      <c r="H9" s="178"/>
      <c r="I9" s="178"/>
      <c r="J9" s="178"/>
      <c r="K9" s="178"/>
      <c r="L9" s="178"/>
      <c r="M9" s="178"/>
      <c r="N9" s="179"/>
    </row>
    <row r="10" spans="1:14" ht="14" customHeight="1">
      <c r="D10" s="177" t="s">
        <v>59</v>
      </c>
      <c r="E10" s="178"/>
      <c r="F10" s="178"/>
      <c r="G10" s="178"/>
      <c r="H10" s="178"/>
      <c r="I10" s="178"/>
      <c r="J10" s="178"/>
      <c r="K10" s="178"/>
      <c r="L10" s="178"/>
      <c r="M10" s="178"/>
      <c r="N10" s="179"/>
    </row>
    <row r="11" spans="1:14" ht="14" customHeight="1">
      <c r="D11" s="180" t="s">
        <v>60</v>
      </c>
      <c r="E11" s="181"/>
      <c r="F11" s="181"/>
      <c r="G11" s="181"/>
      <c r="H11" s="181"/>
      <c r="I11" s="181"/>
      <c r="J11" s="181"/>
      <c r="K11" s="181"/>
      <c r="L11" s="181"/>
      <c r="M11" s="181"/>
      <c r="N11" s="182"/>
    </row>
    <row r="12" spans="1:14" ht="16" thickBot="1">
      <c r="D12" s="183"/>
      <c r="E12" s="184"/>
      <c r="F12" s="184"/>
      <c r="G12" s="184"/>
      <c r="H12" s="184"/>
      <c r="I12" s="184"/>
      <c r="J12" s="184"/>
      <c r="K12" s="184"/>
      <c r="L12" s="184"/>
      <c r="M12" s="184"/>
      <c r="N12" s="185"/>
    </row>
    <row r="14" spans="1:14" ht="51" customHeight="1" thickBot="1">
      <c r="A14" s="186" t="s">
        <v>45</v>
      </c>
      <c r="B14" s="186" t="s">
        <v>43</v>
      </c>
      <c r="C14" s="187" t="s">
        <v>44</v>
      </c>
      <c r="D14" s="187" t="s">
        <v>46</v>
      </c>
      <c r="E14" s="187" t="s">
        <v>47</v>
      </c>
      <c r="F14" s="188"/>
      <c r="G14" s="189" t="s">
        <v>49</v>
      </c>
      <c r="H14" s="189" t="s">
        <v>54</v>
      </c>
      <c r="I14" s="190" t="s">
        <v>56</v>
      </c>
      <c r="J14" s="191" t="s">
        <v>57</v>
      </c>
    </row>
    <row r="15" spans="1:14" ht="16" thickTop="1">
      <c r="A15">
        <v>5</v>
      </c>
      <c r="B15">
        <v>0</v>
      </c>
      <c r="C15" s="109">
        <f t="shared" ref="C15:C46" si="0">ROUND((1/k_CC)*LN(1/(1-($A15/Linf_CC)))+t0_CC,0)</f>
        <v>0</v>
      </c>
      <c r="D15" s="109">
        <v>0</v>
      </c>
      <c r="E15" s="192">
        <f>SUMIF($C$15:$C$114,"="&amp;$D15,$B$15:$B$114)</f>
        <v>1</v>
      </c>
      <c r="G15" s="109">
        <v>0</v>
      </c>
      <c r="H15" s="192">
        <f>SUMIF($C$15:$C$114,"="&amp;$D15,$B$15:$B$144)</f>
        <v>1</v>
      </c>
      <c r="I15" s="109">
        <f t="shared" ref="I15:J36" si="1">LN($H15)</f>
        <v>0</v>
      </c>
    </row>
    <row r="16" spans="1:14">
      <c r="A16">
        <v>15</v>
      </c>
      <c r="B16">
        <v>0</v>
      </c>
      <c r="C16" s="109">
        <f t="shared" si="0"/>
        <v>0</v>
      </c>
      <c r="D16" s="109">
        <v>1</v>
      </c>
      <c r="E16" s="192">
        <f t="shared" ref="E16:E79" si="2">SUMIF($C$15:$C$114,"="&amp;$D16,$B$15:$B$114)</f>
        <v>1</v>
      </c>
      <c r="G16" s="109">
        <v>1</v>
      </c>
      <c r="H16" s="192">
        <f t="shared" ref="H16:H79" si="3">SUMIF($C$15:$C$114,"="&amp;$D16,$B$15:$B$144)</f>
        <v>1</v>
      </c>
      <c r="I16" s="109">
        <f t="shared" si="1"/>
        <v>0</v>
      </c>
    </row>
    <row r="17" spans="1:20">
      <c r="A17">
        <v>25</v>
      </c>
      <c r="B17">
        <v>0</v>
      </c>
      <c r="C17" s="109">
        <f t="shared" si="0"/>
        <v>0</v>
      </c>
      <c r="D17" s="109">
        <v>2</v>
      </c>
      <c r="E17" s="192">
        <f t="shared" si="2"/>
        <v>447</v>
      </c>
      <c r="G17" s="109">
        <v>2</v>
      </c>
      <c r="H17" s="192">
        <f t="shared" si="3"/>
        <v>447</v>
      </c>
      <c r="I17" s="109">
        <f t="shared" si="1"/>
        <v>6.1025585946135692</v>
      </c>
      <c r="J17" s="109">
        <f t="shared" si="1"/>
        <v>6.1025585946135692</v>
      </c>
    </row>
    <row r="18" spans="1:20">
      <c r="A18">
        <v>35</v>
      </c>
      <c r="B18">
        <v>0</v>
      </c>
      <c r="C18" s="109">
        <f t="shared" si="0"/>
        <v>0</v>
      </c>
      <c r="D18" s="109">
        <v>3</v>
      </c>
      <c r="E18" s="192">
        <f t="shared" si="2"/>
        <v>198</v>
      </c>
      <c r="G18" s="109">
        <v>3</v>
      </c>
      <c r="H18" s="192">
        <f t="shared" si="3"/>
        <v>198</v>
      </c>
      <c r="I18" s="109">
        <f t="shared" si="1"/>
        <v>5.2882670306945352</v>
      </c>
      <c r="J18" s="109">
        <f t="shared" si="1"/>
        <v>5.2882670306945352</v>
      </c>
    </row>
    <row r="19" spans="1:20" ht="16" thickBot="1">
      <c r="A19">
        <v>45</v>
      </c>
      <c r="B19">
        <v>0</v>
      </c>
      <c r="C19" s="109">
        <f t="shared" si="0"/>
        <v>0</v>
      </c>
      <c r="D19" s="109">
        <v>4</v>
      </c>
      <c r="E19" s="192">
        <f t="shared" si="2"/>
        <v>164</v>
      </c>
      <c r="G19" s="109">
        <v>4</v>
      </c>
      <c r="H19" s="192">
        <f t="shared" si="3"/>
        <v>164</v>
      </c>
      <c r="I19" s="109">
        <f t="shared" si="1"/>
        <v>5.0998664278241987</v>
      </c>
      <c r="J19" s="109">
        <f t="shared" si="1"/>
        <v>5.0998664278241987</v>
      </c>
    </row>
    <row r="20" spans="1:20">
      <c r="A20">
        <v>55</v>
      </c>
      <c r="B20">
        <v>1</v>
      </c>
      <c r="C20" s="109">
        <f t="shared" si="0"/>
        <v>0</v>
      </c>
      <c r="D20" s="109">
        <v>5</v>
      </c>
      <c r="E20" s="192">
        <f t="shared" si="2"/>
        <v>73</v>
      </c>
      <c r="G20" s="109">
        <v>5</v>
      </c>
      <c r="H20" s="192">
        <f t="shared" si="3"/>
        <v>73</v>
      </c>
      <c r="I20" s="109">
        <f t="shared" si="1"/>
        <v>4.290459441148391</v>
      </c>
      <c r="J20" s="109">
        <f t="shared" si="1"/>
        <v>4.290459441148391</v>
      </c>
      <c r="L20" s="193" t="s">
        <v>52</v>
      </c>
      <c r="M20" s="194" t="s">
        <v>53</v>
      </c>
    </row>
    <row r="21" spans="1:20" ht="16" thickBot="1">
      <c r="A21">
        <v>65</v>
      </c>
      <c r="B21">
        <v>0</v>
      </c>
      <c r="C21" s="109">
        <f t="shared" si="0"/>
        <v>0</v>
      </c>
      <c r="D21" s="109">
        <v>6</v>
      </c>
      <c r="E21" s="192">
        <f t="shared" si="2"/>
        <v>49</v>
      </c>
      <c r="G21" s="109">
        <v>6</v>
      </c>
      <c r="H21" s="192">
        <f t="shared" si="3"/>
        <v>49</v>
      </c>
      <c r="I21" s="109">
        <f t="shared" si="1"/>
        <v>3.8918202981106265</v>
      </c>
      <c r="J21" s="109">
        <f t="shared" si="1"/>
        <v>3.8918202981106265</v>
      </c>
      <c r="L21" s="195">
        <v>0.4279</v>
      </c>
      <c r="M21" s="196">
        <f>Z_CC-M_CC</f>
        <v>0.2059</v>
      </c>
      <c r="O21" s="197"/>
      <c r="P21" s="197"/>
      <c r="Q21" s="197"/>
      <c r="R21" s="197"/>
      <c r="S21" s="197"/>
      <c r="T21" s="197"/>
    </row>
    <row r="22" spans="1:20">
      <c r="A22">
        <v>75</v>
      </c>
      <c r="B22">
        <v>0</v>
      </c>
      <c r="C22" s="109">
        <f t="shared" si="0"/>
        <v>0</v>
      </c>
      <c r="D22" s="109">
        <v>7</v>
      </c>
      <c r="E22" s="192">
        <f t="shared" si="2"/>
        <v>16</v>
      </c>
      <c r="G22" s="109">
        <v>7</v>
      </c>
      <c r="H22" s="192">
        <f t="shared" si="3"/>
        <v>16</v>
      </c>
      <c r="I22" s="109">
        <f t="shared" si="1"/>
        <v>2.7725887222397811</v>
      </c>
      <c r="J22" s="109">
        <f t="shared" si="1"/>
        <v>2.7725887222397811</v>
      </c>
      <c r="O22" s="197"/>
      <c r="P22" s="197"/>
      <c r="Q22" s="197"/>
      <c r="R22" s="197"/>
      <c r="S22" s="197"/>
      <c r="T22" s="197"/>
    </row>
    <row r="23" spans="1:20">
      <c r="A23">
        <v>85</v>
      </c>
      <c r="B23">
        <v>0</v>
      </c>
      <c r="C23" s="109">
        <f t="shared" si="0"/>
        <v>0</v>
      </c>
      <c r="D23" s="109">
        <v>8</v>
      </c>
      <c r="E23" s="192">
        <f t="shared" si="2"/>
        <v>16</v>
      </c>
      <c r="G23" s="109">
        <v>8</v>
      </c>
      <c r="H23" s="192">
        <f t="shared" si="3"/>
        <v>16</v>
      </c>
      <c r="I23" s="109">
        <f t="shared" si="1"/>
        <v>2.7725887222397811</v>
      </c>
      <c r="J23" s="109">
        <f t="shared" si="1"/>
        <v>2.7725887222397811</v>
      </c>
      <c r="O23" s="197"/>
      <c r="P23" s="197"/>
      <c r="Q23" s="197"/>
      <c r="R23" s="197"/>
      <c r="S23" s="197"/>
      <c r="T23" s="197"/>
    </row>
    <row r="24" spans="1:20">
      <c r="A24">
        <v>95</v>
      </c>
      <c r="B24">
        <v>0</v>
      </c>
      <c r="C24" s="109">
        <f t="shared" si="0"/>
        <v>0</v>
      </c>
      <c r="D24" s="109">
        <v>9</v>
      </c>
      <c r="E24" s="192">
        <f t="shared" si="2"/>
        <v>13</v>
      </c>
      <c r="G24" s="109">
        <v>9</v>
      </c>
      <c r="H24" s="192">
        <f t="shared" si="3"/>
        <v>13</v>
      </c>
      <c r="I24" s="109">
        <f t="shared" si="1"/>
        <v>2.5649493574615367</v>
      </c>
      <c r="J24" s="109">
        <f t="shared" si="1"/>
        <v>2.5649493574615367</v>
      </c>
      <c r="O24" s="197"/>
      <c r="P24" s="197"/>
      <c r="Q24" s="197"/>
      <c r="R24" s="197"/>
      <c r="S24" s="197"/>
      <c r="T24" s="197"/>
    </row>
    <row r="25" spans="1:20">
      <c r="A25">
        <v>105</v>
      </c>
      <c r="B25">
        <v>0</v>
      </c>
      <c r="C25" s="109">
        <f t="shared" si="0"/>
        <v>1</v>
      </c>
      <c r="D25" s="109">
        <v>10</v>
      </c>
      <c r="E25" s="192">
        <f t="shared" si="2"/>
        <v>8</v>
      </c>
      <c r="G25" s="109">
        <v>10</v>
      </c>
      <c r="H25" s="192">
        <f t="shared" si="3"/>
        <v>8</v>
      </c>
      <c r="I25" s="109">
        <f t="shared" si="1"/>
        <v>2.0794415416798357</v>
      </c>
      <c r="J25" s="109">
        <f t="shared" si="1"/>
        <v>2.0794415416798357</v>
      </c>
      <c r="O25" s="197"/>
      <c r="P25" s="197"/>
      <c r="Q25" s="197"/>
      <c r="R25" s="197"/>
      <c r="S25" s="197"/>
      <c r="T25" s="197"/>
    </row>
    <row r="26" spans="1:20">
      <c r="A26">
        <v>115</v>
      </c>
      <c r="B26">
        <v>0</v>
      </c>
      <c r="C26" s="109">
        <f t="shared" si="0"/>
        <v>1</v>
      </c>
      <c r="D26" s="109">
        <v>11</v>
      </c>
      <c r="E26" s="192">
        <f t="shared" si="2"/>
        <v>8</v>
      </c>
      <c r="G26" s="109">
        <v>11</v>
      </c>
      <c r="H26" s="192">
        <f t="shared" si="3"/>
        <v>8</v>
      </c>
      <c r="I26" s="109">
        <f t="shared" si="1"/>
        <v>2.0794415416798357</v>
      </c>
      <c r="J26" s="109">
        <f t="shared" si="1"/>
        <v>2.0794415416798357</v>
      </c>
      <c r="O26" s="197"/>
      <c r="P26" s="197"/>
      <c r="Q26" s="197"/>
      <c r="R26" s="197"/>
      <c r="S26" s="197"/>
      <c r="T26" s="197"/>
    </row>
    <row r="27" spans="1:20">
      <c r="A27">
        <v>125</v>
      </c>
      <c r="B27">
        <v>0</v>
      </c>
      <c r="C27" s="109">
        <f t="shared" si="0"/>
        <v>1</v>
      </c>
      <c r="D27" s="109">
        <v>12</v>
      </c>
      <c r="E27" s="192">
        <f t="shared" si="2"/>
        <v>0</v>
      </c>
      <c r="G27" s="109">
        <v>12</v>
      </c>
      <c r="H27" s="192">
        <f t="shared" si="3"/>
        <v>0</v>
      </c>
      <c r="I27" s="109" t="e">
        <f t="shared" si="1"/>
        <v>#NUM!</v>
      </c>
      <c r="J27" s="109" t="e">
        <f t="shared" si="1"/>
        <v>#NUM!</v>
      </c>
      <c r="O27" s="197"/>
      <c r="P27" s="197"/>
      <c r="Q27" s="197"/>
      <c r="R27" s="197"/>
      <c r="S27" s="197"/>
      <c r="T27" s="197"/>
    </row>
    <row r="28" spans="1:20">
      <c r="A28">
        <v>135</v>
      </c>
      <c r="B28">
        <v>0</v>
      </c>
      <c r="C28" s="109">
        <f t="shared" si="0"/>
        <v>1</v>
      </c>
      <c r="D28" s="109">
        <v>13</v>
      </c>
      <c r="E28" s="192">
        <f t="shared" si="2"/>
        <v>3</v>
      </c>
      <c r="G28" s="109">
        <v>13</v>
      </c>
      <c r="H28" s="192">
        <f t="shared" si="3"/>
        <v>3</v>
      </c>
      <c r="I28" s="109">
        <f t="shared" si="1"/>
        <v>1.0986122886681098</v>
      </c>
      <c r="J28" s="109">
        <f t="shared" si="1"/>
        <v>1.0986122886681098</v>
      </c>
      <c r="O28" s="197"/>
      <c r="P28" s="197"/>
      <c r="Q28" s="197"/>
      <c r="R28" s="197"/>
      <c r="S28" s="197"/>
      <c r="T28" s="197"/>
    </row>
    <row r="29" spans="1:20">
      <c r="A29">
        <v>145</v>
      </c>
      <c r="B29">
        <v>0</v>
      </c>
      <c r="C29" s="109">
        <f t="shared" si="0"/>
        <v>1</v>
      </c>
      <c r="D29" s="109">
        <v>14</v>
      </c>
      <c r="E29" s="192">
        <f t="shared" si="2"/>
        <v>0</v>
      </c>
      <c r="G29" s="109">
        <v>14</v>
      </c>
      <c r="H29" s="192">
        <f t="shared" si="3"/>
        <v>0</v>
      </c>
      <c r="I29" s="109" t="e">
        <f t="shared" si="1"/>
        <v>#NUM!</v>
      </c>
      <c r="J29" s="109" t="e">
        <f t="shared" si="1"/>
        <v>#NUM!</v>
      </c>
      <c r="O29" s="197"/>
      <c r="P29" s="197"/>
      <c r="Q29" s="197"/>
      <c r="R29" s="197"/>
      <c r="S29" s="197"/>
      <c r="T29" s="197"/>
    </row>
    <row r="30" spans="1:20">
      <c r="A30">
        <v>155</v>
      </c>
      <c r="B30">
        <v>0</v>
      </c>
      <c r="C30" s="109">
        <f t="shared" si="0"/>
        <v>1</v>
      </c>
      <c r="D30" s="109">
        <v>15</v>
      </c>
      <c r="E30" s="192">
        <f t="shared" si="2"/>
        <v>0</v>
      </c>
      <c r="G30" s="109">
        <v>15</v>
      </c>
      <c r="H30" s="192">
        <f t="shared" si="3"/>
        <v>0</v>
      </c>
      <c r="I30" s="109" t="e">
        <f t="shared" si="1"/>
        <v>#NUM!</v>
      </c>
      <c r="J30" s="109" t="e">
        <f t="shared" si="1"/>
        <v>#NUM!</v>
      </c>
      <c r="O30" s="197"/>
      <c r="P30" s="197"/>
      <c r="Q30" s="197"/>
      <c r="R30" s="197"/>
      <c r="S30" s="197"/>
      <c r="T30" s="197"/>
    </row>
    <row r="31" spans="1:20">
      <c r="A31">
        <v>165</v>
      </c>
      <c r="B31">
        <v>0</v>
      </c>
      <c r="C31" s="109">
        <f t="shared" si="0"/>
        <v>1</v>
      </c>
      <c r="D31" s="109">
        <v>16</v>
      </c>
      <c r="E31" s="192">
        <f t="shared" si="2"/>
        <v>0</v>
      </c>
      <c r="G31" s="109">
        <v>16</v>
      </c>
      <c r="H31" s="192">
        <f t="shared" si="3"/>
        <v>0</v>
      </c>
      <c r="I31" s="109" t="e">
        <f t="shared" si="1"/>
        <v>#NUM!</v>
      </c>
      <c r="J31" s="109" t="e">
        <f t="shared" si="1"/>
        <v>#NUM!</v>
      </c>
      <c r="O31" s="197"/>
      <c r="P31" s="197"/>
      <c r="Q31" s="197"/>
      <c r="R31" s="197"/>
      <c r="S31" s="197"/>
      <c r="T31" s="197"/>
    </row>
    <row r="32" spans="1:20">
      <c r="A32">
        <v>175</v>
      </c>
      <c r="B32">
        <v>1</v>
      </c>
      <c r="C32" s="109">
        <f t="shared" si="0"/>
        <v>1</v>
      </c>
      <c r="D32" s="109">
        <v>17</v>
      </c>
      <c r="E32" s="192">
        <f t="shared" si="2"/>
        <v>1</v>
      </c>
      <c r="G32" s="109">
        <v>17</v>
      </c>
      <c r="H32" s="192">
        <f t="shared" si="3"/>
        <v>1</v>
      </c>
      <c r="I32" s="109">
        <f t="shared" si="1"/>
        <v>0</v>
      </c>
      <c r="J32" s="109">
        <f t="shared" si="1"/>
        <v>0</v>
      </c>
      <c r="O32" s="197"/>
      <c r="P32" s="197"/>
      <c r="Q32" s="197"/>
      <c r="R32" s="197"/>
      <c r="S32" s="197"/>
      <c r="T32" s="197"/>
    </row>
    <row r="33" spans="1:20">
      <c r="A33">
        <v>185</v>
      </c>
      <c r="B33">
        <v>0</v>
      </c>
      <c r="C33" s="109">
        <f t="shared" si="0"/>
        <v>1</v>
      </c>
      <c r="D33" s="109">
        <v>18</v>
      </c>
      <c r="E33" s="192">
        <f t="shared" si="2"/>
        <v>0</v>
      </c>
      <c r="G33" s="109">
        <v>18</v>
      </c>
      <c r="H33" s="192">
        <f t="shared" si="3"/>
        <v>0</v>
      </c>
      <c r="I33" s="109" t="e">
        <f t="shared" si="1"/>
        <v>#NUM!</v>
      </c>
      <c r="J33" s="109" t="e">
        <f t="shared" si="1"/>
        <v>#NUM!</v>
      </c>
      <c r="O33" s="197"/>
      <c r="P33" s="197"/>
      <c r="Q33" s="197"/>
      <c r="R33" s="197"/>
      <c r="S33" s="197"/>
      <c r="T33" s="197"/>
    </row>
    <row r="34" spans="1:20">
      <c r="A34">
        <v>195</v>
      </c>
      <c r="B34">
        <v>0</v>
      </c>
      <c r="C34" s="109">
        <f t="shared" si="0"/>
        <v>1</v>
      </c>
      <c r="D34" s="109">
        <v>19</v>
      </c>
      <c r="E34" s="192">
        <f t="shared" si="2"/>
        <v>0</v>
      </c>
      <c r="G34" s="109">
        <v>19</v>
      </c>
      <c r="H34" s="192">
        <f t="shared" si="3"/>
        <v>0</v>
      </c>
      <c r="I34" s="109" t="e">
        <f t="shared" si="1"/>
        <v>#NUM!</v>
      </c>
      <c r="J34" s="109" t="e">
        <f t="shared" si="1"/>
        <v>#NUM!</v>
      </c>
      <c r="O34" s="197"/>
      <c r="P34" s="197"/>
      <c r="Q34" s="197"/>
      <c r="R34" s="197"/>
      <c r="S34" s="197"/>
      <c r="T34" s="197"/>
    </row>
    <row r="35" spans="1:20">
      <c r="A35">
        <v>205</v>
      </c>
      <c r="B35">
        <v>2</v>
      </c>
      <c r="C35" s="109">
        <f t="shared" si="0"/>
        <v>2</v>
      </c>
      <c r="D35" s="109">
        <v>20</v>
      </c>
      <c r="E35" s="192">
        <f t="shared" si="2"/>
        <v>0</v>
      </c>
      <c r="G35" s="109">
        <v>20</v>
      </c>
      <c r="H35" s="192">
        <f t="shared" si="3"/>
        <v>0</v>
      </c>
      <c r="I35" s="109" t="e">
        <f t="shared" si="1"/>
        <v>#NUM!</v>
      </c>
      <c r="J35" s="109" t="e">
        <f t="shared" si="1"/>
        <v>#NUM!</v>
      </c>
      <c r="O35" s="197"/>
      <c r="P35" s="197"/>
      <c r="Q35" s="197"/>
      <c r="R35" s="197"/>
      <c r="S35" s="197"/>
      <c r="T35" s="197"/>
    </row>
    <row r="36" spans="1:20">
      <c r="A36">
        <v>215</v>
      </c>
      <c r="B36">
        <v>3</v>
      </c>
      <c r="C36" s="109">
        <f t="shared" si="0"/>
        <v>2</v>
      </c>
      <c r="D36" s="109">
        <v>21</v>
      </c>
      <c r="E36" s="192">
        <f t="shared" si="2"/>
        <v>0</v>
      </c>
      <c r="G36" s="109">
        <v>21</v>
      </c>
      <c r="H36" s="192">
        <f t="shared" si="3"/>
        <v>0</v>
      </c>
      <c r="I36" s="109" t="e">
        <f t="shared" si="1"/>
        <v>#NUM!</v>
      </c>
      <c r="J36" s="109" t="e">
        <f t="shared" si="1"/>
        <v>#NUM!</v>
      </c>
      <c r="O36" s="197"/>
      <c r="P36" s="197"/>
      <c r="Q36" s="197"/>
      <c r="R36" s="197"/>
      <c r="S36" s="197"/>
      <c r="T36" s="197"/>
    </row>
    <row r="37" spans="1:20">
      <c r="A37">
        <v>225</v>
      </c>
      <c r="B37">
        <v>17</v>
      </c>
      <c r="C37" s="109">
        <f t="shared" si="0"/>
        <v>2</v>
      </c>
      <c r="D37" s="109">
        <v>22</v>
      </c>
      <c r="E37" s="192">
        <f t="shared" si="2"/>
        <v>0</v>
      </c>
      <c r="G37" s="109">
        <v>22</v>
      </c>
      <c r="H37" s="192">
        <f t="shared" si="3"/>
        <v>0</v>
      </c>
      <c r="I37" s="109" t="e">
        <f t="shared" ref="I37:J55" si="4">LN($H37)</f>
        <v>#NUM!</v>
      </c>
      <c r="J37" s="109" t="e">
        <f t="shared" si="4"/>
        <v>#NUM!</v>
      </c>
    </row>
    <row r="38" spans="1:20">
      <c r="A38">
        <v>235</v>
      </c>
      <c r="B38">
        <v>20</v>
      </c>
      <c r="C38" s="109">
        <f t="shared" si="0"/>
        <v>2</v>
      </c>
      <c r="D38" s="109">
        <v>23</v>
      </c>
      <c r="E38" s="192">
        <f t="shared" si="2"/>
        <v>0</v>
      </c>
      <c r="G38" s="109">
        <v>23</v>
      </c>
      <c r="H38" s="192">
        <f t="shared" si="3"/>
        <v>0</v>
      </c>
      <c r="I38" s="109" t="e">
        <f t="shared" si="4"/>
        <v>#NUM!</v>
      </c>
      <c r="J38" s="109" t="e">
        <f t="shared" si="4"/>
        <v>#NUM!</v>
      </c>
    </row>
    <row r="39" spans="1:20">
      <c r="A39">
        <v>245</v>
      </c>
      <c r="B39">
        <v>49</v>
      </c>
      <c r="C39" s="109">
        <f t="shared" si="0"/>
        <v>2</v>
      </c>
      <c r="D39" s="109">
        <v>24</v>
      </c>
      <c r="E39" s="192">
        <f t="shared" si="2"/>
        <v>0</v>
      </c>
      <c r="G39" s="109">
        <v>24</v>
      </c>
      <c r="H39" s="192">
        <f t="shared" si="3"/>
        <v>0</v>
      </c>
      <c r="I39" s="109" t="e">
        <f t="shared" si="4"/>
        <v>#NUM!</v>
      </c>
      <c r="J39" s="109" t="e">
        <f t="shared" si="4"/>
        <v>#NUM!</v>
      </c>
    </row>
    <row r="40" spans="1:20">
      <c r="A40">
        <v>255</v>
      </c>
      <c r="B40">
        <v>84</v>
      </c>
      <c r="C40" s="109">
        <f t="shared" si="0"/>
        <v>2</v>
      </c>
      <c r="D40" s="109">
        <v>25</v>
      </c>
      <c r="E40" s="192">
        <f t="shared" si="2"/>
        <v>0</v>
      </c>
      <c r="G40" s="109">
        <v>25</v>
      </c>
      <c r="H40" s="192">
        <f t="shared" si="3"/>
        <v>0</v>
      </c>
      <c r="I40" s="109" t="e">
        <f t="shared" si="4"/>
        <v>#NUM!</v>
      </c>
      <c r="J40" s="109" t="e">
        <f t="shared" si="4"/>
        <v>#NUM!</v>
      </c>
    </row>
    <row r="41" spans="1:20">
      <c r="A41">
        <v>265</v>
      </c>
      <c r="B41">
        <v>95</v>
      </c>
      <c r="C41" s="109">
        <f t="shared" si="0"/>
        <v>2</v>
      </c>
      <c r="D41" s="109">
        <v>26</v>
      </c>
      <c r="E41" s="192">
        <f t="shared" si="2"/>
        <v>0</v>
      </c>
      <c r="G41" s="109">
        <v>26</v>
      </c>
      <c r="H41" s="192">
        <f t="shared" si="3"/>
        <v>0</v>
      </c>
      <c r="I41" s="109" t="e">
        <f t="shared" si="4"/>
        <v>#NUM!</v>
      </c>
      <c r="J41" s="109" t="e">
        <f t="shared" si="4"/>
        <v>#NUM!</v>
      </c>
    </row>
    <row r="42" spans="1:20">
      <c r="A42">
        <v>275</v>
      </c>
      <c r="B42">
        <v>67</v>
      </c>
      <c r="C42" s="109">
        <f t="shared" si="0"/>
        <v>2</v>
      </c>
      <c r="D42" s="109">
        <v>27</v>
      </c>
      <c r="E42" s="192">
        <f t="shared" si="2"/>
        <v>0</v>
      </c>
      <c r="G42" s="109">
        <v>27</v>
      </c>
      <c r="H42" s="192">
        <f t="shared" si="3"/>
        <v>0</v>
      </c>
      <c r="I42" s="109" t="e">
        <f t="shared" si="4"/>
        <v>#NUM!</v>
      </c>
      <c r="J42" s="109" t="e">
        <f t="shared" si="4"/>
        <v>#NUM!</v>
      </c>
    </row>
    <row r="43" spans="1:20">
      <c r="A43">
        <v>285</v>
      </c>
      <c r="B43">
        <v>75</v>
      </c>
      <c r="C43" s="109">
        <f t="shared" si="0"/>
        <v>2</v>
      </c>
      <c r="D43" s="109">
        <v>28</v>
      </c>
      <c r="E43" s="192">
        <f t="shared" si="2"/>
        <v>0</v>
      </c>
      <c r="G43" s="109">
        <v>28</v>
      </c>
      <c r="H43" s="192">
        <f t="shared" si="3"/>
        <v>0</v>
      </c>
      <c r="I43" s="109" t="e">
        <f t="shared" si="4"/>
        <v>#NUM!</v>
      </c>
      <c r="J43" s="109" t="e">
        <f t="shared" si="4"/>
        <v>#NUM!</v>
      </c>
    </row>
    <row r="44" spans="1:20">
      <c r="A44">
        <v>295</v>
      </c>
      <c r="B44">
        <v>35</v>
      </c>
      <c r="C44" s="109">
        <f t="shared" si="0"/>
        <v>2</v>
      </c>
      <c r="D44" s="109">
        <v>29</v>
      </c>
      <c r="E44" s="192">
        <f t="shared" si="2"/>
        <v>0</v>
      </c>
      <c r="G44" s="109">
        <v>29</v>
      </c>
      <c r="H44" s="192">
        <f t="shared" si="3"/>
        <v>0</v>
      </c>
      <c r="I44" s="109" t="e">
        <f t="shared" si="4"/>
        <v>#NUM!</v>
      </c>
      <c r="J44" s="109" t="e">
        <f t="shared" si="4"/>
        <v>#NUM!</v>
      </c>
    </row>
    <row r="45" spans="1:20">
      <c r="A45">
        <v>305</v>
      </c>
      <c r="B45">
        <v>35</v>
      </c>
      <c r="C45" s="109">
        <f t="shared" si="0"/>
        <v>3</v>
      </c>
      <c r="D45" s="109">
        <v>30</v>
      </c>
      <c r="E45" s="192">
        <f t="shared" si="2"/>
        <v>0</v>
      </c>
      <c r="G45" s="109">
        <v>30</v>
      </c>
      <c r="H45" s="192">
        <f t="shared" si="3"/>
        <v>0</v>
      </c>
      <c r="I45" s="109" t="e">
        <f t="shared" si="4"/>
        <v>#NUM!</v>
      </c>
      <c r="J45" s="109" t="e">
        <f t="shared" si="4"/>
        <v>#NUM!</v>
      </c>
    </row>
    <row r="46" spans="1:20">
      <c r="A46">
        <v>315</v>
      </c>
      <c r="B46">
        <v>28</v>
      </c>
      <c r="C46" s="109">
        <f t="shared" si="0"/>
        <v>3</v>
      </c>
      <c r="D46" s="109">
        <v>31</v>
      </c>
      <c r="E46" s="192">
        <f t="shared" si="2"/>
        <v>0</v>
      </c>
      <c r="G46" s="109">
        <v>31</v>
      </c>
      <c r="H46" s="192">
        <f t="shared" si="3"/>
        <v>0</v>
      </c>
      <c r="I46" s="109" t="e">
        <f t="shared" si="4"/>
        <v>#NUM!</v>
      </c>
      <c r="J46" s="109" t="e">
        <f t="shared" si="4"/>
        <v>#NUM!</v>
      </c>
    </row>
    <row r="47" spans="1:20">
      <c r="A47">
        <v>325</v>
      </c>
      <c r="B47">
        <v>20</v>
      </c>
      <c r="C47" s="109">
        <f t="shared" ref="C47:C110" si="5">ROUND((1/k_CC)*LN(1/(1-($A47/Linf_CC)))+t0_CC,0)</f>
        <v>3</v>
      </c>
      <c r="D47" s="109">
        <v>32</v>
      </c>
      <c r="E47" s="192">
        <f t="shared" si="2"/>
        <v>0</v>
      </c>
      <c r="G47" s="109">
        <v>32</v>
      </c>
      <c r="H47" s="192">
        <f t="shared" si="3"/>
        <v>0</v>
      </c>
      <c r="I47" s="109" t="e">
        <f t="shared" si="4"/>
        <v>#NUM!</v>
      </c>
      <c r="J47" s="109" t="e">
        <f t="shared" si="4"/>
        <v>#NUM!</v>
      </c>
    </row>
    <row r="48" spans="1:20">
      <c r="A48">
        <v>335</v>
      </c>
      <c r="B48">
        <v>18</v>
      </c>
      <c r="C48" s="109">
        <f t="shared" si="5"/>
        <v>3</v>
      </c>
      <c r="D48" s="109">
        <v>33</v>
      </c>
      <c r="E48" s="192">
        <f t="shared" si="2"/>
        <v>0</v>
      </c>
      <c r="G48" s="109">
        <v>33</v>
      </c>
      <c r="H48" s="192">
        <f t="shared" si="3"/>
        <v>0</v>
      </c>
      <c r="I48" s="109" t="e">
        <f t="shared" si="4"/>
        <v>#NUM!</v>
      </c>
      <c r="J48" s="109" t="e">
        <f t="shared" si="4"/>
        <v>#NUM!</v>
      </c>
    </row>
    <row r="49" spans="1:10">
      <c r="A49">
        <v>345</v>
      </c>
      <c r="B49">
        <v>18</v>
      </c>
      <c r="C49" s="109">
        <f t="shared" si="5"/>
        <v>3</v>
      </c>
      <c r="D49" s="109">
        <v>34</v>
      </c>
      <c r="E49" s="192">
        <f t="shared" si="2"/>
        <v>0</v>
      </c>
      <c r="G49" s="109">
        <v>34</v>
      </c>
      <c r="H49" s="192">
        <f t="shared" si="3"/>
        <v>0</v>
      </c>
      <c r="I49" s="109" t="e">
        <f t="shared" si="4"/>
        <v>#NUM!</v>
      </c>
      <c r="J49" s="109" t="e">
        <f t="shared" si="4"/>
        <v>#NUM!</v>
      </c>
    </row>
    <row r="50" spans="1:10">
      <c r="A50">
        <v>355</v>
      </c>
      <c r="B50">
        <v>31</v>
      </c>
      <c r="C50" s="109">
        <f t="shared" si="5"/>
        <v>3</v>
      </c>
      <c r="D50" s="109">
        <v>35</v>
      </c>
      <c r="E50" s="192">
        <f t="shared" si="2"/>
        <v>0</v>
      </c>
      <c r="G50" s="109">
        <v>35</v>
      </c>
      <c r="H50" s="192">
        <f t="shared" si="3"/>
        <v>0</v>
      </c>
      <c r="I50" s="109" t="e">
        <f t="shared" si="4"/>
        <v>#NUM!</v>
      </c>
      <c r="J50" s="109" t="e">
        <f t="shared" si="4"/>
        <v>#NUM!</v>
      </c>
    </row>
    <row r="51" spans="1:10">
      <c r="A51">
        <v>365</v>
      </c>
      <c r="B51">
        <v>21</v>
      </c>
      <c r="C51" s="109">
        <f t="shared" si="5"/>
        <v>3</v>
      </c>
      <c r="D51" s="109">
        <v>36</v>
      </c>
      <c r="E51" s="192">
        <f t="shared" si="2"/>
        <v>0</v>
      </c>
      <c r="G51" s="109">
        <v>36</v>
      </c>
      <c r="H51" s="192">
        <f t="shared" si="3"/>
        <v>0</v>
      </c>
      <c r="I51" s="109" t="e">
        <f t="shared" si="4"/>
        <v>#NUM!</v>
      </c>
      <c r="J51" s="109" t="e">
        <f t="shared" si="4"/>
        <v>#NUM!</v>
      </c>
    </row>
    <row r="52" spans="1:10">
      <c r="A52">
        <v>375</v>
      </c>
      <c r="B52">
        <v>27</v>
      </c>
      <c r="C52" s="109">
        <f t="shared" si="5"/>
        <v>3</v>
      </c>
      <c r="D52" s="109">
        <v>37</v>
      </c>
      <c r="E52" s="192">
        <f t="shared" si="2"/>
        <v>0</v>
      </c>
      <c r="G52" s="109">
        <v>37</v>
      </c>
      <c r="H52" s="192">
        <f t="shared" si="3"/>
        <v>0</v>
      </c>
      <c r="I52" s="109" t="e">
        <f t="shared" si="4"/>
        <v>#NUM!</v>
      </c>
      <c r="J52" s="109" t="e">
        <f t="shared" si="4"/>
        <v>#NUM!</v>
      </c>
    </row>
    <row r="53" spans="1:10">
      <c r="A53">
        <v>385</v>
      </c>
      <c r="B53">
        <v>33</v>
      </c>
      <c r="C53" s="109">
        <f t="shared" si="5"/>
        <v>4</v>
      </c>
      <c r="D53" s="109">
        <v>38</v>
      </c>
      <c r="E53" s="192">
        <f t="shared" si="2"/>
        <v>0</v>
      </c>
      <c r="G53" s="109">
        <v>38</v>
      </c>
      <c r="H53" s="192">
        <f t="shared" si="3"/>
        <v>0</v>
      </c>
      <c r="I53" s="109" t="e">
        <f t="shared" si="4"/>
        <v>#NUM!</v>
      </c>
      <c r="J53" s="109" t="e">
        <f t="shared" si="4"/>
        <v>#NUM!</v>
      </c>
    </row>
    <row r="54" spans="1:10">
      <c r="A54">
        <v>395</v>
      </c>
      <c r="B54">
        <v>27</v>
      </c>
      <c r="C54" s="109">
        <f t="shared" si="5"/>
        <v>4</v>
      </c>
      <c r="D54" s="109">
        <v>39</v>
      </c>
      <c r="E54" s="192">
        <f t="shared" si="2"/>
        <v>0</v>
      </c>
      <c r="G54" s="109">
        <v>39</v>
      </c>
      <c r="H54" s="192">
        <f t="shared" si="3"/>
        <v>0</v>
      </c>
      <c r="I54" s="109" t="e">
        <f t="shared" si="4"/>
        <v>#NUM!</v>
      </c>
      <c r="J54" s="109" t="e">
        <f t="shared" si="4"/>
        <v>#NUM!</v>
      </c>
    </row>
    <row r="55" spans="1:10">
      <c r="A55">
        <v>405</v>
      </c>
      <c r="B55">
        <v>27</v>
      </c>
      <c r="C55" s="109">
        <f t="shared" si="5"/>
        <v>4</v>
      </c>
      <c r="D55" s="109">
        <v>40</v>
      </c>
      <c r="E55" s="192">
        <f t="shared" si="2"/>
        <v>0</v>
      </c>
      <c r="G55" s="109">
        <v>40</v>
      </c>
      <c r="H55" s="192">
        <f t="shared" si="3"/>
        <v>0</v>
      </c>
      <c r="I55" s="109" t="e">
        <f t="shared" si="4"/>
        <v>#NUM!</v>
      </c>
      <c r="J55" s="109" t="e">
        <f t="shared" si="4"/>
        <v>#NUM!</v>
      </c>
    </row>
    <row r="56" spans="1:10">
      <c r="A56">
        <v>415</v>
      </c>
      <c r="B56">
        <v>24</v>
      </c>
      <c r="C56" s="109">
        <f t="shared" si="5"/>
        <v>4</v>
      </c>
      <c r="D56" s="109">
        <v>41</v>
      </c>
      <c r="E56" s="192">
        <f t="shared" si="2"/>
        <v>0</v>
      </c>
      <c r="G56" s="109">
        <v>41</v>
      </c>
      <c r="H56" s="192">
        <f t="shared" si="3"/>
        <v>0</v>
      </c>
      <c r="I56" s="109" t="e">
        <f t="shared" ref="I56:J114" si="6">LN($H56)</f>
        <v>#NUM!</v>
      </c>
      <c r="J56" s="109" t="e">
        <f t="shared" si="6"/>
        <v>#NUM!</v>
      </c>
    </row>
    <row r="57" spans="1:10">
      <c r="A57">
        <v>425</v>
      </c>
      <c r="B57">
        <v>23</v>
      </c>
      <c r="C57" s="109">
        <f t="shared" si="5"/>
        <v>4</v>
      </c>
      <c r="D57" s="109">
        <v>42</v>
      </c>
      <c r="E57" s="192">
        <f t="shared" si="2"/>
        <v>0</v>
      </c>
      <c r="G57" s="109">
        <v>42</v>
      </c>
      <c r="H57" s="192">
        <f t="shared" si="3"/>
        <v>0</v>
      </c>
      <c r="I57" s="109" t="e">
        <f t="shared" si="6"/>
        <v>#NUM!</v>
      </c>
      <c r="J57" s="109" t="e">
        <f t="shared" si="6"/>
        <v>#NUM!</v>
      </c>
    </row>
    <row r="58" spans="1:10">
      <c r="A58">
        <v>435</v>
      </c>
      <c r="B58">
        <v>19</v>
      </c>
      <c r="C58" s="109">
        <f t="shared" si="5"/>
        <v>4</v>
      </c>
      <c r="D58" s="109">
        <v>43</v>
      </c>
      <c r="E58" s="192">
        <f t="shared" si="2"/>
        <v>0</v>
      </c>
      <c r="G58" s="109">
        <v>43</v>
      </c>
      <c r="H58" s="192">
        <f t="shared" si="3"/>
        <v>0</v>
      </c>
      <c r="I58" s="109" t="e">
        <f t="shared" si="6"/>
        <v>#NUM!</v>
      </c>
      <c r="J58" s="109" t="e">
        <f t="shared" si="6"/>
        <v>#NUM!</v>
      </c>
    </row>
    <row r="59" spans="1:10">
      <c r="A59">
        <v>445</v>
      </c>
      <c r="B59">
        <v>11</v>
      </c>
      <c r="C59" s="109">
        <f t="shared" si="5"/>
        <v>4</v>
      </c>
      <c r="D59" s="109">
        <v>44</v>
      </c>
      <c r="E59" s="192">
        <f t="shared" si="2"/>
        <v>0</v>
      </c>
      <c r="G59" s="109">
        <v>44</v>
      </c>
      <c r="H59" s="192">
        <f t="shared" si="3"/>
        <v>0</v>
      </c>
      <c r="I59" s="109" t="e">
        <f t="shared" si="6"/>
        <v>#NUM!</v>
      </c>
      <c r="J59" s="109" t="e">
        <f t="shared" si="6"/>
        <v>#NUM!</v>
      </c>
    </row>
    <row r="60" spans="1:10">
      <c r="A60">
        <v>455</v>
      </c>
      <c r="B60">
        <v>15</v>
      </c>
      <c r="C60" s="109">
        <f t="shared" si="5"/>
        <v>5</v>
      </c>
      <c r="D60" s="109">
        <v>45</v>
      </c>
      <c r="E60" s="192">
        <f t="shared" si="2"/>
        <v>0</v>
      </c>
      <c r="G60" s="109">
        <v>45</v>
      </c>
      <c r="H60" s="192">
        <f t="shared" si="3"/>
        <v>0</v>
      </c>
      <c r="I60" s="109" t="e">
        <f t="shared" si="6"/>
        <v>#NUM!</v>
      </c>
      <c r="J60" s="109" t="e">
        <f t="shared" si="6"/>
        <v>#NUM!</v>
      </c>
    </row>
    <row r="61" spans="1:10">
      <c r="A61">
        <v>465</v>
      </c>
      <c r="B61">
        <v>16</v>
      </c>
      <c r="C61" s="109">
        <f t="shared" si="5"/>
        <v>5</v>
      </c>
      <c r="D61" s="109">
        <v>46</v>
      </c>
      <c r="E61" s="192">
        <f t="shared" si="2"/>
        <v>0</v>
      </c>
      <c r="G61" s="109">
        <v>46</v>
      </c>
      <c r="H61" s="192">
        <f t="shared" si="3"/>
        <v>0</v>
      </c>
      <c r="I61" s="109" t="e">
        <f t="shared" si="6"/>
        <v>#NUM!</v>
      </c>
      <c r="J61" s="109" t="e">
        <f t="shared" si="6"/>
        <v>#NUM!</v>
      </c>
    </row>
    <row r="62" spans="1:10">
      <c r="A62">
        <v>475</v>
      </c>
      <c r="B62">
        <v>8</v>
      </c>
      <c r="C62" s="109">
        <f t="shared" si="5"/>
        <v>5</v>
      </c>
      <c r="D62" s="109">
        <v>47</v>
      </c>
      <c r="E62" s="192">
        <f t="shared" si="2"/>
        <v>0</v>
      </c>
      <c r="G62" s="109">
        <v>47</v>
      </c>
      <c r="H62" s="192">
        <f t="shared" si="3"/>
        <v>0</v>
      </c>
      <c r="I62" s="109" t="e">
        <f t="shared" si="6"/>
        <v>#NUM!</v>
      </c>
      <c r="J62" s="109" t="e">
        <f t="shared" si="6"/>
        <v>#NUM!</v>
      </c>
    </row>
    <row r="63" spans="1:10">
      <c r="A63">
        <v>485</v>
      </c>
      <c r="B63">
        <v>13</v>
      </c>
      <c r="C63" s="109">
        <f t="shared" si="5"/>
        <v>5</v>
      </c>
      <c r="D63" s="109">
        <v>48</v>
      </c>
      <c r="E63" s="192">
        <f t="shared" si="2"/>
        <v>0</v>
      </c>
      <c r="G63" s="109">
        <v>48</v>
      </c>
      <c r="H63" s="192">
        <f t="shared" si="3"/>
        <v>0</v>
      </c>
      <c r="I63" s="109" t="e">
        <f t="shared" si="6"/>
        <v>#NUM!</v>
      </c>
      <c r="J63" s="109" t="e">
        <f t="shared" si="6"/>
        <v>#NUM!</v>
      </c>
    </row>
    <row r="64" spans="1:10">
      <c r="A64">
        <v>495</v>
      </c>
      <c r="B64">
        <v>12</v>
      </c>
      <c r="C64" s="109">
        <f t="shared" si="5"/>
        <v>5</v>
      </c>
      <c r="D64" s="109">
        <v>49</v>
      </c>
      <c r="E64" s="192">
        <f t="shared" si="2"/>
        <v>0</v>
      </c>
      <c r="G64" s="109">
        <v>49</v>
      </c>
      <c r="H64" s="192">
        <f t="shared" si="3"/>
        <v>0</v>
      </c>
      <c r="I64" s="109" t="e">
        <f t="shared" si="6"/>
        <v>#NUM!</v>
      </c>
      <c r="J64" s="109" t="e">
        <f t="shared" si="6"/>
        <v>#NUM!</v>
      </c>
    </row>
    <row r="65" spans="1:10">
      <c r="A65">
        <v>505</v>
      </c>
      <c r="B65">
        <v>9</v>
      </c>
      <c r="C65" s="109">
        <f t="shared" si="5"/>
        <v>5</v>
      </c>
      <c r="D65" s="109">
        <v>50</v>
      </c>
      <c r="E65" s="192">
        <f t="shared" si="2"/>
        <v>0</v>
      </c>
      <c r="G65" s="109">
        <v>50</v>
      </c>
      <c r="H65" s="192">
        <f t="shared" si="3"/>
        <v>0</v>
      </c>
      <c r="I65" s="109" t="e">
        <f t="shared" si="6"/>
        <v>#NUM!</v>
      </c>
      <c r="J65" s="109" t="e">
        <f t="shared" si="6"/>
        <v>#NUM!</v>
      </c>
    </row>
    <row r="66" spans="1:10">
      <c r="A66">
        <v>515</v>
      </c>
      <c r="B66">
        <v>12</v>
      </c>
      <c r="C66" s="109">
        <f t="shared" si="5"/>
        <v>6</v>
      </c>
      <c r="D66" s="109">
        <v>51</v>
      </c>
      <c r="E66" s="192">
        <f t="shared" si="2"/>
        <v>0</v>
      </c>
      <c r="G66" s="109">
        <v>51</v>
      </c>
      <c r="H66" s="192">
        <f t="shared" si="3"/>
        <v>0</v>
      </c>
      <c r="I66" s="109" t="e">
        <f t="shared" si="6"/>
        <v>#NUM!</v>
      </c>
      <c r="J66" s="109" t="e">
        <f t="shared" si="6"/>
        <v>#NUM!</v>
      </c>
    </row>
    <row r="67" spans="1:10">
      <c r="A67">
        <v>525</v>
      </c>
      <c r="B67">
        <v>8</v>
      </c>
      <c r="C67" s="109">
        <f t="shared" si="5"/>
        <v>6</v>
      </c>
      <c r="D67" s="109">
        <v>52</v>
      </c>
      <c r="E67" s="192">
        <f t="shared" si="2"/>
        <v>0</v>
      </c>
      <c r="G67" s="109">
        <v>52</v>
      </c>
      <c r="H67" s="192">
        <f t="shared" si="3"/>
        <v>0</v>
      </c>
      <c r="I67" s="109" t="e">
        <f t="shared" si="6"/>
        <v>#NUM!</v>
      </c>
      <c r="J67" s="109" t="e">
        <f t="shared" si="6"/>
        <v>#NUM!</v>
      </c>
    </row>
    <row r="68" spans="1:10">
      <c r="A68">
        <v>535</v>
      </c>
      <c r="B68">
        <v>9</v>
      </c>
      <c r="C68" s="109">
        <f t="shared" si="5"/>
        <v>6</v>
      </c>
      <c r="D68" s="109">
        <v>53</v>
      </c>
      <c r="E68" s="192">
        <f t="shared" si="2"/>
        <v>0</v>
      </c>
      <c r="G68" s="109">
        <v>53</v>
      </c>
      <c r="H68" s="192">
        <f t="shared" si="3"/>
        <v>0</v>
      </c>
      <c r="I68" s="109" t="e">
        <f t="shared" si="6"/>
        <v>#NUM!</v>
      </c>
      <c r="J68" s="109" t="e">
        <f t="shared" si="6"/>
        <v>#NUM!</v>
      </c>
    </row>
    <row r="69" spans="1:10">
      <c r="A69">
        <v>545</v>
      </c>
      <c r="B69">
        <v>9</v>
      </c>
      <c r="C69" s="109">
        <f t="shared" si="5"/>
        <v>6</v>
      </c>
      <c r="D69" s="109">
        <v>54</v>
      </c>
      <c r="E69" s="192">
        <f t="shared" si="2"/>
        <v>0</v>
      </c>
      <c r="G69" s="109">
        <v>54</v>
      </c>
      <c r="H69" s="192">
        <f t="shared" si="3"/>
        <v>0</v>
      </c>
      <c r="I69" s="109" t="e">
        <f t="shared" si="6"/>
        <v>#NUM!</v>
      </c>
      <c r="J69" s="109" t="e">
        <f t="shared" si="6"/>
        <v>#NUM!</v>
      </c>
    </row>
    <row r="70" spans="1:10">
      <c r="A70">
        <v>555</v>
      </c>
      <c r="B70">
        <v>8</v>
      </c>
      <c r="C70" s="109">
        <f t="shared" si="5"/>
        <v>6</v>
      </c>
      <c r="D70" s="109">
        <v>55</v>
      </c>
      <c r="E70" s="192">
        <f t="shared" si="2"/>
        <v>0</v>
      </c>
      <c r="G70" s="109">
        <v>55</v>
      </c>
      <c r="H70" s="192">
        <f t="shared" si="3"/>
        <v>0</v>
      </c>
      <c r="I70" s="109" t="e">
        <f t="shared" si="6"/>
        <v>#NUM!</v>
      </c>
      <c r="J70" s="109" t="e">
        <f t="shared" si="6"/>
        <v>#NUM!</v>
      </c>
    </row>
    <row r="71" spans="1:10">
      <c r="A71">
        <v>565</v>
      </c>
      <c r="B71">
        <v>3</v>
      </c>
      <c r="C71" s="109">
        <f t="shared" si="5"/>
        <v>6</v>
      </c>
      <c r="D71" s="109">
        <v>56</v>
      </c>
      <c r="E71" s="192">
        <f t="shared" si="2"/>
        <v>0</v>
      </c>
      <c r="G71" s="109">
        <v>56</v>
      </c>
      <c r="H71" s="192">
        <f t="shared" si="3"/>
        <v>0</v>
      </c>
      <c r="I71" s="109" t="e">
        <f t="shared" si="6"/>
        <v>#NUM!</v>
      </c>
      <c r="J71" s="109" t="e">
        <f t="shared" si="6"/>
        <v>#NUM!</v>
      </c>
    </row>
    <row r="72" spans="1:10">
      <c r="A72">
        <v>575</v>
      </c>
      <c r="B72">
        <v>6</v>
      </c>
      <c r="C72" s="109">
        <f t="shared" si="5"/>
        <v>7</v>
      </c>
      <c r="D72" s="109">
        <v>57</v>
      </c>
      <c r="E72" s="192">
        <f t="shared" si="2"/>
        <v>0</v>
      </c>
      <c r="G72" s="109">
        <v>57</v>
      </c>
      <c r="H72" s="192">
        <f t="shared" si="3"/>
        <v>0</v>
      </c>
      <c r="I72" s="109" t="e">
        <f t="shared" si="6"/>
        <v>#NUM!</v>
      </c>
      <c r="J72" s="109" t="e">
        <f t="shared" si="6"/>
        <v>#NUM!</v>
      </c>
    </row>
    <row r="73" spans="1:10">
      <c r="A73">
        <v>585</v>
      </c>
      <c r="B73">
        <v>6</v>
      </c>
      <c r="C73" s="109">
        <f t="shared" si="5"/>
        <v>7</v>
      </c>
      <c r="D73" s="109">
        <v>58</v>
      </c>
      <c r="E73" s="192">
        <f t="shared" si="2"/>
        <v>0</v>
      </c>
      <c r="G73" s="109">
        <v>58</v>
      </c>
      <c r="H73" s="192">
        <f t="shared" si="3"/>
        <v>0</v>
      </c>
      <c r="I73" s="109" t="e">
        <f t="shared" si="6"/>
        <v>#NUM!</v>
      </c>
      <c r="J73" s="109" t="e">
        <f t="shared" si="6"/>
        <v>#NUM!</v>
      </c>
    </row>
    <row r="74" spans="1:10">
      <c r="A74">
        <v>595</v>
      </c>
      <c r="B74">
        <v>1</v>
      </c>
      <c r="C74" s="109">
        <f t="shared" si="5"/>
        <v>7</v>
      </c>
      <c r="D74" s="109">
        <v>59</v>
      </c>
      <c r="E74" s="192">
        <f t="shared" si="2"/>
        <v>0</v>
      </c>
      <c r="G74" s="109">
        <v>59</v>
      </c>
      <c r="H74" s="192">
        <f t="shared" si="3"/>
        <v>0</v>
      </c>
      <c r="I74" s="109" t="e">
        <f t="shared" si="6"/>
        <v>#NUM!</v>
      </c>
      <c r="J74" s="109" t="e">
        <f t="shared" si="6"/>
        <v>#NUM!</v>
      </c>
    </row>
    <row r="75" spans="1:10">
      <c r="A75">
        <v>605</v>
      </c>
      <c r="B75">
        <v>3</v>
      </c>
      <c r="C75" s="109">
        <f t="shared" si="5"/>
        <v>7</v>
      </c>
      <c r="D75" s="109">
        <v>60</v>
      </c>
      <c r="E75" s="192">
        <f t="shared" si="2"/>
        <v>0</v>
      </c>
      <c r="G75" s="109">
        <v>60</v>
      </c>
      <c r="H75" s="192">
        <f t="shared" si="3"/>
        <v>0</v>
      </c>
      <c r="I75" s="109" t="e">
        <f t="shared" si="6"/>
        <v>#NUM!</v>
      </c>
      <c r="J75" s="109" t="e">
        <f t="shared" si="6"/>
        <v>#NUM!</v>
      </c>
    </row>
    <row r="76" spans="1:10">
      <c r="A76">
        <v>615</v>
      </c>
      <c r="B76">
        <v>3</v>
      </c>
      <c r="C76" s="109">
        <f t="shared" si="5"/>
        <v>8</v>
      </c>
      <c r="D76" s="109">
        <v>61</v>
      </c>
      <c r="E76" s="192">
        <f t="shared" si="2"/>
        <v>0</v>
      </c>
      <c r="G76" s="109">
        <v>61</v>
      </c>
      <c r="H76" s="192">
        <f t="shared" si="3"/>
        <v>0</v>
      </c>
      <c r="I76" s="109" t="e">
        <f t="shared" si="6"/>
        <v>#NUM!</v>
      </c>
      <c r="J76" s="109" t="e">
        <f t="shared" si="6"/>
        <v>#NUM!</v>
      </c>
    </row>
    <row r="77" spans="1:10">
      <c r="A77">
        <v>625</v>
      </c>
      <c r="B77">
        <v>4</v>
      </c>
      <c r="C77" s="109">
        <f t="shared" si="5"/>
        <v>8</v>
      </c>
      <c r="D77" s="109">
        <v>62</v>
      </c>
      <c r="E77" s="192">
        <f t="shared" si="2"/>
        <v>0</v>
      </c>
      <c r="G77" s="109">
        <v>62</v>
      </c>
      <c r="H77" s="192">
        <f t="shared" si="3"/>
        <v>0</v>
      </c>
      <c r="I77" s="109" t="e">
        <f t="shared" si="6"/>
        <v>#NUM!</v>
      </c>
      <c r="J77" s="109" t="e">
        <f t="shared" si="6"/>
        <v>#NUM!</v>
      </c>
    </row>
    <row r="78" spans="1:10">
      <c r="A78">
        <v>635</v>
      </c>
      <c r="B78">
        <v>3</v>
      </c>
      <c r="C78" s="109">
        <f t="shared" si="5"/>
        <v>8</v>
      </c>
      <c r="D78" s="109">
        <v>63</v>
      </c>
      <c r="E78" s="192">
        <f t="shared" si="2"/>
        <v>0</v>
      </c>
      <c r="G78" s="109">
        <v>63</v>
      </c>
      <c r="H78" s="192">
        <f t="shared" si="3"/>
        <v>0</v>
      </c>
      <c r="I78" s="109" t="e">
        <f t="shared" si="6"/>
        <v>#NUM!</v>
      </c>
      <c r="J78" s="109" t="e">
        <f t="shared" si="6"/>
        <v>#NUM!</v>
      </c>
    </row>
    <row r="79" spans="1:10">
      <c r="A79">
        <v>645</v>
      </c>
      <c r="B79">
        <v>2</v>
      </c>
      <c r="C79" s="109">
        <f t="shared" si="5"/>
        <v>8</v>
      </c>
      <c r="D79" s="109">
        <v>64</v>
      </c>
      <c r="E79" s="192">
        <f t="shared" si="2"/>
        <v>0</v>
      </c>
      <c r="G79" s="109">
        <v>64</v>
      </c>
      <c r="H79" s="192">
        <f t="shared" si="3"/>
        <v>0</v>
      </c>
      <c r="I79" s="109" t="e">
        <f t="shared" si="6"/>
        <v>#NUM!</v>
      </c>
      <c r="J79" s="109" t="e">
        <f t="shared" si="6"/>
        <v>#NUM!</v>
      </c>
    </row>
    <row r="80" spans="1:10">
      <c r="A80">
        <v>655</v>
      </c>
      <c r="B80">
        <v>4</v>
      </c>
      <c r="C80" s="109">
        <f t="shared" si="5"/>
        <v>8</v>
      </c>
      <c r="D80" s="109">
        <v>65</v>
      </c>
      <c r="E80" s="192">
        <f t="shared" ref="E80:E114" si="7">SUMIF($C$15:$C$114,"="&amp;$D80,$B$15:$B$114)</f>
        <v>0</v>
      </c>
      <c r="G80" s="109">
        <v>65</v>
      </c>
      <c r="H80" s="192">
        <f t="shared" ref="H80:H114" si="8">SUMIF($C$15:$C$114,"="&amp;$D80,$B$15:$B$144)</f>
        <v>0</v>
      </c>
      <c r="I80" s="109" t="e">
        <f t="shared" si="6"/>
        <v>#NUM!</v>
      </c>
      <c r="J80" s="109" t="e">
        <f t="shared" si="6"/>
        <v>#NUM!</v>
      </c>
    </row>
    <row r="81" spans="1:10">
      <c r="A81">
        <v>665</v>
      </c>
      <c r="B81">
        <v>6</v>
      </c>
      <c r="C81" s="109">
        <f t="shared" si="5"/>
        <v>9</v>
      </c>
      <c r="D81" s="109">
        <v>66</v>
      </c>
      <c r="E81" s="192">
        <f t="shared" si="7"/>
        <v>0</v>
      </c>
      <c r="G81" s="109">
        <v>66</v>
      </c>
      <c r="H81" s="192">
        <f t="shared" si="8"/>
        <v>0</v>
      </c>
      <c r="I81" s="109" t="e">
        <f t="shared" si="6"/>
        <v>#NUM!</v>
      </c>
      <c r="J81" s="109" t="e">
        <f t="shared" si="6"/>
        <v>#NUM!</v>
      </c>
    </row>
    <row r="82" spans="1:10">
      <c r="A82">
        <v>675</v>
      </c>
      <c r="B82">
        <v>3</v>
      </c>
      <c r="C82" s="109">
        <f t="shared" si="5"/>
        <v>9</v>
      </c>
      <c r="D82" s="109">
        <v>67</v>
      </c>
      <c r="E82" s="192">
        <f t="shared" si="7"/>
        <v>0</v>
      </c>
      <c r="G82" s="109">
        <v>67</v>
      </c>
      <c r="H82" s="192">
        <f t="shared" si="8"/>
        <v>0</v>
      </c>
      <c r="I82" s="109" t="e">
        <f t="shared" si="6"/>
        <v>#NUM!</v>
      </c>
      <c r="J82" s="109" t="e">
        <f t="shared" si="6"/>
        <v>#NUM!</v>
      </c>
    </row>
    <row r="83" spans="1:10">
      <c r="A83">
        <v>685</v>
      </c>
      <c r="B83">
        <v>0</v>
      </c>
      <c r="C83" s="109">
        <f t="shared" si="5"/>
        <v>9</v>
      </c>
      <c r="D83" s="109">
        <v>68</v>
      </c>
      <c r="E83" s="192">
        <f t="shared" si="7"/>
        <v>0</v>
      </c>
      <c r="G83" s="109">
        <v>68</v>
      </c>
      <c r="H83" s="192">
        <f t="shared" si="8"/>
        <v>0</v>
      </c>
      <c r="I83" s="109" t="e">
        <f t="shared" si="6"/>
        <v>#NUM!</v>
      </c>
      <c r="J83" s="109" t="e">
        <f t="shared" si="6"/>
        <v>#NUM!</v>
      </c>
    </row>
    <row r="84" spans="1:10">
      <c r="A84">
        <v>695</v>
      </c>
      <c r="B84">
        <v>4</v>
      </c>
      <c r="C84" s="109">
        <f t="shared" si="5"/>
        <v>9</v>
      </c>
      <c r="D84" s="109">
        <v>69</v>
      </c>
      <c r="E84" s="192">
        <f t="shared" si="7"/>
        <v>0</v>
      </c>
      <c r="G84" s="109">
        <v>69</v>
      </c>
      <c r="H84" s="192">
        <f t="shared" si="8"/>
        <v>0</v>
      </c>
      <c r="I84" s="109" t="e">
        <f t="shared" si="6"/>
        <v>#NUM!</v>
      </c>
      <c r="J84" s="109" t="e">
        <f t="shared" si="6"/>
        <v>#NUM!</v>
      </c>
    </row>
    <row r="85" spans="1:10">
      <c r="A85">
        <v>705</v>
      </c>
      <c r="B85">
        <v>5</v>
      </c>
      <c r="C85" s="109">
        <f t="shared" si="5"/>
        <v>10</v>
      </c>
      <c r="D85" s="109">
        <v>70</v>
      </c>
      <c r="E85" s="192">
        <f t="shared" si="7"/>
        <v>0</v>
      </c>
      <c r="G85" s="109">
        <v>70</v>
      </c>
      <c r="H85" s="192">
        <f t="shared" si="8"/>
        <v>0</v>
      </c>
      <c r="I85" s="109" t="e">
        <f t="shared" si="6"/>
        <v>#NUM!</v>
      </c>
      <c r="J85" s="109" t="e">
        <f t="shared" si="6"/>
        <v>#NUM!</v>
      </c>
    </row>
    <row r="86" spans="1:10">
      <c r="A86">
        <v>715</v>
      </c>
      <c r="B86">
        <v>1</v>
      </c>
      <c r="C86" s="109">
        <f t="shared" si="5"/>
        <v>10</v>
      </c>
      <c r="D86" s="109">
        <v>71</v>
      </c>
      <c r="E86" s="192">
        <f t="shared" si="7"/>
        <v>0</v>
      </c>
      <c r="G86" s="109">
        <v>71</v>
      </c>
      <c r="H86" s="192">
        <f t="shared" si="8"/>
        <v>0</v>
      </c>
      <c r="I86" s="109" t="e">
        <f t="shared" si="6"/>
        <v>#NUM!</v>
      </c>
      <c r="J86" s="109" t="e">
        <f t="shared" si="6"/>
        <v>#NUM!</v>
      </c>
    </row>
    <row r="87" spans="1:10">
      <c r="A87">
        <v>725</v>
      </c>
      <c r="B87">
        <v>2</v>
      </c>
      <c r="C87" s="109">
        <f t="shared" si="5"/>
        <v>10</v>
      </c>
      <c r="D87" s="109">
        <v>72</v>
      </c>
      <c r="E87" s="192">
        <f t="shared" si="7"/>
        <v>0</v>
      </c>
      <c r="G87" s="109">
        <v>72</v>
      </c>
      <c r="H87" s="192">
        <f t="shared" si="8"/>
        <v>0</v>
      </c>
      <c r="I87" s="109" t="e">
        <f t="shared" si="6"/>
        <v>#NUM!</v>
      </c>
      <c r="J87" s="109" t="e">
        <f t="shared" si="6"/>
        <v>#NUM!</v>
      </c>
    </row>
    <row r="88" spans="1:10">
      <c r="A88">
        <v>735</v>
      </c>
      <c r="B88">
        <v>3</v>
      </c>
      <c r="C88" s="109">
        <f t="shared" si="5"/>
        <v>11</v>
      </c>
      <c r="D88" s="109">
        <v>73</v>
      </c>
      <c r="E88" s="192">
        <f t="shared" si="7"/>
        <v>0</v>
      </c>
      <c r="G88" s="109">
        <v>73</v>
      </c>
      <c r="H88" s="192">
        <f t="shared" si="8"/>
        <v>0</v>
      </c>
      <c r="I88" s="109" t="e">
        <f t="shared" si="6"/>
        <v>#NUM!</v>
      </c>
      <c r="J88" s="109" t="e">
        <f t="shared" si="6"/>
        <v>#NUM!</v>
      </c>
    </row>
    <row r="89" spans="1:10">
      <c r="A89">
        <v>745</v>
      </c>
      <c r="B89">
        <v>4</v>
      </c>
      <c r="C89" s="109">
        <f t="shared" si="5"/>
        <v>11</v>
      </c>
      <c r="D89" s="109">
        <v>74</v>
      </c>
      <c r="E89" s="192">
        <f t="shared" si="7"/>
        <v>0</v>
      </c>
      <c r="G89" s="109">
        <v>74</v>
      </c>
      <c r="H89" s="192">
        <f t="shared" si="8"/>
        <v>0</v>
      </c>
      <c r="I89" s="109" t="e">
        <f t="shared" si="6"/>
        <v>#NUM!</v>
      </c>
      <c r="J89" s="109" t="e">
        <f t="shared" si="6"/>
        <v>#NUM!</v>
      </c>
    </row>
    <row r="90" spans="1:10">
      <c r="A90">
        <v>755</v>
      </c>
      <c r="B90">
        <v>1</v>
      </c>
      <c r="C90" s="109">
        <f t="shared" si="5"/>
        <v>11</v>
      </c>
      <c r="D90" s="109">
        <v>75</v>
      </c>
      <c r="E90" s="192">
        <f t="shared" si="7"/>
        <v>0</v>
      </c>
      <c r="G90" s="109">
        <v>75</v>
      </c>
      <c r="H90" s="192">
        <f t="shared" si="8"/>
        <v>0</v>
      </c>
      <c r="I90" s="109" t="e">
        <f t="shared" si="6"/>
        <v>#NUM!</v>
      </c>
      <c r="J90" s="109" t="e">
        <f t="shared" si="6"/>
        <v>#NUM!</v>
      </c>
    </row>
    <row r="91" spans="1:10">
      <c r="A91">
        <v>765</v>
      </c>
      <c r="B91">
        <v>0</v>
      </c>
      <c r="C91" s="109">
        <f t="shared" si="5"/>
        <v>12</v>
      </c>
      <c r="D91" s="109">
        <v>76</v>
      </c>
      <c r="E91" s="192">
        <f t="shared" si="7"/>
        <v>0</v>
      </c>
      <c r="G91" s="109">
        <v>76</v>
      </c>
      <c r="H91" s="192">
        <f t="shared" si="8"/>
        <v>0</v>
      </c>
      <c r="I91" s="109" t="e">
        <f t="shared" si="6"/>
        <v>#NUM!</v>
      </c>
      <c r="J91" s="109" t="e">
        <f t="shared" si="6"/>
        <v>#NUM!</v>
      </c>
    </row>
    <row r="92" spans="1:10">
      <c r="A92">
        <v>775</v>
      </c>
      <c r="B92">
        <v>0</v>
      </c>
      <c r="C92" s="109">
        <f t="shared" si="5"/>
        <v>12</v>
      </c>
      <c r="D92" s="109">
        <v>77</v>
      </c>
      <c r="E92" s="192">
        <f t="shared" si="7"/>
        <v>0</v>
      </c>
      <c r="G92" s="109">
        <v>77</v>
      </c>
      <c r="H92" s="192">
        <f t="shared" si="8"/>
        <v>0</v>
      </c>
      <c r="I92" s="109" t="e">
        <f t="shared" si="6"/>
        <v>#NUM!</v>
      </c>
      <c r="J92" s="109" t="e">
        <f t="shared" si="6"/>
        <v>#NUM!</v>
      </c>
    </row>
    <row r="93" spans="1:10">
      <c r="A93">
        <v>785</v>
      </c>
      <c r="B93">
        <v>2</v>
      </c>
      <c r="C93" s="109">
        <f t="shared" si="5"/>
        <v>13</v>
      </c>
      <c r="D93" s="109">
        <v>78</v>
      </c>
      <c r="E93" s="192">
        <f t="shared" si="7"/>
        <v>0</v>
      </c>
      <c r="G93" s="109">
        <v>78</v>
      </c>
      <c r="H93" s="192">
        <f t="shared" si="8"/>
        <v>0</v>
      </c>
      <c r="I93" s="109" t="e">
        <f t="shared" si="6"/>
        <v>#NUM!</v>
      </c>
      <c r="J93" s="109" t="e">
        <f t="shared" si="6"/>
        <v>#NUM!</v>
      </c>
    </row>
    <row r="94" spans="1:10">
      <c r="A94">
        <v>795</v>
      </c>
      <c r="B94">
        <v>0</v>
      </c>
      <c r="C94" s="109">
        <f t="shared" si="5"/>
        <v>13</v>
      </c>
      <c r="D94" s="109">
        <v>79</v>
      </c>
      <c r="E94" s="192">
        <f t="shared" si="7"/>
        <v>0</v>
      </c>
      <c r="G94" s="109">
        <v>79</v>
      </c>
      <c r="H94" s="192">
        <f t="shared" si="8"/>
        <v>0</v>
      </c>
      <c r="I94" s="109" t="e">
        <f t="shared" si="6"/>
        <v>#NUM!</v>
      </c>
      <c r="J94" s="109" t="e">
        <f t="shared" si="6"/>
        <v>#NUM!</v>
      </c>
    </row>
    <row r="95" spans="1:10">
      <c r="A95">
        <v>805</v>
      </c>
      <c r="B95">
        <v>1</v>
      </c>
      <c r="C95" s="109">
        <f t="shared" si="5"/>
        <v>13</v>
      </c>
      <c r="D95" s="109">
        <v>80</v>
      </c>
      <c r="E95" s="192">
        <f t="shared" si="7"/>
        <v>0</v>
      </c>
      <c r="G95" s="109">
        <v>80</v>
      </c>
      <c r="H95" s="192">
        <f t="shared" si="8"/>
        <v>0</v>
      </c>
      <c r="I95" s="109" t="e">
        <f t="shared" si="6"/>
        <v>#NUM!</v>
      </c>
      <c r="J95" s="109" t="e">
        <f t="shared" si="6"/>
        <v>#NUM!</v>
      </c>
    </row>
    <row r="96" spans="1:10">
      <c r="A96">
        <v>815</v>
      </c>
      <c r="B96">
        <v>0</v>
      </c>
      <c r="C96" s="109">
        <f t="shared" si="5"/>
        <v>14</v>
      </c>
      <c r="D96" s="109">
        <v>81</v>
      </c>
      <c r="E96" s="192">
        <f t="shared" si="7"/>
        <v>0</v>
      </c>
      <c r="G96" s="109">
        <v>81</v>
      </c>
      <c r="H96" s="192">
        <f t="shared" si="8"/>
        <v>0</v>
      </c>
      <c r="I96" s="109" t="e">
        <f t="shared" si="6"/>
        <v>#NUM!</v>
      </c>
      <c r="J96" s="109" t="e">
        <f t="shared" si="6"/>
        <v>#NUM!</v>
      </c>
    </row>
    <row r="97" spans="1:10">
      <c r="A97">
        <v>825</v>
      </c>
      <c r="B97">
        <v>0</v>
      </c>
      <c r="C97" s="109">
        <f t="shared" si="5"/>
        <v>14</v>
      </c>
      <c r="D97" s="109">
        <v>82</v>
      </c>
      <c r="E97" s="192">
        <f t="shared" si="7"/>
        <v>0</v>
      </c>
      <c r="G97" s="109">
        <v>82</v>
      </c>
      <c r="H97" s="192">
        <f t="shared" si="8"/>
        <v>0</v>
      </c>
      <c r="I97" s="109" t="e">
        <f t="shared" si="6"/>
        <v>#NUM!</v>
      </c>
      <c r="J97" s="109" t="e">
        <f t="shared" si="6"/>
        <v>#NUM!</v>
      </c>
    </row>
    <row r="98" spans="1:10">
      <c r="A98">
        <v>835</v>
      </c>
      <c r="B98">
        <v>0</v>
      </c>
      <c r="C98" s="109">
        <f t="shared" si="5"/>
        <v>15</v>
      </c>
      <c r="D98" s="109">
        <v>83</v>
      </c>
      <c r="E98" s="192">
        <f t="shared" si="7"/>
        <v>0</v>
      </c>
      <c r="G98" s="109">
        <v>83</v>
      </c>
      <c r="H98" s="192">
        <f t="shared" si="8"/>
        <v>0</v>
      </c>
      <c r="I98" s="109" t="e">
        <f t="shared" si="6"/>
        <v>#NUM!</v>
      </c>
      <c r="J98" s="109" t="e">
        <f t="shared" si="6"/>
        <v>#NUM!</v>
      </c>
    </row>
    <row r="99" spans="1:10">
      <c r="A99">
        <v>845</v>
      </c>
      <c r="B99">
        <v>0</v>
      </c>
      <c r="C99" s="109">
        <f t="shared" si="5"/>
        <v>16</v>
      </c>
      <c r="D99" s="109">
        <v>84</v>
      </c>
      <c r="E99" s="192">
        <f t="shared" si="7"/>
        <v>0</v>
      </c>
      <c r="G99" s="109">
        <v>84</v>
      </c>
      <c r="H99" s="192">
        <f t="shared" si="8"/>
        <v>0</v>
      </c>
      <c r="I99" s="109" t="e">
        <f t="shared" si="6"/>
        <v>#NUM!</v>
      </c>
      <c r="J99" s="109" t="e">
        <f t="shared" si="6"/>
        <v>#NUM!</v>
      </c>
    </row>
    <row r="100" spans="1:10">
      <c r="A100">
        <v>855</v>
      </c>
      <c r="B100">
        <v>0</v>
      </c>
      <c r="C100" s="109">
        <f t="shared" si="5"/>
        <v>16</v>
      </c>
      <c r="D100" s="109">
        <v>85</v>
      </c>
      <c r="E100" s="192">
        <f t="shared" si="7"/>
        <v>0</v>
      </c>
      <c r="G100" s="109">
        <v>85</v>
      </c>
      <c r="H100" s="192">
        <f t="shared" si="8"/>
        <v>0</v>
      </c>
      <c r="I100" s="109" t="e">
        <f t="shared" si="6"/>
        <v>#NUM!</v>
      </c>
      <c r="J100" s="109" t="e">
        <f t="shared" si="6"/>
        <v>#NUM!</v>
      </c>
    </row>
    <row r="101" spans="1:10">
      <c r="A101">
        <v>865</v>
      </c>
      <c r="B101">
        <v>1</v>
      </c>
      <c r="C101" s="109">
        <f t="shared" si="5"/>
        <v>17</v>
      </c>
      <c r="D101" s="109">
        <v>86</v>
      </c>
      <c r="E101" s="192">
        <f t="shared" si="7"/>
        <v>0</v>
      </c>
      <c r="G101" s="109">
        <v>86</v>
      </c>
      <c r="H101" s="192">
        <f t="shared" si="8"/>
        <v>0</v>
      </c>
      <c r="I101" s="109" t="e">
        <f t="shared" si="6"/>
        <v>#NUM!</v>
      </c>
      <c r="J101" s="109" t="e">
        <f t="shared" si="6"/>
        <v>#NUM!</v>
      </c>
    </row>
    <row r="102" spans="1:10">
      <c r="A102">
        <v>875</v>
      </c>
      <c r="B102">
        <v>0</v>
      </c>
      <c r="C102" s="109">
        <f t="shared" si="5"/>
        <v>18</v>
      </c>
      <c r="D102" s="109">
        <v>87</v>
      </c>
      <c r="E102" s="192">
        <f t="shared" si="7"/>
        <v>0</v>
      </c>
      <c r="G102" s="109">
        <v>87</v>
      </c>
      <c r="H102" s="192">
        <f t="shared" si="8"/>
        <v>0</v>
      </c>
      <c r="I102" s="109" t="e">
        <f t="shared" si="6"/>
        <v>#NUM!</v>
      </c>
      <c r="J102" s="109" t="e">
        <f t="shared" si="6"/>
        <v>#NUM!</v>
      </c>
    </row>
    <row r="103" spans="1:10">
      <c r="A103">
        <v>885</v>
      </c>
      <c r="B103">
        <v>0</v>
      </c>
      <c r="C103" s="109">
        <f t="shared" si="5"/>
        <v>19</v>
      </c>
      <c r="D103" s="109">
        <v>88</v>
      </c>
      <c r="E103" s="192">
        <f t="shared" si="7"/>
        <v>0</v>
      </c>
      <c r="G103" s="109">
        <v>88</v>
      </c>
      <c r="H103" s="192">
        <f t="shared" si="8"/>
        <v>0</v>
      </c>
      <c r="I103" s="109" t="e">
        <f t="shared" si="6"/>
        <v>#NUM!</v>
      </c>
      <c r="J103" s="109" t="e">
        <f t="shared" si="6"/>
        <v>#NUM!</v>
      </c>
    </row>
    <row r="104" spans="1:10">
      <c r="A104">
        <v>895</v>
      </c>
      <c r="B104">
        <v>0</v>
      </c>
      <c r="C104" s="109">
        <f t="shared" si="5"/>
        <v>19</v>
      </c>
      <c r="D104" s="109">
        <v>89</v>
      </c>
      <c r="E104" s="192">
        <f t="shared" si="7"/>
        <v>0</v>
      </c>
      <c r="G104" s="109">
        <v>89</v>
      </c>
      <c r="H104" s="192">
        <f t="shared" si="8"/>
        <v>0</v>
      </c>
      <c r="I104" s="109" t="e">
        <f t="shared" si="6"/>
        <v>#NUM!</v>
      </c>
      <c r="J104" s="109" t="e">
        <f t="shared" si="6"/>
        <v>#NUM!</v>
      </c>
    </row>
    <row r="105" spans="1:10">
      <c r="A105">
        <v>905</v>
      </c>
      <c r="B105">
        <v>0</v>
      </c>
      <c r="C105" s="109">
        <f t="shared" si="5"/>
        <v>21</v>
      </c>
      <c r="D105" s="109">
        <v>90</v>
      </c>
      <c r="E105" s="192">
        <f t="shared" si="7"/>
        <v>0</v>
      </c>
      <c r="G105" s="109">
        <v>90</v>
      </c>
      <c r="H105" s="192">
        <f t="shared" si="8"/>
        <v>0</v>
      </c>
      <c r="I105" s="109" t="e">
        <f t="shared" si="6"/>
        <v>#NUM!</v>
      </c>
      <c r="J105" s="109" t="e">
        <f t="shared" si="6"/>
        <v>#NUM!</v>
      </c>
    </row>
    <row r="106" spans="1:10">
      <c r="A106">
        <v>915</v>
      </c>
      <c r="B106">
        <v>0</v>
      </c>
      <c r="C106" s="109">
        <f t="shared" si="5"/>
        <v>22</v>
      </c>
      <c r="D106" s="109">
        <v>91</v>
      </c>
      <c r="E106" s="192">
        <f t="shared" si="7"/>
        <v>0</v>
      </c>
      <c r="G106" s="109">
        <v>91</v>
      </c>
      <c r="H106" s="192">
        <f t="shared" si="8"/>
        <v>0</v>
      </c>
      <c r="I106" s="109" t="e">
        <f t="shared" si="6"/>
        <v>#NUM!</v>
      </c>
      <c r="J106" s="109" t="e">
        <f t="shared" si="6"/>
        <v>#NUM!</v>
      </c>
    </row>
    <row r="107" spans="1:10">
      <c r="A107">
        <v>925</v>
      </c>
      <c r="B107">
        <v>0</v>
      </c>
      <c r="C107" s="109">
        <f t="shared" si="5"/>
        <v>23</v>
      </c>
      <c r="D107" s="109">
        <v>92</v>
      </c>
      <c r="E107" s="192">
        <f t="shared" si="7"/>
        <v>0</v>
      </c>
      <c r="G107" s="109">
        <v>92</v>
      </c>
      <c r="H107" s="192">
        <f t="shared" si="8"/>
        <v>0</v>
      </c>
      <c r="I107" s="109" t="e">
        <f t="shared" si="6"/>
        <v>#NUM!</v>
      </c>
      <c r="J107" s="109" t="e">
        <f t="shared" si="6"/>
        <v>#NUM!</v>
      </c>
    </row>
    <row r="108" spans="1:10">
      <c r="A108">
        <v>935</v>
      </c>
      <c r="B108">
        <v>0</v>
      </c>
      <c r="C108" s="109">
        <f t="shared" si="5"/>
        <v>25</v>
      </c>
      <c r="D108" s="109">
        <v>93</v>
      </c>
      <c r="E108" s="192">
        <f t="shared" si="7"/>
        <v>0</v>
      </c>
      <c r="G108" s="109">
        <v>93</v>
      </c>
      <c r="H108" s="192">
        <f t="shared" si="8"/>
        <v>0</v>
      </c>
      <c r="I108" s="109" t="e">
        <f t="shared" si="6"/>
        <v>#NUM!</v>
      </c>
      <c r="J108" s="109" t="e">
        <f t="shared" si="6"/>
        <v>#NUM!</v>
      </c>
    </row>
    <row r="109" spans="1:10">
      <c r="A109">
        <v>945</v>
      </c>
      <c r="B109">
        <v>0</v>
      </c>
      <c r="C109" s="109">
        <f t="shared" si="5"/>
        <v>27</v>
      </c>
      <c r="D109" s="109">
        <v>94</v>
      </c>
      <c r="E109" s="192">
        <f t="shared" si="7"/>
        <v>0</v>
      </c>
      <c r="G109" s="109">
        <v>94</v>
      </c>
      <c r="H109" s="192">
        <f t="shared" si="8"/>
        <v>0</v>
      </c>
      <c r="I109" s="109" t="e">
        <f t="shared" si="6"/>
        <v>#NUM!</v>
      </c>
      <c r="J109" s="109" t="e">
        <f t="shared" si="6"/>
        <v>#NUM!</v>
      </c>
    </row>
    <row r="110" spans="1:10">
      <c r="A110">
        <v>955</v>
      </c>
      <c r="B110">
        <v>0</v>
      </c>
      <c r="C110" s="109">
        <f t="shared" si="5"/>
        <v>31</v>
      </c>
      <c r="D110" s="109">
        <v>95</v>
      </c>
      <c r="E110" s="192">
        <f t="shared" si="7"/>
        <v>0</v>
      </c>
      <c r="G110" s="109">
        <v>95</v>
      </c>
      <c r="H110" s="192">
        <f t="shared" si="8"/>
        <v>0</v>
      </c>
      <c r="I110" s="109" t="e">
        <f t="shared" si="6"/>
        <v>#NUM!</v>
      </c>
      <c r="J110" s="109" t="e">
        <f t="shared" si="6"/>
        <v>#NUM!</v>
      </c>
    </row>
    <row r="111" spans="1:10">
      <c r="A111">
        <v>965</v>
      </c>
      <c r="B111">
        <v>0</v>
      </c>
      <c r="C111" s="109">
        <f t="shared" ref="C111:C114" si="9">ROUND((1/k_CC)*LN(1/(1-($A111/Linf_CC)))+t0_CC,0)</f>
        <v>37</v>
      </c>
      <c r="D111" s="109">
        <v>96</v>
      </c>
      <c r="E111" s="192">
        <f t="shared" si="7"/>
        <v>0</v>
      </c>
      <c r="G111" s="109">
        <v>96</v>
      </c>
      <c r="H111" s="192">
        <f t="shared" si="8"/>
        <v>0</v>
      </c>
      <c r="I111" s="109" t="e">
        <f t="shared" si="6"/>
        <v>#NUM!</v>
      </c>
      <c r="J111" s="109" t="e">
        <f t="shared" si="6"/>
        <v>#NUM!</v>
      </c>
    </row>
    <row r="112" spans="1:10">
      <c r="A112">
        <v>975</v>
      </c>
      <c r="B112">
        <v>0</v>
      </c>
      <c r="C112" s="109" t="e">
        <f t="shared" si="9"/>
        <v>#NUM!</v>
      </c>
      <c r="D112" s="109">
        <v>97</v>
      </c>
      <c r="E112" s="192">
        <f t="shared" si="7"/>
        <v>0</v>
      </c>
      <c r="G112" s="109">
        <v>97</v>
      </c>
      <c r="H112" s="192">
        <f t="shared" si="8"/>
        <v>0</v>
      </c>
      <c r="I112" s="109" t="e">
        <f t="shared" si="6"/>
        <v>#NUM!</v>
      </c>
      <c r="J112" s="109" t="e">
        <f t="shared" si="6"/>
        <v>#NUM!</v>
      </c>
    </row>
    <row r="113" spans="1:10">
      <c r="A113">
        <v>985</v>
      </c>
      <c r="B113">
        <v>0</v>
      </c>
      <c r="C113" s="109" t="e">
        <f t="shared" si="9"/>
        <v>#NUM!</v>
      </c>
      <c r="D113" s="109">
        <v>98</v>
      </c>
      <c r="E113" s="192">
        <f t="shared" si="7"/>
        <v>0</v>
      </c>
      <c r="G113" s="109">
        <v>98</v>
      </c>
      <c r="H113" s="192">
        <f t="shared" si="8"/>
        <v>0</v>
      </c>
      <c r="I113" s="109" t="e">
        <f t="shared" si="6"/>
        <v>#NUM!</v>
      </c>
      <c r="J113" s="109" t="e">
        <f t="shared" si="6"/>
        <v>#NUM!</v>
      </c>
    </row>
    <row r="114" spans="1:10">
      <c r="A114">
        <v>995</v>
      </c>
      <c r="B114">
        <v>0</v>
      </c>
      <c r="C114" s="109" t="e">
        <f t="shared" si="9"/>
        <v>#NUM!</v>
      </c>
      <c r="D114" s="109">
        <v>99</v>
      </c>
      <c r="E114" s="192">
        <f t="shared" si="7"/>
        <v>0</v>
      </c>
      <c r="G114" s="109">
        <v>99</v>
      </c>
      <c r="H114" s="192">
        <f t="shared" si="8"/>
        <v>0</v>
      </c>
      <c r="I114" s="109" t="e">
        <f t="shared" si="6"/>
        <v>#NUM!</v>
      </c>
      <c r="J114" s="109" t="e">
        <f t="shared" si="6"/>
        <v>#NUM!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tabSelected="1" workbookViewId="0">
      <selection activeCell="D6" sqref="D6"/>
    </sheetView>
  </sheetViews>
  <sheetFormatPr baseColWidth="10" defaultRowHeight="12" x14ac:dyDescent="0"/>
  <cols>
    <col min="1" max="1" width="19.5" customWidth="1"/>
    <col min="5" max="5" width="16" customWidth="1"/>
  </cols>
  <sheetData>
    <row r="1" spans="1:12" ht="13" thickBot="1">
      <c r="A1" s="94" t="s">
        <v>6</v>
      </c>
      <c r="B1" s="95"/>
      <c r="D1" s="21" t="s">
        <v>48</v>
      </c>
      <c r="E1" s="19"/>
      <c r="F1" s="19"/>
      <c r="G1" s="19"/>
      <c r="H1" s="19"/>
      <c r="I1" s="19"/>
      <c r="J1" s="19"/>
      <c r="K1" s="19"/>
      <c r="L1" s="20"/>
    </row>
    <row r="2" spans="1:12" ht="19" customHeight="1" thickTop="1">
      <c r="A2" s="43" t="s">
        <v>15</v>
      </c>
      <c r="B2" s="44">
        <f>M_MW</f>
        <v>0.222</v>
      </c>
      <c r="D2" s="22" t="s">
        <v>61</v>
      </c>
      <c r="E2" s="15"/>
      <c r="F2" s="15"/>
      <c r="G2" s="15"/>
      <c r="H2" s="15"/>
      <c r="I2" s="15"/>
      <c r="J2" s="15"/>
      <c r="K2" s="15"/>
      <c r="L2" s="16"/>
    </row>
    <row r="3" spans="1:12">
      <c r="A3" s="41" t="s">
        <v>16</v>
      </c>
      <c r="B3" s="42">
        <v>0.222</v>
      </c>
      <c r="D3" s="62" t="s">
        <v>99</v>
      </c>
      <c r="E3" s="63"/>
      <c r="F3" s="63"/>
      <c r="G3" s="63"/>
      <c r="H3" s="63"/>
      <c r="I3" s="63"/>
      <c r="J3" s="63"/>
      <c r="K3" s="63"/>
      <c r="L3" s="64"/>
    </row>
    <row r="4" spans="1:12">
      <c r="A4" s="41" t="s">
        <v>10</v>
      </c>
      <c r="B4" s="42">
        <v>973.2</v>
      </c>
      <c r="D4" s="45" t="s">
        <v>100</v>
      </c>
      <c r="E4" s="46"/>
      <c r="F4" s="46"/>
      <c r="G4" s="46"/>
      <c r="H4" s="46"/>
      <c r="I4" s="46"/>
      <c r="J4" s="46"/>
      <c r="K4" s="46"/>
      <c r="L4" s="47"/>
    </row>
    <row r="5" spans="1:12">
      <c r="A5" s="41" t="s">
        <v>11</v>
      </c>
      <c r="B5" s="42">
        <v>0.12740000000000001</v>
      </c>
      <c r="D5" s="91" t="s">
        <v>62</v>
      </c>
      <c r="E5" s="92"/>
      <c r="F5" s="92"/>
      <c r="G5" s="92"/>
      <c r="H5" s="92"/>
      <c r="I5" s="92"/>
      <c r="J5" s="92"/>
      <c r="K5" s="92"/>
      <c r="L5" s="93"/>
    </row>
    <row r="6" spans="1:12" ht="13" customHeight="1">
      <c r="A6" s="41" t="s">
        <v>12</v>
      </c>
      <c r="B6" s="42">
        <v>-0.34310000000000002</v>
      </c>
      <c r="D6" s="80" t="s">
        <v>63</v>
      </c>
      <c r="E6" s="81"/>
      <c r="F6" s="81"/>
      <c r="G6" s="81"/>
      <c r="H6" s="81"/>
      <c r="I6" s="81"/>
      <c r="J6" s="81"/>
      <c r="K6" s="81"/>
      <c r="L6" s="82"/>
    </row>
    <row r="7" spans="1:12" ht="20">
      <c r="A7" s="41" t="s">
        <v>19</v>
      </c>
      <c r="B7" s="200">
        <v>6.0999999999999999E-2</v>
      </c>
      <c r="D7" s="71" t="s">
        <v>67</v>
      </c>
      <c r="E7" s="72"/>
      <c r="F7" s="72"/>
      <c r="G7" s="96"/>
      <c r="H7" s="72"/>
      <c r="I7" s="72"/>
      <c r="J7" s="72"/>
      <c r="K7" s="72"/>
      <c r="L7" s="73"/>
    </row>
    <row r="8" spans="1:12" ht="20">
      <c r="A8" s="41" t="s">
        <v>20</v>
      </c>
      <c r="B8" s="199">
        <v>2.75</v>
      </c>
      <c r="D8" s="71" t="s">
        <v>68</v>
      </c>
      <c r="E8" s="72"/>
      <c r="F8" s="72"/>
      <c r="G8" s="72"/>
      <c r="H8" s="72"/>
      <c r="I8" s="72"/>
      <c r="J8" s="72"/>
      <c r="K8" s="72"/>
      <c r="L8" s="73"/>
    </row>
    <row r="9" spans="1:12" ht="20">
      <c r="A9" s="41" t="s">
        <v>17</v>
      </c>
      <c r="B9" s="200">
        <v>6.0999999999999999E-2</v>
      </c>
      <c r="D9" s="71" t="s">
        <v>69</v>
      </c>
      <c r="E9" s="72"/>
      <c r="F9" s="72"/>
      <c r="G9" s="72"/>
      <c r="H9" s="72"/>
      <c r="I9" s="72"/>
      <c r="J9" s="72"/>
      <c r="K9" s="72"/>
      <c r="L9" s="73"/>
    </row>
    <row r="10" spans="1:12" ht="20">
      <c r="A10" s="41" t="s">
        <v>18</v>
      </c>
      <c r="B10" s="199">
        <v>2.75</v>
      </c>
      <c r="D10" s="71" t="s">
        <v>70</v>
      </c>
      <c r="E10" s="72"/>
      <c r="F10" s="72"/>
      <c r="G10" s="72"/>
      <c r="H10" s="72"/>
      <c r="I10" s="72"/>
      <c r="J10" s="72"/>
      <c r="K10" s="72"/>
      <c r="L10" s="73"/>
    </row>
    <row r="11" spans="1:12" ht="20">
      <c r="A11" s="41" t="s">
        <v>35</v>
      </c>
      <c r="B11" s="199">
        <v>25.45</v>
      </c>
      <c r="D11" s="71" t="s">
        <v>65</v>
      </c>
      <c r="E11" s="72"/>
      <c r="F11" s="72"/>
      <c r="G11" s="72"/>
      <c r="H11" s="72"/>
      <c r="I11" s="72"/>
      <c r="J11" s="72"/>
      <c r="K11" s="72"/>
      <c r="L11" s="73"/>
    </row>
    <row r="12" spans="1:12" ht="20">
      <c r="A12" s="41" t="s">
        <v>36</v>
      </c>
      <c r="B12" s="199">
        <v>40</v>
      </c>
      <c r="D12" s="71" t="s">
        <v>101</v>
      </c>
      <c r="E12" s="72"/>
      <c r="F12" s="72"/>
      <c r="G12" s="72"/>
      <c r="H12" s="72"/>
      <c r="I12" s="72"/>
      <c r="J12" s="72"/>
      <c r="K12" s="72"/>
      <c r="L12" s="73"/>
    </row>
    <row r="13" spans="1:12" ht="13" thickBot="1">
      <c r="A13" s="41" t="s">
        <v>37</v>
      </c>
      <c r="B13" s="42">
        <v>245</v>
      </c>
      <c r="D13" s="85" t="s">
        <v>102</v>
      </c>
      <c r="E13" s="86"/>
      <c r="F13" s="86"/>
      <c r="G13" s="86"/>
      <c r="H13" s="86"/>
      <c r="I13" s="86"/>
      <c r="J13" s="86"/>
      <c r="K13" s="86"/>
      <c r="L13" s="87"/>
    </row>
    <row r="14" spans="1:12">
      <c r="A14" s="41" t="s">
        <v>38</v>
      </c>
      <c r="B14" s="42">
        <v>275</v>
      </c>
    </row>
    <row r="15" spans="1:12" ht="13" thickBot="1"/>
    <row r="16" spans="1:12">
      <c r="E16" s="83" t="s">
        <v>64</v>
      </c>
      <c r="F16" s="84">
        <v>2.0440907019545445</v>
      </c>
    </row>
    <row r="17" spans="1:16" ht="13" thickBot="1">
      <c r="E17" s="97" t="s">
        <v>66</v>
      </c>
      <c r="F17" s="98">
        <f ca="1">Pred_MW-Obs_MW</f>
        <v>0</v>
      </c>
    </row>
    <row r="20" spans="1:16" ht="13" thickBot="1">
      <c r="A20" s="89" t="s">
        <v>0</v>
      </c>
      <c r="B20" s="89" t="s">
        <v>14</v>
      </c>
      <c r="C20" s="89" t="s">
        <v>5</v>
      </c>
      <c r="D20" s="89" t="s">
        <v>4</v>
      </c>
      <c r="E20" s="89" t="s">
        <v>13</v>
      </c>
      <c r="F20" s="89" t="s">
        <v>1</v>
      </c>
      <c r="G20" s="89" t="s">
        <v>32</v>
      </c>
      <c r="H20" s="89" t="s">
        <v>33</v>
      </c>
      <c r="I20" s="89" t="s">
        <v>34</v>
      </c>
      <c r="J20" s="90" t="s">
        <v>7</v>
      </c>
      <c r="K20" s="88"/>
      <c r="M20" s="3" t="s">
        <v>21</v>
      </c>
      <c r="N20" s="3" t="s">
        <v>3</v>
      </c>
      <c r="O20" s="3" t="s">
        <v>2</v>
      </c>
      <c r="P20" s="3" t="s">
        <v>50</v>
      </c>
    </row>
    <row r="21" spans="1:16" ht="13" thickTop="1">
      <c r="A21">
        <v>1</v>
      </c>
      <c r="B21" s="4">
        <f>Linf_MW*(1-EXP(-1*k_MW*(A21-t0_MW)))</f>
        <v>153.05703640501736</v>
      </c>
      <c r="C21" s="2">
        <f>Wa_MW*(B21/10)^Wb_MW*0.001</f>
        <v>0.11057995526851831</v>
      </c>
      <c r="D21" s="1">
        <f t="shared" ref="D21:D54" si="0">MAX(fa_MW*B21+fb_MW,0)</f>
        <v>12.086479220706059</v>
      </c>
      <c r="E21" s="6">
        <f t="shared" ref="E21:E54" si="1">1/(1+EXP(-($B21-ma_MW)/((mb_MW-ma_MW)/LOG(19))))</f>
        <v>0.99998652929667375</v>
      </c>
      <c r="F21" s="5">
        <f t="shared" ref="F21:F54" si="2">1/(1+EXP(-($B21-Va_MW)/((Vb_MW-Va_MW)/LOG(19))))</f>
        <v>1.9472645473200198E-2</v>
      </c>
      <c r="G21">
        <v>1</v>
      </c>
      <c r="H21">
        <v>1</v>
      </c>
      <c r="I21">
        <v>1</v>
      </c>
      <c r="J21" t="s">
        <v>2</v>
      </c>
      <c r="K21">
        <f ca="1">SUMPRODUCT(Nfished_MW,vulnerability_MW,weight_MW)*(1-EXP(-F_MW))</f>
        <v>0.82812255648817434</v>
      </c>
      <c r="M21" s="8"/>
      <c r="N21" s="13">
        <f ca="1">K23</f>
        <v>0.52086488681049459</v>
      </c>
      <c r="O21" s="13">
        <f ca="1">K21</f>
        <v>0.82812255648817434</v>
      </c>
      <c r="P21" s="14">
        <f ca="1">K25</f>
        <v>2.0440907019545445</v>
      </c>
    </row>
    <row r="22" spans="1:16">
      <c r="A22">
        <v>2</v>
      </c>
      <c r="B22" s="4">
        <f>Linf_MW*(1-EXP(-1*k_MW*(A22-t0_MW)))</f>
        <v>251.16134884952942</v>
      </c>
      <c r="C22" s="2">
        <f>Wa_MW*(B22/10)^Wb_MW*0.001</f>
        <v>0.43171789772493763</v>
      </c>
      <c r="D22" s="1">
        <f t="shared" si="0"/>
        <v>18.070842279821292</v>
      </c>
      <c r="E22" s="6">
        <f t="shared" si="1"/>
        <v>0.99999999757408831</v>
      </c>
      <c r="F22" s="5">
        <f t="shared" si="2"/>
        <v>0.56528225989264291</v>
      </c>
      <c r="G22" s="2">
        <f t="shared" ref="G22:G54" si="3">$G21*EXP(-M_MW)</f>
        <v>0.80091536433465915</v>
      </c>
      <c r="H22" s="2">
        <f t="shared" ref="H22:H54" si="4">$H21*EXP(-M_MW-F_MW*$F21)</f>
        <v>0.79746053830624841</v>
      </c>
      <c r="I22" s="5">
        <f t="shared" ref="I22:I54" si="5">$H22*(1-EXP(-(F_MW*$F22)))*$C22</f>
        <v>4.060337556662711E-2</v>
      </c>
      <c r="J22" t="s">
        <v>9</v>
      </c>
      <c r="K22" s="1">
        <f ca="1">SUMPRODUCT(Nfished_MW,maturity_MW,fecundity_MW)</f>
        <v>74.06062509427251</v>
      </c>
      <c r="M22" s="8">
        <v>0</v>
      </c>
      <c r="N22" s="13">
        <f t="dataTable" ref="N22:P222" dt2D="0" dtr="0" r1="B2" ca="1"/>
        <v>1</v>
      </c>
      <c r="O22" s="13">
        <v>0</v>
      </c>
      <c r="P22" s="14">
        <v>3.9497927077677937</v>
      </c>
    </row>
    <row r="23" spans="1:16">
      <c r="A23">
        <v>3</v>
      </c>
      <c r="B23" s="4">
        <f>Linf_MW*(1-EXP(-1*k_MW*(A23-t0_MW)))</f>
        <v>337.53056564922485</v>
      </c>
      <c r="C23" s="2">
        <f>Wa_MW*(B23/10)^Wb_MW*0.001</f>
        <v>0.97317485679660543</v>
      </c>
      <c r="D23" s="1">
        <f t="shared" si="0"/>
        <v>23.339364504602717</v>
      </c>
      <c r="E23" s="6">
        <f t="shared" si="1"/>
        <v>0.99999999999877454</v>
      </c>
      <c r="F23" s="5">
        <f t="shared" si="2"/>
        <v>0.98099986928436422</v>
      </c>
      <c r="G23" s="2">
        <f t="shared" si="3"/>
        <v>0.64146542082731983</v>
      </c>
      <c r="H23" s="2">
        <f t="shared" si="4"/>
        <v>0.5633717374936148</v>
      </c>
      <c r="I23" s="5">
        <f t="shared" si="5"/>
        <v>0.10729389784877272</v>
      </c>
      <c r="J23" t="s">
        <v>3</v>
      </c>
      <c r="K23" s="9">
        <f ca="1">K22/K24</f>
        <v>0.52086488681049459</v>
      </c>
      <c r="M23" s="8">
        <v>0.01</v>
      </c>
      <c r="N23" s="13">
        <v>0.95555968095453325</v>
      </c>
      <c r="O23" s="13">
        <v>0.1336260989025905</v>
      </c>
      <c r="P23" s="14">
        <v>3.7955327509563963</v>
      </c>
    </row>
    <row r="24" spans="1:16">
      <c r="A24">
        <v>4</v>
      </c>
      <c r="B24" s="4">
        <f>Linf_MW*(1-EXP(-1*k_MW*(A24-t0_MW)))</f>
        <v>413.56842193420704</v>
      </c>
      <c r="C24" s="2">
        <f>Wa_MW*(B24/10)^Wb_MW*0.001</f>
        <v>1.7015123456885748</v>
      </c>
      <c r="D24" s="1">
        <f t="shared" si="0"/>
        <v>27.977673737986628</v>
      </c>
      <c r="E24" s="6">
        <f t="shared" si="1"/>
        <v>0.99999999999999845</v>
      </c>
      <c r="F24" s="5">
        <f t="shared" si="2"/>
        <v>0.99924289348809203</v>
      </c>
      <c r="G24" s="2">
        <f t="shared" si="3"/>
        <v>0.5137595112299983</v>
      </c>
      <c r="H24" s="2">
        <f t="shared" si="4"/>
        <v>0.36291103406631259</v>
      </c>
      <c r="I24" s="5">
        <f t="shared" si="5"/>
        <v>0.12285115366144141</v>
      </c>
      <c r="J24" s="10" t="s">
        <v>8</v>
      </c>
      <c r="K24" s="7">
        <f ca="1">SUMPRODUCT(fecundity_MW,maturity_MW,Nunfished_MW)</f>
        <v>142.18778606440765</v>
      </c>
      <c r="M24" s="8">
        <v>0.02</v>
      </c>
      <c r="N24" s="13">
        <v>0.91518985688216792</v>
      </c>
      <c r="O24" s="13">
        <v>0.2464892965905697</v>
      </c>
      <c r="P24" s="14">
        <v>3.6516858168794148</v>
      </c>
    </row>
    <row r="25" spans="1:16">
      <c r="A25">
        <v>5</v>
      </c>
      <c r="B25" s="4">
        <f>Linf_MW*(1-EXP(-1*k_MW*(A25-t0_MW)))</f>
        <v>480.51074007313906</v>
      </c>
      <c r="C25" s="2">
        <f>Wa_MW*(B25/10)^Wb_MW*0.001</f>
        <v>2.5704748427520139</v>
      </c>
      <c r="D25" s="1">
        <f t="shared" si="0"/>
        <v>32.06115514446148</v>
      </c>
      <c r="E25" s="6">
        <f t="shared" si="1"/>
        <v>1</v>
      </c>
      <c r="F25" s="5">
        <f t="shared" si="2"/>
        <v>0.99995632423739123</v>
      </c>
      <c r="G25" s="2">
        <f t="shared" si="3"/>
        <v>0.41147788611717051</v>
      </c>
      <c r="H25" s="2">
        <f t="shared" si="4"/>
        <v>0.23283401009386012</v>
      </c>
      <c r="I25" s="5">
        <f t="shared" si="5"/>
        <v>0.11914630532452346</v>
      </c>
      <c r="J25" t="s">
        <v>50</v>
      </c>
      <c r="K25">
        <f ca="1">SUMPRODUCT(Nfished_MW,weight_MW,vulnerability_MW)/SUMPRODUCT(Nfished_MW,vulnerability_MW)</f>
        <v>2.0440907019545445</v>
      </c>
      <c r="M25" s="8">
        <v>0.03</v>
      </c>
      <c r="N25" s="13">
        <v>0.87839018733326735</v>
      </c>
      <c r="O25" s="13">
        <v>0.34196955775249904</v>
      </c>
      <c r="P25" s="14">
        <v>3.5173951812687427</v>
      </c>
    </row>
    <row r="26" spans="1:16">
      <c r="A26">
        <v>6</v>
      </c>
      <c r="B26" s="4">
        <f>Linf_MW*(1-EXP(-1*k_MW*(A26-t0_MW)))</f>
        <v>539.44551515436467</v>
      </c>
      <c r="C26" s="2">
        <f>Wa_MW*(B26/10)^Wb_MW*0.001</f>
        <v>3.5333421866246502</v>
      </c>
      <c r="D26" s="1">
        <f t="shared" si="0"/>
        <v>35.656176424416245</v>
      </c>
      <c r="E26" s="6">
        <f t="shared" si="1"/>
        <v>1</v>
      </c>
      <c r="F26" s="5">
        <f t="shared" si="2"/>
        <v>0.99999645785813951</v>
      </c>
      <c r="G26" s="2">
        <f t="shared" si="3"/>
        <v>0.32955896107518901</v>
      </c>
      <c r="H26" s="2">
        <f t="shared" si="4"/>
        <v>0.14935641442342645</v>
      </c>
      <c r="I26" s="5">
        <f t="shared" si="5"/>
        <v>0.10506206885296132</v>
      </c>
      <c r="J26" t="s">
        <v>51</v>
      </c>
      <c r="K26">
        <f ca="1">SUMPRODUCT(Nunfished_MW,weight_MW,vulnerability_MW)/SUMPRODUCT(Nunfished_MW,vulnerability_MW)</f>
        <v>3.9497927077677937</v>
      </c>
      <c r="M26" s="8">
        <v>0.04</v>
      </c>
      <c r="N26" s="13">
        <v>0.84473482008380318</v>
      </c>
      <c r="O26" s="13">
        <v>0.42284064351247597</v>
      </c>
      <c r="P26" s="14">
        <v>3.3918751041808162</v>
      </c>
    </row>
    <row r="27" spans="1:16">
      <c r="A27">
        <v>7</v>
      </c>
      <c r="B27" s="4">
        <f>Linf_MW*(1-EXP(-1*k_MW*(A27-t0_MW)))</f>
        <v>591.33059787089326</v>
      </c>
      <c r="C27" s="2">
        <f>Wa_MW*(B27/10)^Wb_MW*0.001</f>
        <v>4.5484487156412987</v>
      </c>
      <c r="D27" s="1">
        <f t="shared" si="0"/>
        <v>38.821166470124489</v>
      </c>
      <c r="E27" s="6">
        <f t="shared" si="1"/>
        <v>1</v>
      </c>
      <c r="F27" s="5">
        <f t="shared" si="2"/>
        <v>0.99999961204779697</v>
      </c>
      <c r="G27" s="2">
        <f t="shared" si="3"/>
        <v>0.26394883537928676</v>
      </c>
      <c r="H27" s="2">
        <f t="shared" si="4"/>
        <v>9.5807050569753707E-2</v>
      </c>
      <c r="I27" s="5">
        <f t="shared" si="5"/>
        <v>8.6755769683675335E-2</v>
      </c>
      <c r="M27" s="8">
        <v>0.05</v>
      </c>
      <c r="N27" s="13">
        <v>0.81385972282578511</v>
      </c>
      <c r="O27" s="13">
        <v>0.49138888295774125</v>
      </c>
      <c r="P27" s="14">
        <v>3.2744073545184156</v>
      </c>
    </row>
    <row r="28" spans="1:16">
      <c r="A28">
        <v>8</v>
      </c>
      <c r="B28" s="4">
        <f>Linf_MW*(1-EXP(-1*k_MW*(A28-t0_MW)))</f>
        <v>637.00926220431495</v>
      </c>
      <c r="C28" s="2">
        <f>Wa_MW*(B28/10)^Wb_MW*0.001</f>
        <v>5.5812392468050778</v>
      </c>
      <c r="D28" s="1">
        <f t="shared" si="0"/>
        <v>41.60756499446321</v>
      </c>
      <c r="E28" s="6">
        <f t="shared" si="1"/>
        <v>1</v>
      </c>
      <c r="F28" s="5">
        <f t="shared" si="2"/>
        <v>0.99999994464184816</v>
      </c>
      <c r="G28" s="2">
        <f t="shared" si="3"/>
        <v>0.21140067765351042</v>
      </c>
      <c r="H28" s="2">
        <f t="shared" si="4"/>
        <v>6.1456915304951898E-2</v>
      </c>
      <c r="I28" s="5">
        <f t="shared" si="5"/>
        <v>6.8287170933341745E-2</v>
      </c>
      <c r="M28" s="2">
        <v>0.06</v>
      </c>
      <c r="N28" s="13">
        <v>0.7854523849417181</v>
      </c>
      <c r="O28" s="13">
        <v>0.54950693338782386</v>
      </c>
      <c r="P28" s="14">
        <v>3.1643369874824203</v>
      </c>
    </row>
    <row r="29" spans="1:16">
      <c r="A29">
        <v>9</v>
      </c>
      <c r="B29" s="4">
        <f>Linf_MW*(1-EXP(-1*k_MW*(A29-t0_MW)))</f>
        <v>677.22391092493297</v>
      </c>
      <c r="C29" s="2">
        <f>Wa_MW*(B29/10)^Wb_MW*0.001</f>
        <v>6.604555811577133</v>
      </c>
      <c r="D29" s="1">
        <f t="shared" si="0"/>
        <v>44.060658566420912</v>
      </c>
      <c r="E29" s="6">
        <f t="shared" si="1"/>
        <v>1</v>
      </c>
      <c r="F29" s="5">
        <f t="shared" si="2"/>
        <v>0.99999999002911111</v>
      </c>
      <c r="G29" s="2">
        <f t="shared" si="3"/>
        <v>0.16931405076345513</v>
      </c>
      <c r="H29" s="2">
        <f t="shared" si="4"/>
        <v>3.9422486523322947E-2</v>
      </c>
      <c r="I29" s="5">
        <f t="shared" si="5"/>
        <v>5.1835270440786556E-2</v>
      </c>
      <c r="M29" s="2">
        <v>7.0000000000000007E-2</v>
      </c>
      <c r="N29" s="13">
        <v>0.75924341388449768</v>
      </c>
      <c r="O29" s="13">
        <v>0.59876810308241746</v>
      </c>
      <c r="P29" s="14">
        <v>3.0610677486585418</v>
      </c>
    </row>
    <row r="30" spans="1:16">
      <c r="A30">
        <v>10</v>
      </c>
      <c r="B30" s="4">
        <f>Linf_MW*(1-EXP(-1*k_MW*(A30-t0_MW)))</f>
        <v>712.62814165983741</v>
      </c>
      <c r="C30" s="2">
        <f>Wa_MW*(B30/10)^Wb_MW*0.001</f>
        <v>7.5980648984288868</v>
      </c>
      <c r="D30" s="1">
        <f t="shared" si="0"/>
        <v>46.220316641250079</v>
      </c>
      <c r="E30" s="6">
        <f t="shared" si="1"/>
        <v>1</v>
      </c>
      <c r="F30" s="5">
        <f t="shared" si="2"/>
        <v>0.99999999779536886</v>
      </c>
      <c r="G30" s="2">
        <f t="shared" si="3"/>
        <v>0.13560622465418964</v>
      </c>
      <c r="H30" s="2">
        <f t="shared" si="4"/>
        <v>2.528816196371899E-2</v>
      </c>
      <c r="I30" s="5">
        <f t="shared" si="5"/>
        <v>3.8252339970862907E-2</v>
      </c>
      <c r="M30" s="2">
        <v>0.08</v>
      </c>
      <c r="N30" s="13">
        <v>0.73499965117702326</v>
      </c>
      <c r="O30" s="13">
        <v>0.64048551269562681</v>
      </c>
      <c r="P30" s="14">
        <v>2.9640573691068743</v>
      </c>
    </row>
    <row r="31" spans="1:16">
      <c r="A31">
        <v>11</v>
      </c>
      <c r="B31" s="4">
        <f>Linf_MW*(1-EXP(-1*k_MW*(A31-t0_MW)))</f>
        <v>743.79736963540608</v>
      </c>
      <c r="C31" s="2">
        <f>Wa_MW*(B31/10)^Wb_MW*0.001</f>
        <v>8.5473224870472446</v>
      </c>
      <c r="D31" s="1">
        <f t="shared" si="0"/>
        <v>48.12163954775977</v>
      </c>
      <c r="E31" s="6">
        <f t="shared" si="1"/>
        <v>1</v>
      </c>
      <c r="F31" s="5">
        <f t="shared" si="2"/>
        <v>0.99999999941610374</v>
      </c>
      <c r="G31" s="2">
        <f t="shared" si="3"/>
        <v>0.10860910882495793</v>
      </c>
      <c r="H31" s="2">
        <f t="shared" si="4"/>
        <v>1.6221481463945673E-2</v>
      </c>
      <c r="I31" s="5">
        <f t="shared" si="5"/>
        <v>2.7603131165060267E-2</v>
      </c>
      <c r="M31" s="2">
        <v>0.09</v>
      </c>
      <c r="N31" s="13">
        <v>0.71251851144040013</v>
      </c>
      <c r="O31" s="13">
        <v>0.67575938617176168</v>
      </c>
      <c r="P31" s="14">
        <v>2.8728129319900026</v>
      </c>
    </row>
    <row r="32" spans="1:16">
      <c r="A32">
        <v>12</v>
      </c>
      <c r="B32" s="4">
        <f>Linf_MW*(1-EXP(-1*k_MW*(A32-t0_MW)))</f>
        <v>771.23817974274607</v>
      </c>
      <c r="C32" s="2">
        <f>Wa_MW*(B32/10)^Wb_MW*0.001</f>
        <v>9.442745126869756</v>
      </c>
      <c r="D32" s="1">
        <f t="shared" si="0"/>
        <v>49.795528964307508</v>
      </c>
      <c r="E32" s="6">
        <f t="shared" si="1"/>
        <v>1</v>
      </c>
      <c r="F32" s="5">
        <f t="shared" si="2"/>
        <v>0.99999999981871768</v>
      </c>
      <c r="G32" s="2">
        <f t="shared" si="3"/>
        <v>8.6986703964603826E-2</v>
      </c>
      <c r="H32" s="2">
        <f t="shared" si="4"/>
        <v>1.0405519435061295E-2</v>
      </c>
      <c r="I32" s="5">
        <f t="shared" si="5"/>
        <v>1.9561392934954784E-2</v>
      </c>
      <c r="M32" s="2">
        <v>0.1</v>
      </c>
      <c r="N32" s="13">
        <v>0.69162330916685133</v>
      </c>
      <c r="O32" s="13">
        <v>0.70551501211801582</v>
      </c>
      <c r="P32" s="14">
        <v>2.7868864284169854</v>
      </c>
    </row>
    <row r="33" spans="1:16">
      <c r="A33">
        <v>13</v>
      </c>
      <c r="B33" s="4">
        <f>Linf_MW*(1-EXP(-1*k_MW*(A33-t0_MW)))</f>
        <v>795.39655992262476</v>
      </c>
      <c r="C33" s="2">
        <f>Wa_MW*(B33/10)^Wb_MW*0.001</f>
        <v>10.278625264215627</v>
      </c>
      <c r="D33" s="1">
        <f t="shared" si="0"/>
        <v>51.269190155280107</v>
      </c>
      <c r="E33" s="6">
        <f t="shared" si="1"/>
        <v>1</v>
      </c>
      <c r="F33" s="5">
        <f t="shared" si="2"/>
        <v>0.99999999993526512</v>
      </c>
      <c r="G33" s="2">
        <f t="shared" si="3"/>
        <v>6.9668987698081816E-2</v>
      </c>
      <c r="H33" s="2">
        <f t="shared" si="4"/>
        <v>6.6747809036070728E-3</v>
      </c>
      <c r="I33" s="5">
        <f t="shared" si="5"/>
        <v>1.3658713400837566E-2</v>
      </c>
      <c r="M33" s="2">
        <v>0.11</v>
      </c>
      <c r="N33" s="13">
        <v>0.67215938602018355</v>
      </c>
      <c r="O33" s="13">
        <v>0.7305333441119547</v>
      </c>
      <c r="P33" s="14">
        <v>2.7058705740609428</v>
      </c>
    </row>
    <row r="34" spans="1:16">
      <c r="A34">
        <v>14</v>
      </c>
      <c r="B34" s="4">
        <f>Linf_MW*(1-EXP(-1*k_MW*(A34-t0_MW)))</f>
        <v>816.66514968482875</v>
      </c>
      <c r="C34" s="2">
        <f>Wa_MW*(B34/10)^Wb_MW*0.001</f>
        <v>11.052255039996229</v>
      </c>
      <c r="D34" s="1">
        <f t="shared" si="0"/>
        <v>52.566574130774555</v>
      </c>
      <c r="E34" s="6">
        <f t="shared" si="1"/>
        <v>1</v>
      </c>
      <c r="F34" s="5">
        <f t="shared" si="2"/>
        <v>0.99999999997385314</v>
      </c>
      <c r="G34" s="2">
        <f t="shared" si="3"/>
        <v>5.5798962665036082E-2</v>
      </c>
      <c r="H34" s="2">
        <f t="shared" si="4"/>
        <v>4.2816411413240012E-3</v>
      </c>
      <c r="I34" s="5">
        <f t="shared" si="5"/>
        <v>9.4210412977989468E-3</v>
      </c>
      <c r="M34" s="2">
        <v>0.12</v>
      </c>
      <c r="N34" s="13">
        <v>0.6539908892313343</v>
      </c>
      <c r="O34" s="13">
        <v>0.75147577020166567</v>
      </c>
      <c r="P34" s="14">
        <v>2.6293949250259514</v>
      </c>
    </row>
    <row r="35" spans="1:16">
      <c r="A35">
        <v>15</v>
      </c>
      <c r="B35" s="4">
        <f>Linf_MW*(1-EXP(-1*k_MW*(A35-t0_MW)))</f>
        <v>835.38962157014532</v>
      </c>
      <c r="C35" s="2">
        <f>Wa_MW*(B35/10)^Wb_MW*0.001</f>
        <v>11.763181355883358</v>
      </c>
      <c r="D35" s="1">
        <f t="shared" si="0"/>
        <v>53.708766915778867</v>
      </c>
      <c r="E35" s="6">
        <f t="shared" si="1"/>
        <v>1</v>
      </c>
      <c r="F35" s="5">
        <f t="shared" si="2"/>
        <v>0.99999999998822964</v>
      </c>
      <c r="G35" s="2">
        <f t="shared" si="3"/>
        <v>4.4690246512363418E-2</v>
      </c>
      <c r="H35" s="2">
        <f t="shared" si="4"/>
        <v>2.7465247365669088E-3</v>
      </c>
      <c r="I35" s="5">
        <f t="shared" si="5"/>
        <v>6.4320002442415508E-3</v>
      </c>
      <c r="M35" s="2">
        <v>0.13</v>
      </c>
      <c r="N35" s="13">
        <v>0.63699808143864822</v>
      </c>
      <c r="O35" s="13">
        <v>0.76890424539853985</v>
      </c>
      <c r="P35" s="14">
        <v>2.5571223083029659</v>
      </c>
    </row>
    <row r="36" spans="1:16">
      <c r="A36">
        <v>16</v>
      </c>
      <c r="B36" s="4">
        <f>Linf_MW*(1-EXP(-1*k_MW*(A36-t0_MW)))</f>
        <v>851.87429927111202</v>
      </c>
      <c r="C36" s="2">
        <f>Wa_MW*(B36/10)^Wb_MW*0.001</f>
        <v>12.412592669199938</v>
      </c>
      <c r="D36" s="1">
        <f t="shared" si="0"/>
        <v>54.714332255537833</v>
      </c>
      <c r="E36" s="6">
        <f t="shared" si="1"/>
        <v>1</v>
      </c>
      <c r="F36" s="5">
        <f t="shared" si="2"/>
        <v>0.99999999999417044</v>
      </c>
      <c r="G36" s="2">
        <f t="shared" si="3"/>
        <v>3.5793105067655276E-2</v>
      </c>
      <c r="H36" s="2">
        <f t="shared" si="4"/>
        <v>1.7618006459591397E-3</v>
      </c>
      <c r="I36" s="5">
        <f t="shared" si="5"/>
        <v>4.353685098933544E-3</v>
      </c>
      <c r="M36" s="2">
        <v>0.14000000000000001</v>
      </c>
      <c r="N36" s="13">
        <v>0.62107508586177562</v>
      </c>
      <c r="O36" s="13">
        <v>0.78329772184211188</v>
      </c>
      <c r="P36" s="14">
        <v>2.4887455664640981</v>
      </c>
    </row>
    <row r="37" spans="1:16">
      <c r="A37">
        <v>17</v>
      </c>
      <c r="B37" s="4">
        <f>Linf_MW*(1-EXP(-1*k_MW*(A37-t0_MW)))</f>
        <v>866.38710372130561</v>
      </c>
      <c r="C37" s="2">
        <f>Wa_MW*(B37/10)^Wb_MW*0.001</f>
        <v>13.002826798085714</v>
      </c>
      <c r="D37" s="1">
        <f t="shared" si="0"/>
        <v>55.599613326999638</v>
      </c>
      <c r="E37" s="6">
        <f t="shared" si="1"/>
        <v>1</v>
      </c>
      <c r="F37" s="5">
        <f t="shared" si="2"/>
        <v>0.99999999999685962</v>
      </c>
      <c r="G37" s="2">
        <f t="shared" si="3"/>
        <v>2.8667247785929859E-2</v>
      </c>
      <c r="H37" s="2">
        <f t="shared" si="4"/>
        <v>1.130134192775486E-3</v>
      </c>
      <c r="I37" s="5">
        <f t="shared" si="5"/>
        <v>2.9255366102289146E-3</v>
      </c>
      <c r="M37" s="2">
        <v>0.15</v>
      </c>
      <c r="N37" s="13">
        <v>0.60612798935559098</v>
      </c>
      <c r="O37" s="13">
        <v>0.79506561112440111</v>
      </c>
      <c r="P37" s="14">
        <v>2.4239846060295247</v>
      </c>
    </row>
    <row r="38" spans="1:16">
      <c r="A38">
        <v>18</v>
      </c>
      <c r="B38" s="4">
        <f>Linf_MW*(1-EXP(-1*k_MW*(A38-t0_MW)))</f>
        <v>879.16390754060058</v>
      </c>
      <c r="C38" s="2">
        <f>Wa_MW*(B38/10)^Wb_MW*0.001</f>
        <v>13.536984268472988</v>
      </c>
      <c r="D38" s="1">
        <f t="shared" si="0"/>
        <v>56.378998359976634</v>
      </c>
      <c r="E38" s="6">
        <f t="shared" si="1"/>
        <v>1</v>
      </c>
      <c r="F38" s="5">
        <f t="shared" si="2"/>
        <v>0.99999999999817835</v>
      </c>
      <c r="G38" s="2">
        <f t="shared" si="3"/>
        <v>2.2960039204939966E-2</v>
      </c>
      <c r="H38" s="2">
        <f t="shared" si="4"/>
        <v>7.2494200556057588E-4</v>
      </c>
      <c r="I38" s="5">
        <f t="shared" si="5"/>
        <v>1.9537227509537868E-3</v>
      </c>
      <c r="M38" s="2">
        <v>0.16</v>
      </c>
      <c r="N38" s="13">
        <v>0.59207324072131073</v>
      </c>
      <c r="O38" s="13">
        <v>0.80455885809284544</v>
      </c>
      <c r="P38" s="14">
        <v>2.3625837326796257</v>
      </c>
    </row>
    <row r="39" spans="1:16">
      <c r="A39">
        <v>19</v>
      </c>
      <c r="B39" s="4">
        <f>Linf_MW*(1-EXP(-1*k_MW*(A39-t0_MW)))</f>
        <v>890.41236860799779</v>
      </c>
      <c r="C39" s="2">
        <f>Wa_MW*(B39/10)^Wb_MW*0.001</f>
        <v>14.018630578389025</v>
      </c>
      <c r="D39" s="1">
        <f t="shared" si="0"/>
        <v>57.065154485087866</v>
      </c>
      <c r="E39" s="6">
        <f t="shared" si="1"/>
        <v>1</v>
      </c>
      <c r="F39" s="5">
        <f t="shared" si="2"/>
        <v>0.99999999999887224</v>
      </c>
      <c r="G39" s="2">
        <f t="shared" si="3"/>
        <v>1.8389048164962552E-2</v>
      </c>
      <c r="H39" s="2">
        <f t="shared" si="4"/>
        <v>4.6502522867250415E-4</v>
      </c>
      <c r="I39" s="5">
        <f t="shared" si="5"/>
        <v>1.2978361025183318E-3</v>
      </c>
      <c r="M39" s="2">
        <v>0.17</v>
      </c>
      <c r="N39" s="13">
        <v>0.57883629347549925</v>
      </c>
      <c r="O39" s="13">
        <v>0.81207908477918322</v>
      </c>
      <c r="P39" s="14">
        <v>2.3043092530229456</v>
      </c>
    </row>
    <row r="40" spans="1:16">
      <c r="A40">
        <v>20</v>
      </c>
      <c r="B40" s="4">
        <f>Linf_MW*(1-EXP(-1*k_MW*(A40-t0_MW)))</f>
        <v>900.31530506802812</v>
      </c>
      <c r="C40" s="2">
        <f>Wa_MW*(B40/10)^Wb_MW*0.001</f>
        <v>14.451571501079401</v>
      </c>
      <c r="D40" s="1">
        <f t="shared" si="0"/>
        <v>57.669233609149714</v>
      </c>
      <c r="E40" s="6">
        <f t="shared" si="1"/>
        <v>1</v>
      </c>
      <c r="F40" s="5">
        <f t="shared" si="2"/>
        <v>0.99999999999926059</v>
      </c>
      <c r="G40" s="2">
        <f t="shared" si="3"/>
        <v>1.4728071210808578E-2</v>
      </c>
      <c r="H40" s="2">
        <f t="shared" si="4"/>
        <v>2.9829760400580321E-4</v>
      </c>
      <c r="I40" s="5">
        <f t="shared" si="5"/>
        <v>8.5822781470360193E-4</v>
      </c>
      <c r="M40" s="2">
        <v>0.18</v>
      </c>
      <c r="N40" s="13">
        <v>0.56635045173175702</v>
      </c>
      <c r="O40" s="13">
        <v>0.81788616893752975</v>
      </c>
      <c r="P40" s="14">
        <v>2.2489473211062974</v>
      </c>
    </row>
    <row r="41" spans="1:16">
      <c r="A41">
        <v>21</v>
      </c>
      <c r="B41" s="4">
        <f>Linf_MW*(1-EXP(-1*k_MW*(A41-t0_MW)))</f>
        <v>909.03366662378266</v>
      </c>
      <c r="C41" s="2">
        <f>Wa_MW*(B41/10)^Wb_MW*0.001</f>
        <v>14.839687199251006</v>
      </c>
      <c r="D41" s="1">
        <f t="shared" si="0"/>
        <v>58.20105366405074</v>
      </c>
      <c r="E41" s="6">
        <f t="shared" si="1"/>
        <v>1</v>
      </c>
      <c r="F41" s="5">
        <f t="shared" si="2"/>
        <v>0.99999999999949019</v>
      </c>
      <c r="G41" s="2">
        <f t="shared" si="3"/>
        <v>1.1795938519751557E-2</v>
      </c>
      <c r="H41" s="2">
        <f t="shared" si="4"/>
        <v>1.913475980853952E-4</v>
      </c>
      <c r="I41" s="5">
        <f t="shared" si="5"/>
        <v>5.6530848811125079E-4</v>
      </c>
      <c r="M41" s="2">
        <v>0.19</v>
      </c>
      <c r="N41" s="13">
        <v>0.55455588543229828</v>
      </c>
      <c r="O41" s="13">
        <v>0.82220454794088316</v>
      </c>
      <c r="P41" s="14">
        <v>2.196302007633498</v>
      </c>
    </row>
    <row r="42" spans="1:16">
      <c r="A42">
        <v>22</v>
      </c>
      <c r="B42" s="4">
        <f>Linf_MW*(1-EXP(-1*k_MW*(A42-t0_MW)))</f>
        <v>916.70915040817795</v>
      </c>
      <c r="C42" s="2">
        <f>Wa_MW*(B42/10)^Wb_MW*0.001</f>
        <v>15.186812904570001</v>
      </c>
      <c r="D42" s="1">
        <f t="shared" si="0"/>
        <v>58.66925817489885</v>
      </c>
      <c r="E42" s="6">
        <f t="shared" si="1"/>
        <v>1</v>
      </c>
      <c r="F42" s="5">
        <f t="shared" si="2"/>
        <v>0.99999999999963229</v>
      </c>
      <c r="G42" s="2">
        <f t="shared" si="3"/>
        <v>9.4475483972160587E-3</v>
      </c>
      <c r="H42" s="2">
        <f t="shared" si="4"/>
        <v>1.2274286753015878E-4</v>
      </c>
      <c r="I42" s="5">
        <f t="shared" si="5"/>
        <v>3.711082870011141E-4</v>
      </c>
      <c r="M42" s="2">
        <v>0.2</v>
      </c>
      <c r="N42" s="13">
        <v>0.5433987872664281</v>
      </c>
      <c r="O42" s="13">
        <v>0.82522848084559097</v>
      </c>
      <c r="P42" s="14">
        <v>2.1461935704847659</v>
      </c>
    </row>
    <row r="43" spans="1:16">
      <c r="A43">
        <v>23</v>
      </c>
      <c r="B43" s="4">
        <f>Linf_MW*(1-EXP(-1*k_MW*(A43-t0_MW)))</f>
        <v>923.46650394849178</v>
      </c>
      <c r="C43" s="2">
        <f>Wa_MW*(B43/10)^Wb_MW*0.001</f>
        <v>15.496655912546199</v>
      </c>
      <c r="D43" s="1">
        <f t="shared" si="0"/>
        <v>59.081456740857995</v>
      </c>
      <c r="E43" s="6">
        <f t="shared" si="1"/>
        <v>1</v>
      </c>
      <c r="F43" s="5">
        <f t="shared" si="2"/>
        <v>0.99999999999972444</v>
      </c>
      <c r="G43" s="2">
        <f t="shared" si="3"/>
        <v>7.5666866666256249E-3</v>
      </c>
      <c r="H43" s="2">
        <f t="shared" si="4"/>
        <v>7.8735305173791698E-5</v>
      </c>
      <c r="I43" s="5">
        <f t="shared" si="5"/>
        <v>2.4290991940418389E-4</v>
      </c>
      <c r="M43" s="2">
        <v>0.21</v>
      </c>
      <c r="N43" s="13">
        <v>0.53283064853522977</v>
      </c>
      <c r="O43" s="13">
        <v>0.82712645574265786</v>
      </c>
      <c r="P43" s="14">
        <v>2.0984569062724794</v>
      </c>
    </row>
    <row r="44" spans="1:16">
      <c r="A44">
        <v>24</v>
      </c>
      <c r="B44" s="4">
        <f>Linf_MW*(1-EXP(-1*k_MW*(A44-t0_MW)))</f>
        <v>929.41555265362047</v>
      </c>
      <c r="C44" s="2">
        <f>Wa_MW*(B44/10)^Wb_MW*0.001</f>
        <v>15.772740490448072</v>
      </c>
      <c r="D44" s="1">
        <f t="shared" si="0"/>
        <v>59.444348711870845</v>
      </c>
      <c r="E44" s="6">
        <f t="shared" si="1"/>
        <v>1</v>
      </c>
      <c r="F44" s="5">
        <f t="shared" si="2"/>
        <v>0.99999999999978617</v>
      </c>
      <c r="G44" s="2">
        <f t="shared" si="3"/>
        <v>6.06027560840667E-3</v>
      </c>
      <c r="H44" s="2">
        <f t="shared" si="4"/>
        <v>5.0505975667276841E-5</v>
      </c>
      <c r="I44" s="5">
        <f t="shared" si="5"/>
        <v>1.5859433410053271E-4</v>
      </c>
      <c r="M44" s="2">
        <v>0.22</v>
      </c>
      <c r="N44" s="13">
        <v>0.52280763520616691</v>
      </c>
      <c r="O44" s="13">
        <v>0.82804489335442932</v>
      </c>
      <c r="P44" s="14">
        <v>2.0529401641016003</v>
      </c>
    </row>
    <row r="45" spans="1:16">
      <c r="A45">
        <v>25</v>
      </c>
      <c r="B45" s="4">
        <f>Linf_MW*(1-EXP(-1*k_MW*(A45-t0_MW)))</f>
        <v>934.65298477624822</v>
      </c>
      <c r="C45" s="2">
        <f>Wa_MW*(B45/10)^Wb_MW*0.001</f>
        <v>16.018373923132682</v>
      </c>
      <c r="D45" s="1">
        <f t="shared" si="0"/>
        <v>59.763832071351139</v>
      </c>
      <c r="E45" s="6">
        <f t="shared" si="1"/>
        <v>1</v>
      </c>
      <c r="F45" s="5">
        <f t="shared" si="2"/>
        <v>0.9999999999998288</v>
      </c>
      <c r="G45" s="2">
        <f t="shared" si="3"/>
        <v>4.8537678468754761E-3</v>
      </c>
      <c r="H45" s="2">
        <f t="shared" si="4"/>
        <v>3.239783693570565E-5</v>
      </c>
      <c r="I45" s="5">
        <f t="shared" si="5"/>
        <v>1.0331709518229099E-4</v>
      </c>
      <c r="M45" s="2">
        <v>0.23</v>
      </c>
      <c r="N45" s="13">
        <v>0.51329004863660577</v>
      </c>
      <c r="O45" s="13">
        <v>0.82811126911408972</v>
      </c>
      <c r="P45" s="14">
        <v>2.0095035042672911</v>
      </c>
    </row>
    <row r="46" spans="1:16">
      <c r="A46">
        <v>26</v>
      </c>
      <c r="B46" s="4">
        <f>Linf_MW*(1-EXP(-1*k_MW*(A46-t0_MW)))</f>
        <v>939.26392286043051</v>
      </c>
      <c r="C46" s="2">
        <f>Wa_MW*(B46/10)^Wb_MW*0.001</f>
        <v>16.236628308705615</v>
      </c>
      <c r="D46" s="1">
        <f t="shared" si="0"/>
        <v>60.045099294486263</v>
      </c>
      <c r="E46" s="6">
        <f t="shared" si="1"/>
        <v>1</v>
      </c>
      <c r="F46" s="5">
        <f t="shared" si="2"/>
        <v>0.99999999999985945</v>
      </c>
      <c r="G46" s="2">
        <f t="shared" si="3"/>
        <v>3.887457243476126E-3</v>
      </c>
      <c r="H46" s="2">
        <f t="shared" si="4"/>
        <v>2.0782092103858101E-5</v>
      </c>
      <c r="I46" s="5">
        <f t="shared" si="5"/>
        <v>6.7177348594625561E-5</v>
      </c>
      <c r="M46" s="2">
        <v>0.24</v>
      </c>
      <c r="N46" s="13">
        <v>0.50424185808052679</v>
      </c>
      <c r="O46" s="13">
        <v>0.82743675307080766</v>
      </c>
      <c r="P46" s="14">
        <v>1.9680179862132068</v>
      </c>
    </row>
    <row r="47" spans="1:16">
      <c r="A47">
        <v>27</v>
      </c>
      <c r="B47" s="4">
        <f>Linf_MW*(1-EXP(-1*k_MW*(A47-t0_MW)))</f>
        <v>943.32330721489484</v>
      </c>
      <c r="C47" s="2">
        <f>Wa_MW*(B47/10)^Wb_MW*0.001</f>
        <v>16.430333870888809</v>
      </c>
      <c r="D47" s="1">
        <f t="shared" si="0"/>
        <v>60.292721740108583</v>
      </c>
      <c r="E47" s="6">
        <f t="shared" si="1"/>
        <v>1</v>
      </c>
      <c r="F47" s="5">
        <f t="shared" si="2"/>
        <v>0.99999999999988187</v>
      </c>
      <c r="G47" s="2">
        <f t="shared" si="3"/>
        <v>3.1135242344940911E-3</v>
      </c>
      <c r="H47" s="2">
        <f t="shared" si="4"/>
        <v>1.3330993457073873E-5</v>
      </c>
      <c r="I47" s="5">
        <f t="shared" si="5"/>
        <v>4.3606039968775335E-5</v>
      </c>
      <c r="M47" s="2">
        <v>0.25</v>
      </c>
      <c r="N47" s="13">
        <v>0.49563029424591765</v>
      </c>
      <c r="O47" s="13">
        <v>0.82611844864749917</v>
      </c>
      <c r="P47" s="14">
        <v>1.9283645716237643</v>
      </c>
    </row>
    <row r="48" spans="1:16">
      <c r="A48">
        <v>28</v>
      </c>
      <c r="B48" s="4">
        <f>Linf_MW*(1-EXP(-1*k_MW*(A48-t0_MW)))</f>
        <v>946.89711389726983</v>
      </c>
      <c r="C48" s="2">
        <f>Wa_MW*(B48/10)^Wb_MW*0.001</f>
        <v>16.60208049983267</v>
      </c>
      <c r="D48" s="1">
        <f t="shared" si="0"/>
        <v>60.51072394773346</v>
      </c>
      <c r="E48" s="6">
        <f t="shared" si="1"/>
        <v>1</v>
      </c>
      <c r="F48" s="5">
        <f t="shared" si="2"/>
        <v>0.99999999999989853</v>
      </c>
      <c r="G48" s="2">
        <f t="shared" si="3"/>
        <v>2.4936693966346258E-3</v>
      </c>
      <c r="H48" s="2">
        <f t="shared" si="4"/>
        <v>8.5513713279883636E-6</v>
      </c>
      <c r="I48" s="5">
        <f t="shared" si="5"/>
        <v>2.8264156251466693E-5</v>
      </c>
      <c r="M48" s="2">
        <v>0.26</v>
      </c>
      <c r="N48" s="13">
        <v>0.4874254949352273</v>
      </c>
      <c r="O48" s="13">
        <v>0.82424129657278</v>
      </c>
      <c r="P48" s="14">
        <v>1.8904332299913873</v>
      </c>
    </row>
    <row r="49" spans="1:16">
      <c r="A49">
        <v>29</v>
      </c>
      <c r="B49" s="4">
        <f>Linf_MW*(1-EXP(-1*k_MW*(A49-t0_MW)))</f>
        <v>950.04342700480879</v>
      </c>
      <c r="C49" s="2">
        <f>Wa_MW*(B49/10)^Wb_MW*0.001</f>
        <v>16.754224995274065</v>
      </c>
      <c r="D49" s="1">
        <f t="shared" si="0"/>
        <v>60.702649047293335</v>
      </c>
      <c r="E49" s="6">
        <f t="shared" si="1"/>
        <v>1</v>
      </c>
      <c r="F49" s="5">
        <f t="shared" si="2"/>
        <v>0.99999999999991118</v>
      </c>
      <c r="G49" s="2">
        <f t="shared" si="3"/>
        <v>1.997218133335811E-3</v>
      </c>
      <c r="H49" s="2">
        <f t="shared" si="4"/>
        <v>5.4854090075588556E-6</v>
      </c>
      <c r="I49" s="5">
        <f t="shared" si="5"/>
        <v>1.8296629901332279E-5</v>
      </c>
      <c r="M49" s="2">
        <v>0.27</v>
      </c>
      <c r="N49" s="13">
        <v>0.47960019525231756</v>
      </c>
      <c r="O49" s="13">
        <v>0.82187969846007625</v>
      </c>
      <c r="P49" s="14">
        <v>1.8541221353622033</v>
      </c>
    </row>
    <row r="50" spans="1:16">
      <c r="A50">
        <v>30</v>
      </c>
      <c r="B50" s="4">
        <f>Linf_MW*(1-EXP(-1*k_MW*(A50-t0_MW)))</f>
        <v>952.81338269924822</v>
      </c>
      <c r="C50" s="2">
        <f>Wa_MW*(B50/10)^Wb_MW*0.001</f>
        <v>16.888902093572025</v>
      </c>
      <c r="D50" s="1">
        <f t="shared" si="0"/>
        <v>60.871616344654143</v>
      </c>
      <c r="E50" s="6">
        <f t="shared" si="1"/>
        <v>1</v>
      </c>
      <c r="F50" s="5">
        <f t="shared" si="2"/>
        <v>0.99999999999992117</v>
      </c>
      <c r="G50" s="2">
        <f t="shared" si="3"/>
        <v>1.599602688916439E-3</v>
      </c>
      <c r="H50" s="2">
        <f t="shared" si="4"/>
        <v>3.5187001974437814E-6</v>
      </c>
      <c r="I50" s="5">
        <f t="shared" si="5"/>
        <v>1.1830999285376536E-5</v>
      </c>
      <c r="M50" s="2">
        <v>0.28000000000000003</v>
      </c>
      <c r="N50" s="13">
        <v>0.47212945605610979</v>
      </c>
      <c r="O50" s="13">
        <v>0.81909890492638548</v>
      </c>
      <c r="P50" s="14">
        <v>1.8193369442105216</v>
      </c>
    </row>
    <row r="51" spans="1:16">
      <c r="A51">
        <v>31</v>
      </c>
      <c r="B51" s="4">
        <f>Linf_MW*(1-EXP(-1*k_MW*(A51-t0_MW)))</f>
        <v>955.25200030878409</v>
      </c>
      <c r="C51" s="2">
        <f>Wa_MW*(B51/10)^Wb_MW*0.001</f>
        <v>17.008037839662705</v>
      </c>
      <c r="D51" s="1">
        <f t="shared" si="0"/>
        <v>61.020372018835829</v>
      </c>
      <c r="E51" s="6">
        <f t="shared" si="1"/>
        <v>1</v>
      </c>
      <c r="F51" s="5">
        <f t="shared" si="2"/>
        <v>0.99999999999992895</v>
      </c>
      <c r="G51" s="2">
        <f t="shared" si="3"/>
        <v>1.2811463703842102E-3</v>
      </c>
      <c r="H51" s="2">
        <f t="shared" si="4"/>
        <v>2.2571245029184879E-6</v>
      </c>
      <c r="I51" s="5">
        <f t="shared" si="5"/>
        <v>7.6427116324121039E-6</v>
      </c>
      <c r="M51" s="2">
        <v>0.28999999999999998</v>
      </c>
      <c r="N51" s="13">
        <v>0.46499042533117807</v>
      </c>
      <c r="O51" s="13">
        <v>0.81595620536979563</v>
      </c>
      <c r="P51" s="14">
        <v>1.7859901455214298</v>
      </c>
    </row>
    <row r="52" spans="1:16">
      <c r="A52">
        <v>32</v>
      </c>
      <c r="B52" s="4">
        <f>Linf_MW*(1-EXP(-1*k_MW*(A52-t0_MW)))</f>
        <v>957.39891401483226</v>
      </c>
      <c r="C52" s="2">
        <f>Wa_MW*(B52/10)^Wb_MW*0.001</f>
        <v>17.113364239889748</v>
      </c>
      <c r="D52" s="1">
        <f t="shared" si="0"/>
        <v>61.151333754904769</v>
      </c>
      <c r="E52" s="6">
        <f t="shared" si="1"/>
        <v>1</v>
      </c>
      <c r="F52" s="5">
        <f t="shared" si="2"/>
        <v>0.99999999999993516</v>
      </c>
      <c r="G52" s="2">
        <f t="shared" si="3"/>
        <v>1.0260898120022959E-3</v>
      </c>
      <c r="H52" s="2">
        <f t="shared" si="4"/>
        <v>1.4478673191242856E-6</v>
      </c>
      <c r="I52" s="5">
        <f t="shared" si="5"/>
        <v>4.9328953722653402E-6</v>
      </c>
      <c r="M52" s="2">
        <v>0.3</v>
      </c>
      <c r="N52" s="13">
        <v>0.4581621279670563</v>
      </c>
      <c r="O52" s="13">
        <v>0.81250195019609472</v>
      </c>
      <c r="P52" s="14">
        <v>1.7540004751750622</v>
      </c>
    </row>
    <row r="53" spans="1:16">
      <c r="A53">
        <v>33</v>
      </c>
      <c r="B53" s="4">
        <f>Linf_MW*(1-EXP(-1*k_MW*(A53-t0_MW)))</f>
        <v>959.28901701548068</v>
      </c>
      <c r="C53" s="2">
        <f>Wa_MW*(B53/10)^Wb_MW*0.001</f>
        <v>17.206434422224582</v>
      </c>
      <c r="D53" s="1">
        <f t="shared" si="0"/>
        <v>61.266630037944317</v>
      </c>
      <c r="E53" s="6">
        <f t="shared" si="1"/>
        <v>1</v>
      </c>
      <c r="F53" s="5">
        <f t="shared" si="2"/>
        <v>0.99999999999994005</v>
      </c>
      <c r="G53" s="2">
        <f t="shared" si="3"/>
        <v>8.2181109561990076E-4</v>
      </c>
      <c r="H53" s="2">
        <f t="shared" si="4"/>
        <v>9.2875681916419666E-7</v>
      </c>
      <c r="I53" s="5">
        <f t="shared" si="5"/>
        <v>3.1814905954719687E-6</v>
      </c>
      <c r="M53" s="2">
        <v>0.31</v>
      </c>
      <c r="N53" s="14">
        <v>0.45162528012179565</v>
      </c>
      <c r="O53" s="14">
        <v>0.80878043111484987</v>
      </c>
      <c r="P53" s="14">
        <v>1.7232923876317636</v>
      </c>
    </row>
    <row r="54" spans="1:16">
      <c r="A54">
        <v>34</v>
      </c>
      <c r="B54" s="4">
        <f>Linf_MW*(1-EXP(-1*k_MW*(A54-t0_MW)))</f>
        <v>960.95302863504207</v>
      </c>
      <c r="C54" s="2">
        <f>Wa_MW*(B54/10)^Wb_MW*0.001</f>
        <v>17.288637753615895</v>
      </c>
      <c r="D54" s="1">
        <f t="shared" si="0"/>
        <v>61.368134746737567</v>
      </c>
      <c r="E54" s="6">
        <f t="shared" si="1"/>
        <v>1</v>
      </c>
      <c r="F54" s="5">
        <f t="shared" si="2"/>
        <v>0.99999999999994427</v>
      </c>
      <c r="G54" s="2">
        <f t="shared" si="3"/>
        <v>6.5820113306267825E-4</v>
      </c>
      <c r="H54" s="2">
        <f t="shared" si="4"/>
        <v>5.9576538385141229E-7</v>
      </c>
      <c r="I54" s="5">
        <f t="shared" si="5"/>
        <v>2.050566154577932E-6</v>
      </c>
      <c r="M54" s="2">
        <v>0.32</v>
      </c>
      <c r="N54" s="14">
        <v>0.44536212491607508</v>
      </c>
      <c r="O54" s="14">
        <v>0.80483064088815914</v>
      </c>
      <c r="P54" s="14">
        <v>1.6937955787224905</v>
      </c>
    </row>
    <row r="55" spans="1:16">
      <c r="M55" s="2">
        <v>0.33</v>
      </c>
      <c r="N55" s="14">
        <v>0.43935628668200311</v>
      </c>
      <c r="O55" s="14">
        <v>0.8006869304313089</v>
      </c>
      <c r="P55" s="14">
        <v>1.6654445540621652</v>
      </c>
    </row>
    <row r="56" spans="1:16">
      <c r="M56" s="2">
        <v>0.34</v>
      </c>
      <c r="N56" s="14">
        <v>0.43359264139198761</v>
      </c>
      <c r="O56" s="14">
        <v>0.79637957829098149</v>
      </c>
      <c r="P56" s="14">
        <v>1.6381782382341701</v>
      </c>
    </row>
    <row r="57" spans="1:16">
      <c r="M57" s="2">
        <v>0.35</v>
      </c>
      <c r="N57" s="14">
        <v>0.42805720123083346</v>
      </c>
      <c r="O57" s="14">
        <v>0.79193528514920242</v>
      </c>
      <c r="P57" s="14">
        <v>1.6119396204505376</v>
      </c>
    </row>
    <row r="58" spans="1:16">
      <c r="M58" s="2">
        <v>0.36</v>
      </c>
      <c r="N58" s="14">
        <v>0.42273701155946952</v>
      </c>
      <c r="O58" s="14">
        <v>0.78737760402834356</v>
      </c>
      <c r="P58" s="14">
        <v>1.5866754328826902</v>
      </c>
    </row>
    <row r="59" spans="1:16">
      <c r="M59" s="2">
        <v>0.37</v>
      </c>
      <c r="N59" s="14">
        <v>0.41762005876018071</v>
      </c>
      <c r="O59" s="14">
        <v>0.78272731523063988</v>
      </c>
      <c r="P59" s="14">
        <v>1.5623358582894484</v>
      </c>
    </row>
    <row r="60" spans="1:16">
      <c r="M60" s="2">
        <v>0.38</v>
      </c>
      <c r="N60" s="14">
        <v>0.41269518765819735</v>
      </c>
      <c r="O60" s="14">
        <v>0.77800275367541161</v>
      </c>
      <c r="P60" s="14">
        <v>1.538874263949275</v>
      </c>
    </row>
    <row r="61" spans="1:16">
      <c r="M61" s="2">
        <v>0.39</v>
      </c>
      <c r="N61" s="14">
        <v>0.40795202738896313</v>
      </c>
      <c r="O61" s="14">
        <v>0.77322009515045365</v>
      </c>
      <c r="P61" s="14">
        <v>1.5162469592385843</v>
      </c>
    </row>
    <row r="62" spans="1:16">
      <c r="M62" s="2">
        <v>0.4</v>
      </c>
      <c r="N62" s="14">
        <v>0.40338092472925136</v>
      </c>
      <c r="O62" s="14">
        <v>0.76839360703184356</v>
      </c>
      <c r="P62" s="14">
        <v>1.4944129744927963</v>
      </c>
    </row>
    <row r="63" spans="1:16">
      <c r="M63" s="2">
        <v>0.41</v>
      </c>
      <c r="N63" s="14">
        <v>0.39897288403763953</v>
      </c>
      <c r="O63" s="14">
        <v>0.76353586821696562</v>
      </c>
      <c r="P63" s="14">
        <v>1.4733338590467695</v>
      </c>
    </row>
    <row r="64" spans="1:16">
      <c r="M64" s="2">
        <v>0.42</v>
      </c>
      <c r="N64" s="14">
        <v>0.39471951305902253</v>
      </c>
      <c r="O64" s="14">
        <v>0.75865796233287253</v>
      </c>
      <c r="P64" s="14">
        <v>1.4529734965803276</v>
      </c>
    </row>
    <row r="65" spans="13:16">
      <c r="M65" s="2">
        <v>0.43</v>
      </c>
      <c r="N65" s="14">
        <v>0.39061297394168848</v>
      </c>
      <c r="O65" s="14">
        <v>0.75376964770500887</v>
      </c>
      <c r="P65" s="14">
        <v>1.4332979360968987</v>
      </c>
    </row>
    <row r="66" spans="13:16">
      <c r="M66" s="2">
        <v>0.44</v>
      </c>
      <c r="N66" s="14">
        <v>0.38664593889632248</v>
      </c>
      <c r="O66" s="14">
        <v>0.74887950708224849</v>
      </c>
      <c r="P66" s="14">
        <v>1.4142752370418139</v>
      </c>
    </row>
    <row r="67" spans="13:16">
      <c r="M67" s="2">
        <v>0.45</v>
      </c>
      <c r="N67" s="14">
        <v>0.38281154999609457</v>
      </c>
      <c r="O67" s="14">
        <v>0.74399507969887801</v>
      </c>
      <c r="P67" s="14">
        <v>1.3958753272248157</v>
      </c>
    </row>
    <row r="68" spans="13:16">
      <c r="M68" s="2">
        <v>0.46</v>
      </c>
      <c r="N68" s="14">
        <v>0.37910338267738863</v>
      </c>
      <c r="O68" s="14">
        <v>0.73912297790061854</v>
      </c>
      <c r="P68" s="14">
        <v>1.378069872351054</v>
      </c>
    </row>
    <row r="69" spans="13:16">
      <c r="M69" s="2">
        <v>0.47</v>
      </c>
      <c r="N69" s="14">
        <v>0.37551541255310134</v>
      </c>
      <c r="O69" s="14">
        <v>0.73426899026021897</v>
      </c>
      <c r="P69" s="14">
        <v>1.3608321560886842</v>
      </c>
    </row>
    <row r="70" spans="13:16">
      <c r="M70" s="2">
        <v>0.48</v>
      </c>
      <c r="N70" s="14">
        <v>0.37204198519595016</v>
      </c>
      <c r="O70" s="14">
        <v>0.72943817285039425</v>
      </c>
      <c r="P70" s="14">
        <v>1.3441369697110548</v>
      </c>
    </row>
    <row r="71" spans="13:16">
      <c r="M71" s="2">
        <v>0.49</v>
      </c>
      <c r="N71" s="14">
        <v>0.36867778858885419</v>
      </c>
      <c r="O71" s="14">
        <v>0.72463493012113644</v>
      </c>
      <c r="P71" s="14">
        <v>1.3279605104490064</v>
      </c>
    </row>
    <row r="72" spans="13:16">
      <c r="M72" s="2">
        <v>0.5</v>
      </c>
      <c r="N72" s="14">
        <v>0.36541782797402411</v>
      </c>
      <c r="O72" s="14">
        <v>0.7198630866389617</v>
      </c>
      <c r="P72" s="14">
        <v>1.3122802877755617</v>
      </c>
    </row>
    <row r="73" spans="13:16">
      <c r="M73" s="2">
        <v>0.51</v>
      </c>
      <c r="N73" s="14">
        <v>0.36225740286262104</v>
      </c>
      <c r="O73" s="14">
        <v>0.71512595078280938</v>
      </c>
      <c r="P73" s="14">
        <v>1.2970750369224509</v>
      </c>
    </row>
    <row r="74" spans="13:16">
      <c r="M74" s="2">
        <v>0.52</v>
      </c>
      <c r="N74" s="14">
        <v>0.35919208599330193</v>
      </c>
      <c r="O74" s="14">
        <v>0.71042637135101949</v>
      </c>
      <c r="P74" s="14">
        <v>1.2823246389968082</v>
      </c>
    </row>
    <row r="75" spans="13:16">
      <c r="M75" s="2">
        <v>0.53</v>
      </c>
      <c r="N75" s="14">
        <v>0.35621770405119929</v>
      </c>
      <c r="O75" s="14">
        <v>0.70576678791277536</v>
      </c>
      <c r="P75" s="14">
        <v>1.2680100471276889</v>
      </c>
    </row>
    <row r="76" spans="13:16">
      <c r="M76" s="2">
        <v>0.54</v>
      </c>
      <c r="N76" s="14">
        <v>0.35333031997927844</v>
      </c>
      <c r="O76" s="14">
        <v>0.70114927563277474</v>
      </c>
      <c r="P76" s="14">
        <v>1.2541132181269818</v>
      </c>
    </row>
    <row r="77" spans="13:16">
      <c r="M77" s="2">
        <v>0.55000000000000004</v>
      </c>
      <c r="N77" s="14">
        <v>0.35052621673199857</v>
      </c>
      <c r="O77" s="14">
        <v>0.69657558520733698</v>
      </c>
      <c r="P77" s="14">
        <v>1.240617049198304</v>
      </c>
    </row>
    <row r="78" spans="13:16">
      <c r="M78" s="2">
        <v>0.56000000000000005</v>
      </c>
      <c r="N78" s="14">
        <v>0.34780188233703552</v>
      </c>
      <c r="O78" s="14">
        <v>0.69204717847158881</v>
      </c>
      <c r="P78" s="14">
        <v>1.2275053192714394</v>
      </c>
    </row>
    <row r="79" spans="13:16">
      <c r="M79" s="2">
        <v>0.56999999999999995</v>
      </c>
      <c r="N79" s="14">
        <v>0.34515399614483566</v>
      </c>
      <c r="O79" s="14">
        <v>0.68756526016917607</v>
      </c>
      <c r="P79" s="14">
        <v>1.2147626345792364</v>
      </c>
    </row>
    <row r="80" spans="13:16">
      <c r="M80" s="2">
        <v>0.57999999999999996</v>
      </c>
      <c r="N80" s="14">
        <v>0.34257941615814697</v>
      </c>
      <c r="O80" s="14">
        <v>0.68313080631659051</v>
      </c>
      <c r="P80" s="14">
        <v>1.2023743781292395</v>
      </c>
    </row>
    <row r="81" spans="13:16">
      <c r="M81" s="2">
        <v>0.59</v>
      </c>
      <c r="N81" s="14">
        <v>0.34007516734465681</v>
      </c>
      <c r="O81" s="14">
        <v>0.6787445895425297</v>
      </c>
      <c r="P81" s="14">
        <v>1.1903266627541278</v>
      </c>
    </row>
    <row r="82" spans="13:16">
      <c r="M82" s="2">
        <v>0.6</v>
      </c>
      <c r="N82" s="14">
        <v>0.33763843084560058</v>
      </c>
      <c r="O82" s="14">
        <v>0.67440720173758539</v>
      </c>
      <c r="P82" s="14">
        <v>1.1786062874535288</v>
      </c>
    </row>
    <row r="83" spans="13:16">
      <c r="M83" s="2">
        <v>0.61</v>
      </c>
      <c r="N83" s="14">
        <v>0.33526653400186984</v>
      </c>
      <c r="O83" s="14">
        <v>0.67011907431017748</v>
      </c>
      <c r="P83" s="14">
        <v>1.1672006967655981</v>
      </c>
    </row>
    <row r="84" spans="13:16">
      <c r="M84" s="2">
        <v>0.62</v>
      </c>
      <c r="N84" s="14">
        <v>0.33295694112685575</v>
      </c>
      <c r="O84" s="14">
        <v>0.66588049631018165</v>
      </c>
      <c r="P84" s="14">
        <v>1.1560979429298797</v>
      </c>
    </row>
    <row r="85" spans="13:16">
      <c r="M85" s="2">
        <v>0.63</v>
      </c>
      <c r="N85" s="14">
        <v>0.33070724496213144</v>
      </c>
      <c r="O85" s="14">
        <v>0.66169163065147585</v>
      </c>
      <c r="P85" s="14">
        <v>1.145286650623923</v>
      </c>
    </row>
    <row r="86" spans="13:16">
      <c r="M86" s="2">
        <v>0.64</v>
      </c>
      <c r="N86" s="14">
        <v>0.32851515875820952</v>
      </c>
      <c r="O86" s="14">
        <v>0.65755252863819902</v>
      </c>
      <c r="P86" s="14">
        <v>1.1347559840750427</v>
      </c>
    </row>
    <row r="87" spans="13:16">
      <c r="M87" s="2">
        <v>0.65</v>
      </c>
      <c r="N87" s="14">
        <v>0.32637850892810122</v>
      </c>
      <c r="O87" s="14">
        <v>0.65346314297621189</v>
      </c>
      <c r="P87" s="14">
        <v>1.1244956163657138</v>
      </c>
    </row>
    <row r="88" spans="13:16">
      <c r="M88" s="2">
        <v>0.66</v>
      </c>
      <c r="N88" s="14">
        <v>0.32429522822629742</v>
      </c>
      <c r="O88" s="14">
        <v>0.64942333943080721</v>
      </c>
      <c r="P88" s="14">
        <v>1.1144957007665319</v>
      </c>
    </row>
    <row r="89" spans="13:16">
      <c r="M89" s="2">
        <v>0.67</v>
      </c>
      <c r="N89" s="14">
        <v>0.32226334941019996</v>
      </c>
      <c r="O89" s="14">
        <v>0.64543290727373503</v>
      </c>
      <c r="P89" s="14">
        <v>1.1047468439447585</v>
      </c>
    </row>
    <row r="90" spans="13:16">
      <c r="M90" s="2">
        <v>0.68</v>
      </c>
      <c r="N90" s="14">
        <v>0.32028099934497023</v>
      </c>
      <c r="O90" s="14">
        <v>0.64149156864671086</v>
      </c>
      <c r="P90" s="14">
        <v>1.0952400809091258</v>
      </c>
    </row>
    <row r="91" spans="13:16">
      <c r="M91" s="2">
        <v>0.69</v>
      </c>
      <c r="N91" s="14">
        <v>0.31834639351631233</v>
      </c>
      <c r="O91" s="14">
        <v>0.63759898695458228</v>
      </c>
      <c r="P91" s="14">
        <v>1.0859668515631886</v>
      </c>
    </row>
    <row r="92" spans="13:16">
      <c r="M92" s="2">
        <v>0.7</v>
      </c>
      <c r="N92" s="14">
        <v>0.31645783091888924</v>
      </c>
      <c r="O92" s="14">
        <v>0.63375477438895944</v>
      </c>
      <c r="P92" s="14">
        <v>1.0769189787499165</v>
      </c>
    </row>
    <row r="93" spans="13:16">
      <c r="M93" s="2">
        <v>0.71</v>
      </c>
      <c r="N93" s="14">
        <v>0.31461368929094979</v>
      </c>
      <c r="O93" s="14">
        <v>0.62995849867218223</v>
      </c>
      <c r="P93" s="14">
        <v>1.0680886476798763</v>
      </c>
    </row>
    <row r="94" spans="13:16">
      <c r="M94" s="2">
        <v>0.72</v>
      </c>
      <c r="N94" s="14">
        <v>0.31281242066832893</v>
      </c>
      <c r="O94" s="14">
        <v>0.62620968910180042</v>
      </c>
      <c r="P94" s="14">
        <v>1.0594683866439309</v>
      </c>
    </row>
    <row r="95" spans="13:16">
      <c r="M95" s="2">
        <v>0.73</v>
      </c>
      <c r="N95" s="14">
        <v>0.31105254723331849</v>
      </c>
      <c r="O95" s="14">
        <v>0.62250784196717257</v>
      </c>
      <c r="P95" s="14">
        <v>1.0510510489193652</v>
      </c>
    </row>
    <row r="96" spans="13:16">
      <c r="M96" s="2">
        <v>0.74</v>
      </c>
      <c r="N96" s="14">
        <v>0.30933265743602201</v>
      </c>
      <c r="O96" s="14">
        <v>0.61885242540216689</v>
      </c>
      <c r="P96" s="14">
        <v>1.0428297957855441</v>
      </c>
    </row>
    <row r="97" spans="13:16">
      <c r="M97" s="2">
        <v>0.75</v>
      </c>
      <c r="N97" s="14">
        <v>0.3076514023677126</v>
      </c>
      <c r="O97" s="14">
        <v>0.61524288373120828</v>
      </c>
      <c r="P97" s="14">
        <v>1.0347980805717998</v>
      </c>
    </row>
    <row r="98" spans="13:16">
      <c r="M98" s="2">
        <v>0.76</v>
      </c>
      <c r="N98" s="14">
        <v>0.30600749236744629</v>
      </c>
      <c r="O98" s="14">
        <v>0.61167864135988859</v>
      </c>
      <c r="P98" s="14">
        <v>1.0269496336662485</v>
      </c>
    </row>
    <row r="99" spans="13:16">
      <c r="M99" s="2">
        <v>0.77</v>
      </c>
      <c r="N99" s="14">
        <v>0.30439969384474486</v>
      </c>
      <c r="O99" s="14">
        <v>0.60815910625602188</v>
      </c>
      <c r="P99" s="14">
        <v>1.0192784484197661</v>
      </c>
    </row>
    <row r="100" spans="13:16">
      <c r="M100" s="2">
        <v>0.78</v>
      </c>
      <c r="N100" s="14">
        <v>0.30282682630259544</v>
      </c>
      <c r="O100" s="14">
        <v>0.60468367306228288</v>
      </c>
      <c r="P100" s="14">
        <v>1.0117787678843517</v>
      </c>
    </row>
    <row r="101" spans="13:16">
      <c r="M101" s="2">
        <v>0.79</v>
      </c>
      <c r="N101" s="14">
        <v>0.30128775954629128</v>
      </c>
      <c r="O101" s="14">
        <v>0.6012517258772988</v>
      </c>
      <c r="P101" s="14">
        <v>1.0044450723297447</v>
      </c>
    </row>
    <row r="102" spans="13:16">
      <c r="M102" s="2">
        <v>0.8</v>
      </c>
      <c r="N102" s="14">
        <v>0.29978141106482586</v>
      </c>
      <c r="O102" s="14">
        <v>0.59786264073831608</v>
      </c>
      <c r="P102" s="14">
        <v>0.99727206748634956</v>
      </c>
    </row>
    <row r="103" spans="13:16">
      <c r="M103" s="2">
        <v>0.81</v>
      </c>
      <c r="N103" s="14">
        <v>0.29830674357261772</v>
      </c>
      <c r="O103" s="14">
        <v>0.5945157878351689</v>
      </c>
      <c r="P103" s="14">
        <v>0.99025467346645246</v>
      </c>
    </row>
    <row r="104" spans="13:16">
      <c r="M104" s="2">
        <v>0.82</v>
      </c>
      <c r="N104" s="14">
        <v>0.29686276270031026</v>
      </c>
      <c r="O104" s="14">
        <v>0.5912105334822666</v>
      </c>
      <c r="P104" s="14">
        <v>0.98338801431918399</v>
      </c>
    </row>
    <row r="105" spans="13:16">
      <c r="M105" s="2">
        <v>0.83</v>
      </c>
      <c r="N105" s="14">
        <v>0.29544851482428935</v>
      </c>
      <c r="O105" s="14">
        <v>0.58794624187262223</v>
      </c>
      <c r="P105" s="14">
        <v>0.97666740817803654</v>
      </c>
    </row>
    <row r="106" spans="13:16">
      <c r="M106" s="2">
        <v>0.84</v>
      </c>
      <c r="N106" s="14">
        <v>0.2940630850253651</v>
      </c>
      <c r="O106" s="14">
        <v>0.584722276635539</v>
      </c>
      <c r="P106" s="14">
        <v>0.97008835796266812</v>
      </c>
    </row>
    <row r="107" spans="13:16">
      <c r="M107" s="2">
        <v>0.85</v>
      </c>
      <c r="N107" s="14">
        <v>0.29270559516780237</v>
      </c>
      <c r="O107" s="14">
        <v>0.58153800221739971</v>
      </c>
      <c r="P107" s="14">
        <v>0.96364654259953664</v>
      </c>
    </row>
    <row r="108" spans="13:16">
      <c r="M108" s="2">
        <v>0.86</v>
      </c>
      <c r="N108" s="14">
        <v>0.29137520209056872</v>
      </c>
      <c r="O108" s="14">
        <v>0.57839278510308412</v>
      </c>
      <c r="P108" s="14">
        <v>0.95733780872841412</v>
      </c>
    </row>
    <row r="109" spans="13:16">
      <c r="M109" s="2">
        <v>0.87</v>
      </c>
      <c r="N109" s="14">
        <v>0.29007109590327995</v>
      </c>
      <c r="O109" s="14">
        <v>0.57528599489379306</v>
      </c>
      <c r="P109" s="14">
        <v>0.95115816286418908</v>
      </c>
    </row>
    <row r="110" spans="13:16">
      <c r="M110" s="2">
        <v>0.88</v>
      </c>
      <c r="N110" s="14">
        <v>0.2887924983798914</v>
      </c>
      <c r="O110" s="14">
        <v>0.57221700525550578</v>
      </c>
      <c r="P110" s="14">
        <v>0.9451037639855101</v>
      </c>
    </row>
    <row r="111" spans="13:16">
      <c r="M111" s="2">
        <v>0.89</v>
      </c>
      <c r="N111" s="14">
        <v>0.28753866144370804</v>
      </c>
      <c r="O111" s="14">
        <v>0.56918519475090568</v>
      </c>
      <c r="P111" s="14">
        <v>0.93917091652381568</v>
      </c>
    </row>
    <row r="112" spans="13:16">
      <c r="M112" s="2">
        <v>0.9</v>
      </c>
      <c r="N112" s="14">
        <v>0.28630886573775072</v>
      </c>
      <c r="O112" s="14">
        <v>0.56618994756634355</v>
      </c>
      <c r="P112" s="14">
        <v>0.93335606372812718</v>
      </c>
    </row>
    <row r="113" spans="13:16">
      <c r="M113" s="2">
        <v>0.91</v>
      </c>
      <c r="N113" s="14">
        <v>0.28510241927497026</v>
      </c>
      <c r="O113" s="14">
        <v>0.56323065414428397</v>
      </c>
      <c r="P113" s="14">
        <v>0.92765578138267757</v>
      </c>
    </row>
    <row r="114" spans="13:16">
      <c r="M114" s="2">
        <v>0.92</v>
      </c>
      <c r="N114" s="14">
        <v>0.28391865616318424</v>
      </c>
      <c r="O114" s="14">
        <v>0.56030671173066915</v>
      </c>
      <c r="P114" s="14">
        <v>0.92206677185602237</v>
      </c>
    </row>
    <row r="115" spans="13:16">
      <c r="M115" s="2">
        <v>0.93</v>
      </c>
      <c r="N115" s="14">
        <v>0.28275693539999358</v>
      </c>
      <c r="O115" s="14">
        <v>0.55741752484571228</v>
      </c>
      <c r="P115" s="14">
        <v>0.9165858584616936</v>
      </c>
    </row>
    <row r="116" spans="13:16">
      <c r="M116" s="2">
        <v>0.94</v>
      </c>
      <c r="N116" s="14">
        <v>0.28161663973327022</v>
      </c>
      <c r="O116" s="14">
        <v>0.554562505685818</v>
      </c>
      <c r="P116" s="14">
        <v>0.91120998011185761</v>
      </c>
    </row>
    <row r="117" spans="13:16">
      <c r="M117" s="2">
        <v>0.95</v>
      </c>
      <c r="N117" s="14">
        <v>0.28049717458312018</v>
      </c>
      <c r="O117" s="14">
        <v>0.55174107446357934</v>
      </c>
      <c r="P117" s="14">
        <v>0.90593618624659822</v>
      </c>
    </row>
    <row r="118" spans="13:16">
      <c r="M118" s="2">
        <v>0.96</v>
      </c>
      <c r="N118" s="14">
        <v>0.27939796702151476</v>
      </c>
      <c r="O118" s="14">
        <v>0.54895265969213536</v>
      </c>
      <c r="P118" s="14">
        <v>0.90076163202267601</v>
      </c>
    </row>
    <row r="119" spans="13:16">
      <c r="M119" s="2">
        <v>0.97</v>
      </c>
      <c r="N119" s="14">
        <v>0.2783184648060501</v>
      </c>
      <c r="O119" s="14">
        <v>0.5461966984195713</v>
      </c>
      <c r="P119" s="14">
        <v>0.89568357374661156</v>
      </c>
    </row>
    <row r="120" spans="13:16">
      <c r="M120" s="2">
        <v>0.98</v>
      </c>
      <c r="N120" s="14">
        <v>0.27725813546453398</v>
      </c>
      <c r="O120" s="14">
        <v>0.54347263641849797</v>
      </c>
      <c r="P120" s="14">
        <v>0.89069936453796916</v>
      </c>
    </row>
    <row r="121" spans="13:16">
      <c r="M121" s="2">
        <v>0.99</v>
      </c>
      <c r="N121" s="14">
        <v>0.27621646542733469</v>
      </c>
      <c r="O121" s="14">
        <v>0.54077992833545341</v>
      </c>
      <c r="P121" s="14">
        <v>0.88580645020961701</v>
      </c>
    </row>
    <row r="122" spans="13:16">
      <c r="M122" s="2">
        <v>1</v>
      </c>
      <c r="N122" s="14">
        <v>0.275192959204627</v>
      </c>
      <c r="O122" s="14">
        <v>0.53811803780433254</v>
      </c>
      <c r="P122" s="14">
        <v>0.88100236535259202</v>
      </c>
    </row>
    <row r="123" spans="13:16">
      <c r="M123" s="2">
        <v>1.01</v>
      </c>
      <c r="N123" s="14">
        <v>0.27418713860586724</v>
      </c>
      <c r="O123" s="14">
        <v>0.53548643752763869</v>
      </c>
      <c r="P123" s="14">
        <v>0.87628472961398918</v>
      </c>
    </row>
    <row r="124" spans="13:16">
      <c r="M124" s="2">
        <v>1.02</v>
      </c>
      <c r="N124" s="14">
        <v>0.27319854199900889</v>
      </c>
      <c r="O124" s="14">
        <v>0.5328846093290035</v>
      </c>
      <c r="P124" s="14">
        <v>0.87165124415702522</v>
      </c>
    </row>
    <row r="125" spans="13:16">
      <c r="M125" s="2">
        <v>1.03</v>
      </c>
      <c r="N125" s="14">
        <v>0.27222672360713235</v>
      </c>
      <c r="O125" s="14">
        <v>0.53031204418007827</v>
      </c>
      <c r="P125" s="14">
        <v>0.86709968829311967</v>
      </c>
    </row>
    <row r="126" spans="13:16">
      <c r="M126" s="2">
        <v>1.04</v>
      </c>
      <c r="N126" s="14">
        <v>0.27127125284032111</v>
      </c>
      <c r="O126" s="14">
        <v>0.52776824220461405</v>
      </c>
      <c r="P126" s="14">
        <v>0.86262791627645474</v>
      </c>
    </row>
    <row r="127" spans="13:16">
      <c r="M127" s="2">
        <v>1.05</v>
      </c>
      <c r="N127" s="14">
        <v>0.27033171366075087</v>
      </c>
      <c r="O127" s="14">
        <v>0.52525271266227314</v>
      </c>
      <c r="P127" s="14">
        <v>0.85823385425208221</v>
      </c>
    </row>
    <row r="128" spans="13:16">
      <c r="M128" s="2">
        <v>1.06</v>
      </c>
      <c r="N128" s="14">
        <v>0.26940770397909802</v>
      </c>
      <c r="O128" s="14">
        <v>0.52276497391447674</v>
      </c>
      <c r="P128" s="14">
        <v>0.85391549734919225</v>
      </c>
    </row>
    <row r="129" spans="13:16">
      <c r="M129" s="2">
        <v>1.07</v>
      </c>
      <c r="N129" s="14">
        <v>0.26849883508048922</v>
      </c>
      <c r="O129" s="14">
        <v>0.5203045533743661</v>
      </c>
      <c r="P129" s="14">
        <v>0.84967090691166014</v>
      </c>
    </row>
    <row r="130" spans="13:16">
      <c r="M130" s="2">
        <v>1.08</v>
      </c>
      <c r="N130" s="14">
        <v>0.26760473107833282</v>
      </c>
      <c r="O130" s="14">
        <v>0.51787098744276483</v>
      </c>
      <c r="P130" s="14">
        <v>0.84549820785848995</v>
      </c>
    </row>
    <row r="131" spans="13:16">
      <c r="M131" s="2">
        <v>1.0900000000000001</v>
      </c>
      <c r="N131" s="14">
        <v>0.26672502839447276</v>
      </c>
      <c r="O131" s="14">
        <v>0.51546382143183955</v>
      </c>
      <c r="P131" s="14">
        <v>0.84139558616719323</v>
      </c>
    </row>
    <row r="132" spans="13:16">
      <c r="M132" s="2">
        <v>1.1000000000000001</v>
      </c>
      <c r="N132" s="14">
        <v>0.26585937526420972</v>
      </c>
      <c r="O132" s="14">
        <v>0.51308260947799667</v>
      </c>
      <c r="P132" s="14">
        <v>0.83736128647358077</v>
      </c>
    </row>
    <row r="133" spans="13:16">
      <c r="M133" s="2">
        <v>1.1100000000000001</v>
      </c>
      <c r="N133" s="14">
        <v>0.26500743126481902</v>
      </c>
      <c r="O133" s="14">
        <v>0.51072691444541063</v>
      </c>
      <c r="P133" s="14">
        <v>0.83339360978181942</v>
      </c>
    </row>
    <row r="134" spans="13:16">
      <c r="M134" s="2">
        <v>1.1200000000000001</v>
      </c>
      <c r="N134" s="14">
        <v>0.26416886686628549</v>
      </c>
      <c r="O134" s="14">
        <v>0.50839630782142609</v>
      </c>
      <c r="P134" s="14">
        <v>0.8294909112789669</v>
      </c>
    </row>
    <row r="135" spans="13:16">
      <c r="M135" s="2">
        <v>1.1299999999999999</v>
      </c>
      <c r="N135" s="14">
        <v>0.26334336300304922</v>
      </c>
      <c r="O135" s="14">
        <v>0.50609036960497944</v>
      </c>
      <c r="P135" s="14">
        <v>0.8256515982485626</v>
      </c>
    </row>
    <row r="136" spans="13:16">
      <c r="M136" s="2">
        <v>1.1399999999999999</v>
      </c>
      <c r="N136" s="14">
        <v>0.26253061066563321</v>
      </c>
      <c r="O136" s="14">
        <v>0.50380868818905189</v>
      </c>
      <c r="P136" s="14">
        <v>0.82187412807813509</v>
      </c>
    </row>
    <row r="137" spans="13:16">
      <c r="M137" s="2">
        <v>1.1499999999999999</v>
      </c>
      <c r="N137" s="14">
        <v>0.26173031051109286</v>
      </c>
      <c r="O137" s="14">
        <v>0.50155086023807882</v>
      </c>
      <c r="P137" s="14">
        <v>0.81815700635580479</v>
      </c>
    </row>
    <row r="138" spans="13:16">
      <c r="M138" s="2">
        <v>1.1599999999999999</v>
      </c>
      <c r="N138" s="14">
        <v>0.26094217249128604</v>
      </c>
      <c r="O138" s="14">
        <v>0.49931649056114263</v>
      </c>
      <c r="P138" s="14">
        <v>0.81449878505144235</v>
      </c>
    </row>
    <row r="139" spans="13:16">
      <c r="M139" s="2">
        <v>1.17</v>
      </c>
      <c r="N139" s="14">
        <v>0.26016591549802975</v>
      </c>
      <c r="O139" s="14">
        <v>0.49710519198170089</v>
      </c>
      <c r="P139" s="14">
        <v>0.81089806077807891</v>
      </c>
    </row>
    <row r="140" spans="13:16">
      <c r="M140" s="2">
        <v>1.18</v>
      </c>
      <c r="N140" s="14">
        <v>0.25940126702425792</v>
      </c>
      <c r="O140" s="14">
        <v>0.4949165852045127</v>
      </c>
      <c r="P140" s="14">
        <v>0.80735347312954375</v>
      </c>
    </row>
    <row r="141" spans="13:16">
      <c r="M141" s="2">
        <v>1.19</v>
      </c>
      <c r="N141" s="14">
        <v>0.25864796284035363</v>
      </c>
      <c r="O141" s="14">
        <v>0.49275029868037462</v>
      </c>
      <c r="P141" s="14">
        <v>0.80386370309049682</v>
      </c>
    </row>
    <row r="142" spans="13:16">
      <c r="M142" s="2">
        <v>1.2</v>
      </c>
      <c r="N142" s="14">
        <v>0.25790574668486871</v>
      </c>
      <c r="O142" s="14">
        <v>0.49060596846920584</v>
      </c>
      <c r="P142" s="14">
        <v>0.8004274715152716</v>
      </c>
    </row>
    <row r="143" spans="13:16">
      <c r="M143" s="2">
        <v>1.21</v>
      </c>
      <c r="N143" s="14">
        <v>0.25717436996890142</v>
      </c>
      <c r="O143" s="14">
        <v>0.48848323810196281</v>
      </c>
      <c r="P143" s="14">
        <v>0.797043537672111</v>
      </c>
    </row>
    <row r="144" spans="13:16">
      <c r="M144" s="2">
        <v>1.22</v>
      </c>
      <c r="N144" s="14">
        <v>0.25645359149343172</v>
      </c>
      <c r="O144" s="14">
        <v>0.48638175844182352</v>
      </c>
      <c r="P144" s="14">
        <v>0.79371069784959736</v>
      </c>
    </row>
    <row r="145" spans="13:16">
      <c r="M145" s="2">
        <v>1.23</v>
      </c>
      <c r="N145" s="14">
        <v>0.25574317717896561</v>
      </c>
      <c r="O145" s="14">
        <v>0.48430118754502638</v>
      </c>
      <c r="P145" s="14">
        <v>0.79042778402223801</v>
      </c>
    </row>
    <row r="146" spans="13:16">
      <c r="M146" s="2">
        <v>1.24</v>
      </c>
      <c r="N146" s="14">
        <v>0.25504289980686862</v>
      </c>
      <c r="O146" s="14">
        <v>0.48224119052171166</v>
      </c>
      <c r="P146" s="14">
        <v>0.78719366257233725</v>
      </c>
    </row>
    <row r="147" spans="13:16">
      <c r="M147" s="2">
        <v>1.25</v>
      </c>
      <c r="N147" s="14">
        <v>0.25435253877180708</v>
      </c>
      <c r="O147" s="14">
        <v>0.48020143939706977</v>
      </c>
      <c r="P147" s="14">
        <v>0.78400723306544107</v>
      </c>
    </row>
    <row r="148" spans="13:16">
      <c r="M148" s="2">
        <v>1.26</v>
      </c>
      <c r="N148" s="14">
        <v>0.25367187984475076</v>
      </c>
      <c r="O148" s="14">
        <v>0.47818161297307282</v>
      </c>
      <c r="P148" s="14">
        <v>0.78086742707679124</v>
      </c>
    </row>
    <row r="149" spans="13:16">
      <c r="M149" s="2">
        <v>1.27</v>
      </c>
      <c r="N149" s="14">
        <v>0.25300071494601295</v>
      </c>
      <c r="O149" s="14">
        <v>0.47618139669103049</v>
      </c>
      <c r="P149" s="14">
        <v>0.777773207066358</v>
      </c>
    </row>
    <row r="150" spans="13:16">
      <c r="M150" s="2">
        <v>1.28</v>
      </c>
      <c r="N150" s="14">
        <v>0.25233884192784456</v>
      </c>
      <c r="O150" s="14">
        <v>0.47420048249518348</v>
      </c>
      <c r="P150" s="14">
        <v>0.77472356530015929</v>
      </c>
    </row>
    <row r="151" spans="13:16">
      <c r="M151" s="2">
        <v>1.29</v>
      </c>
      <c r="N151" s="14">
        <v>0.25168606436611446</v>
      </c>
      <c r="O151" s="14">
        <v>0.47223856869752329</v>
      </c>
      <c r="P151" s="14">
        <v>0.77171752281568096</v>
      </c>
    </row>
    <row r="152" spans="13:16">
      <c r="M152" s="2">
        <v>1.3</v>
      </c>
      <c r="N152" s="14">
        <v>0.25104219136064249</v>
      </c>
      <c r="O152" s="14">
        <v>0.47029535984399773</v>
      </c>
      <c r="P152" s="14">
        <v>0.7687541284293411</v>
      </c>
    </row>
    <row r="153" spans="13:16">
      <c r="M153" s="2">
        <v>1.31</v>
      </c>
      <c r="N153" s="14">
        <v>0.25040703734376674</v>
      </c>
      <c r="O153" s="14">
        <v>0.46837056658225634</v>
      </c>
      <c r="P153" s="14">
        <v>0.76583245778405207</v>
      </c>
    </row>
    <row r="154" spans="13:16">
      <c r="M154" s="2">
        <v>1.32</v>
      </c>
      <c r="N154" s="14">
        <v>0.24978042189675959</v>
      </c>
      <c r="O154" s="14">
        <v>0.46646390553104633</v>
      </c>
      <c r="P154" s="14">
        <v>0.76295161243501197</v>
      </c>
    </row>
    <row r="155" spans="13:16">
      <c r="M155" s="2">
        <v>1.33</v>
      </c>
      <c r="N155" s="14">
        <v>0.24916216957371787</v>
      </c>
      <c r="O155" s="14">
        <v>0.46457509915137601</v>
      </c>
      <c r="P155" s="14">
        <v>0.76011071897199056</v>
      </c>
    </row>
    <row r="156" spans="13:16">
      <c r="M156" s="2">
        <v>1.34</v>
      </c>
      <c r="N156" s="14">
        <v>0.24855210973257713</v>
      </c>
      <c r="O156" s="14">
        <v>0.46270387561953435</v>
      </c>
      <c r="P156" s="14">
        <v>0.75730892817642936</v>
      </c>
    </row>
    <row r="157" spans="13:16">
      <c r="M157" s="2">
        <v>1.35</v>
      </c>
      <c r="N157" s="14">
        <v>0.2479500763729196</v>
      </c>
      <c r="O157" s="14">
        <v>0.4608499687020392</v>
      </c>
      <c r="P157" s="14">
        <v>0.75454541421177768</v>
      </c>
    </row>
    <row r="158" spans="13:16">
      <c r="M158" s="2">
        <v>1.36</v>
      </c>
      <c r="N158" s="14">
        <v>0.24735590798026147</v>
      </c>
      <c r="O158" s="14">
        <v>0.45901311763258595</v>
      </c>
      <c r="P158" s="14">
        <v>0.7518193738455794</v>
      </c>
    </row>
    <row r="159" spans="13:16">
      <c r="M159" s="2">
        <v>1.37</v>
      </c>
      <c r="N159" s="14">
        <v>0.24676944737651813</v>
      </c>
      <c r="O159" s="14">
        <v>0.45719306699104351</v>
      </c>
      <c r="P159" s="14">
        <v>0.7491300257018666</v>
      </c>
    </row>
    <row r="160" spans="13:16">
      <c r="M160" s="2">
        <v>1.38</v>
      </c>
      <c r="N160" s="14">
        <v>0.24619054157636766</v>
      </c>
      <c r="O160" s="14">
        <v>0.4553895665845436</v>
      </c>
      <c r="P160" s="14">
        <v>0.74647660954252715</v>
      </c>
    </row>
    <row r="161" spans="13:16">
      <c r="M161" s="2">
        <v>1.39</v>
      </c>
      <c r="N161" s="14">
        <v>0.24561904164924617</v>
      </c>
      <c r="O161" s="14">
        <v>0.45360237133069359</v>
      </c>
      <c r="P161" s="14">
        <v>0.74385838557634565</v>
      </c>
    </row>
    <row r="162" spans="13:16">
      <c r="M162" s="2">
        <v>1.4</v>
      </c>
      <c r="N162" s="14">
        <v>0.24505480258671497</v>
      </c>
      <c r="O162" s="14">
        <v>0.45183124114294082</v>
      </c>
      <c r="P162" s="14">
        <v>0.74127463379451464</v>
      </c>
    </row>
    <row r="163" spans="13:16">
      <c r="M163" s="2">
        <v>1.41</v>
      </c>
      <c r="N163" s="14">
        <v>0.24449768317496487</v>
      </c>
      <c r="O163" s="14">
        <v>0.45007594081810287</v>
      </c>
      <c r="P163" s="14">
        <v>0.73872465333144155</v>
      </c>
    </row>
    <row r="164" spans="13:16">
      <c r="M164" s="2">
        <v>1.42</v>
      </c>
      <c r="N164" s="14">
        <v>0.24394754587222314</v>
      </c>
      <c r="O164" s="14">
        <v>0.44833623992607635</v>
      </c>
      <c r="P164" s="14">
        <v>0.73620776184975956</v>
      </c>
    </row>
    <row r="165" spans="13:16">
      <c r="M165" s="2">
        <v>1.43</v>
      </c>
      <c r="N165" s="14">
        <v>0.24340425669084992</v>
      </c>
      <c r="O165" s="14">
        <v>0.44661191270172701</v>
      </c>
      <c r="P165" s="14">
        <v>0.73372329494848554</v>
      </c>
    </row>
    <row r="166" spans="13:16">
      <c r="M166" s="2">
        <v>1.44</v>
      </c>
      <c r="N166" s="14">
        <v>0.24286768508391499</v>
      </c>
      <c r="O166" s="14">
        <v>0.44490273793896212</v>
      </c>
      <c r="P166" s="14">
        <v>0.73127060559333468</v>
      </c>
    </row>
    <row r="167" spans="13:16">
      <c r="M167" s="2">
        <v>1.45</v>
      </c>
      <c r="N167" s="14">
        <v>0.24233770383605913</v>
      </c>
      <c r="O167" s="14">
        <v>0.44320849888697778</v>
      </c>
      <c r="P167" s="14">
        <v>0.72884906356824042</v>
      </c>
    </row>
    <row r="168" spans="13:16">
      <c r="M168" s="2">
        <v>1.46</v>
      </c>
      <c r="N168" s="14">
        <v>0.24181418895845366</v>
      </c>
      <c r="O168" s="14">
        <v>0.44152898314866879</v>
      </c>
      <c r="P168" s="14">
        <v>0.72645805494716709</v>
      </c>
    </row>
    <row r="169" spans="13:16">
      <c r="M169" s="2">
        <v>1.47</v>
      </c>
      <c r="N169" s="14">
        <v>0.24129701958768046</v>
      </c>
      <c r="O169" s="14">
        <v>0.43986398258119724</v>
      </c>
      <c r="P169" s="14">
        <v>0.7240969815853755</v>
      </c>
    </row>
    <row r="170" spans="13:16">
      <c r="M170" s="2">
        <v>1.48</v>
      </c>
      <c r="N170" s="14">
        <v>0.24078607788836559</v>
      </c>
      <c r="O170" s="14">
        <v>0.43821329319868924</v>
      </c>
      <c r="P170" s="14">
        <v>0.72176526062930291</v>
      </c>
    </row>
    <row r="171" spans="13:16">
      <c r="M171" s="2">
        <v>1.49</v>
      </c>
      <c r="N171" s="14">
        <v>0.24028124895940148</v>
      </c>
      <c r="O171" s="14">
        <v>0.43657671507704859</v>
      </c>
      <c r="P171" s="14">
        <v>0.71946232404427857</v>
      </c>
    </row>
    <row r="172" spans="13:16">
      <c r="M172" s="2">
        <v>1.5</v>
      </c>
      <c r="N172" s="14">
        <v>0.23978242074361164</v>
      </c>
      <c r="O172" s="14">
        <v>0.43495405226086303</v>
      </c>
      <c r="P172" s="14">
        <v>0.71718761815934851</v>
      </c>
    </row>
    <row r="173" spans="13:16">
      <c r="M173" s="2">
        <v>1.51</v>
      </c>
      <c r="N173" s="14">
        <v>0.23928948394070546</v>
      </c>
      <c r="O173" s="14">
        <v>0.43334511267237685</v>
      </c>
      <c r="P173" s="14">
        <v>0.71494060322847763</v>
      </c>
    </row>
    <row r="174" spans="13:16">
      <c r="M174" s="2">
        <v>1.52</v>
      </c>
      <c r="N174" s="14">
        <v>0.23880233192339015</v>
      </c>
      <c r="O174" s="14">
        <v>0.4317497080225054</v>
      </c>
      <c r="P174" s="14">
        <v>0.71272075300747129</v>
      </c>
    </row>
    <row r="175" spans="13:16">
      <c r="M175" s="2">
        <v>1.53</v>
      </c>
      <c r="N175" s="14">
        <v>0.23832086065650437</v>
      </c>
      <c r="O175" s="14">
        <v>0.43016765372385807</v>
      </c>
      <c r="P175" s="14">
        <v>0.71052755434595882</v>
      </c>
    </row>
    <row r="176" spans="13:16">
      <c r="M176" s="2">
        <v>1.54</v>
      </c>
      <c r="N176" s="14">
        <v>0.2378449686190505</v>
      </c>
      <c r="O176" s="14">
        <v>0.42859876880574782</v>
      </c>
      <c r="P176" s="14">
        <v>0.70836050679383711</v>
      </c>
    </row>
    <row r="177" spans="13:16">
      <c r="M177" s="2">
        <v>1.55</v>
      </c>
      <c r="N177" s="14">
        <v>0.23737455672900432</v>
      </c>
      <c r="O177" s="14">
        <v>0.42704287583114975</v>
      </c>
      <c r="P177" s="14">
        <v>0.70621912222157268</v>
      </c>
    </row>
    <row r="178" spans="13:16">
      <c r="M178" s="2">
        <v>1.56</v>
      </c>
      <c r="N178" s="14">
        <v>0.2369095282707869</v>
      </c>
      <c r="O178" s="14">
        <v>0.42549980081557598</v>
      </c>
      <c r="P178" s="14">
        <v>0.70410292445381573</v>
      </c>
    </row>
    <row r="179" spans="13:16">
      <c r="M179" s="2">
        <v>1.57</v>
      </c>
      <c r="N179" s="14">
        <v>0.23644978882529397</v>
      </c>
      <c r="O179" s="14">
        <v>0.42396937314784178</v>
      </c>
      <c r="P179" s="14">
        <v>0.70201144891578648</v>
      </c>
    </row>
    <row r="180" spans="13:16">
      <c r="M180" s="2">
        <v>1.58</v>
      </c>
      <c r="N180" s="14">
        <v>0.2359952462023735</v>
      </c>
      <c r="O180" s="14">
        <v>0.42245142551267956</v>
      </c>
      <c r="P180" s="14">
        <v>0.69994424229191921</v>
      </c>
    </row>
    <row r="181" spans="13:16">
      <c r="M181" s="2">
        <v>1.59</v>
      </c>
      <c r="N181" s="14">
        <v>0.23554581037565733</v>
      </c>
      <c r="O181" s="14">
        <v>0.42094579381517389</v>
      </c>
      <c r="P181" s="14">
        <v>0.697900862196286</v>
      </c>
    </row>
    <row r="182" spans="13:16">
      <c r="M182" s="2">
        <v>1.6</v>
      </c>
      <c r="N182" s="14">
        <v>0.23510139341964856</v>
      </c>
      <c r="O182" s="14">
        <v>0.41945231710697933</v>
      </c>
      <c r="P182" s="14">
        <v>0.69588087685432698</v>
      </c>
    </row>
    <row r="183" spans="13:16">
      <c r="M183" s="2">
        <v>1.61</v>
      </c>
      <c r="N183" s="14">
        <v>0.23466190944897802</v>
      </c>
      <c r="O183" s="14">
        <v>0.41797083751428671</v>
      </c>
      <c r="P183" s="14">
        <v>0.69388386479544228</v>
      </c>
    </row>
    <row r="184" spans="13:16">
      <c r="M184" s="2">
        <v>1.62</v>
      </c>
      <c r="N184" s="14">
        <v>0.23422727455973943</v>
      </c>
      <c r="O184" s="14">
        <v>0.41650120016750641</v>
      </c>
      <c r="P184" s="14">
        <v>0.69190941455603072</v>
      </c>
    </row>
    <row r="185" spans="13:16">
      <c r="M185" s="2">
        <v>1.63</v>
      </c>
      <c r="N185" s="14">
        <v>0.23379740677282612</v>
      </c>
      <c r="O185" s="14">
        <v>0.41504325313262647</v>
      </c>
      <c r="P185" s="14">
        <v>0.68995712439255052</v>
      </c>
    </row>
    <row r="186" spans="13:16">
      <c r="M186" s="2">
        <v>1.64</v>
      </c>
      <c r="N186" s="14">
        <v>0.23337222597918589</v>
      </c>
      <c r="O186" s="14">
        <v>0.41359684734422131</v>
      </c>
      <c r="P186" s="14">
        <v>0.6880266020042356</v>
      </c>
    </row>
    <row r="187" spans="13:16">
      <c r="M187" s="2">
        <v>1.65</v>
      </c>
      <c r="N187" s="14">
        <v>0.23295165388692188</v>
      </c>
      <c r="O187" s="14">
        <v>0.41216183654006305</v>
      </c>
      <c r="P187" s="14">
        <v>0.68611746426507236</v>
      </c>
    </row>
    <row r="188" spans="13:16">
      <c r="M188" s="2">
        <v>1.66</v>
      </c>
      <c r="N188" s="14">
        <v>0.23253561397016673</v>
      </c>
      <c r="O188" s="14">
        <v>0.41073807719731414</v>
      </c>
      <c r="P188" s="14">
        <v>0.68422933696470389</v>
      </c>
    </row>
    <row r="189" spans="13:16">
      <c r="M189" s="2">
        <v>1.67</v>
      </c>
      <c r="N189" s="14">
        <v>0.2321240314196622</v>
      </c>
      <c r="O189" s="14">
        <v>0.4093254284702556</v>
      </c>
      <c r="P189" s="14">
        <v>0.68236185455790177</v>
      </c>
    </row>
    <row r="190" spans="13:16">
      <c r="M190" s="2">
        <v>1.68</v>
      </c>
      <c r="N190" s="14">
        <v>0.23171683309497668</v>
      </c>
      <c r="O190" s="14">
        <v>0.40792375212952642</v>
      </c>
      <c r="P190" s="14">
        <v>0.68051465992229632</v>
      </c>
    </row>
    <row r="191" spans="13:16">
      <c r="M191" s="2">
        <v>1.69</v>
      </c>
      <c r="N191" s="14">
        <v>0.23131394747830047</v>
      </c>
      <c r="O191" s="14">
        <v>0.40653291250283025</v>
      </c>
      <c r="P191" s="14">
        <v>0.67868740412403628</v>
      </c>
    </row>
    <row r="192" spans="13:16">
      <c r="M192" s="2">
        <v>1.7</v>
      </c>
      <c r="N192" s="14">
        <v>0.23091530462975657</v>
      </c>
      <c r="O192" s="14">
        <v>0.40515277641708747</v>
      </c>
      <c r="P192" s="14">
        <v>0.67687974619110369</v>
      </c>
    </row>
    <row r="193" spans="13:16">
      <c r="M193" s="2">
        <v>1.71</v>
      </c>
      <c r="N193" s="14">
        <v>0.23052083614417104</v>
      </c>
      <c r="O193" s="14">
        <v>0.40378321314198878</v>
      </c>
      <c r="P193" s="14">
        <v>0.67509135289396638</v>
      </c>
    </row>
    <row r="194" spans="13:16">
      <c r="M194" s="2">
        <v>1.72</v>
      </c>
      <c r="N194" s="14">
        <v>0.23013047510924683</v>
      </c>
      <c r="O194" s="14">
        <v>0.40242409433492388</v>
      </c>
      <c r="P194" s="14">
        <v>0.6733218985333248</v>
      </c>
    </row>
    <row r="195" spans="13:16">
      <c r="M195" s="2">
        <v>1.73</v>
      </c>
      <c r="N195" s="14">
        <v>0.22974415606509041</v>
      </c>
      <c r="O195" s="14">
        <v>0.40107529398725389</v>
      </c>
      <c r="P195" s="14">
        <v>0.67157106473467199</v>
      </c>
    </row>
    <row r="196" spans="13:16">
      <c r="M196" s="2">
        <v>1.74</v>
      </c>
      <c r="N196" s="14">
        <v>0.22936181496503677</v>
      </c>
      <c r="O196" s="14">
        <v>0.39973668837188997</v>
      </c>
      <c r="P196" s="14">
        <v>0.66983854024942002</v>
      </c>
    </row>
    <row r="197" spans="13:16">
      <c r="M197" s="2">
        <v>1.75</v>
      </c>
      <c r="N197" s="14">
        <v>0.22898338913773003</v>
      </c>
      <c r="O197" s="14">
        <v>0.39840815599215473</v>
      </c>
      <c r="P197" s="14">
        <v>0.66812402076235511</v>
      </c>
    </row>
    <row r="198" spans="13:16">
      <c r="M198" s="2">
        <v>1.76</v>
      </c>
      <c r="N198" s="14">
        <v>0.22860881725040891</v>
      </c>
      <c r="O198" s="14">
        <v>0.39708957753188995</v>
      </c>
      <c r="P198" s="14">
        <v>0.66642720870518957</v>
      </c>
    </row>
    <row r="199" spans="13:16">
      <c r="M199" s="2">
        <v>1.77</v>
      </c>
      <c r="N199" s="14">
        <v>0.22823803927335412</v>
      </c>
      <c r="O199" s="14">
        <v>0.39578083580678164</v>
      </c>
      <c r="P199" s="14">
        <v>0.66474781307597997</v>
      </c>
    </row>
    <row r="200" spans="13:16">
      <c r="M200" s="2">
        <v>1.78</v>
      </c>
      <c r="N200" s="14">
        <v>0.22787099644545702</v>
      </c>
      <c r="O200" s="14">
        <v>0.3944818157168774</v>
      </c>
      <c r="P200" s="14">
        <v>0.66308554926421803</v>
      </c>
    </row>
    <row r="201" spans="13:16">
      <c r="M201" s="2">
        <v>1.79</v>
      </c>
      <c r="N201" s="14">
        <v>0.22750763124086551</v>
      </c>
      <c r="O201" s="14">
        <v>0.39319240420025964</v>
      </c>
      <c r="P201" s="14">
        <v>0.66144013888136921</v>
      </c>
    </row>
    <row r="202" spans="13:16">
      <c r="M202" s="2">
        <v>1.8</v>
      </c>
      <c r="N202" s="14">
        <v>0.22714788733667085</v>
      </c>
      <c r="O202" s="14">
        <v>0.39191249018785373</v>
      </c>
      <c r="P202" s="14">
        <v>0.65981130959667922</v>
      </c>
    </row>
    <row r="203" spans="13:16">
      <c r="M203" s="2">
        <v>1.81</v>
      </c>
      <c r="N203" s="14">
        <v>0.22679170958159708</v>
      </c>
      <c r="O203" s="14">
        <v>0.39064196455933825</v>
      </c>
      <c r="P203" s="14">
        <v>0.658198794978053</v>
      </c>
    </row>
    <row r="204" spans="13:16">
      <c r="M204" s="2">
        <v>1.82</v>
      </c>
      <c r="N204" s="14">
        <v>0.22643904396565656</v>
      </c>
      <c r="O204" s="14">
        <v>0.38938072010013136</v>
      </c>
      <c r="P204" s="14">
        <v>0.65660233433782966</v>
      </c>
    </row>
    <row r="205" spans="13:16">
      <c r="M205" s="2">
        <v>1.83</v>
      </c>
      <c r="N205" s="14">
        <v>0.22608983759073781</v>
      </c>
      <c r="O205" s="14">
        <v>0.38812865145942788</v>
      </c>
      <c r="P205" s="14">
        <v>0.65502167258327548</v>
      </c>
    </row>
    <row r="206" spans="13:16">
      <c r="M206" s="2">
        <v>1.84</v>
      </c>
      <c r="N206" s="14">
        <v>0.22574403864209278</v>
      </c>
      <c r="O206" s="14">
        <v>0.38688565510926043</v>
      </c>
      <c r="P206" s="14">
        <v>0.65345656007163599</v>
      </c>
    </row>
    <row r="207" spans="13:16">
      <c r="M207" s="2">
        <v>1.85</v>
      </c>
      <c r="N207" s="14">
        <v>0.22540159636069107</v>
      </c>
      <c r="O207" s="14">
        <v>0.38565162930455721</v>
      </c>
      <c r="P207" s="14">
        <v>0.65190675246958318</v>
      </c>
    </row>
    <row r="208" spans="13:16">
      <c r="M208" s="2">
        <v>1.86</v>
      </c>
      <c r="N208" s="14">
        <v>0.2250624610164115</v>
      </c>
      <c r="O208" s="14">
        <v>0.38442647404417518</v>
      </c>
      <c r="P208" s="14">
        <v>0.65037201061690686</v>
      </c>
    </row>
    <row r="209" spans="13:16">
      <c r="M209" s="2">
        <v>1.87</v>
      </c>
      <c r="N209" s="14">
        <v>0.22472658388204023</v>
      </c>
      <c r="O209" s="14">
        <v>0.38321009103288012</v>
      </c>
      <c r="P209" s="14">
        <v>0.64885210039429753</v>
      </c>
    </row>
    <row r="210" spans="13:16">
      <c r="M210" s="2">
        <v>1.88</v>
      </c>
      <c r="N210" s="14">
        <v>0.22439391720805041</v>
      </c>
      <c r="O210" s="14">
        <v>0.38200238364425237</v>
      </c>
      <c r="P210" s="14">
        <v>0.64734679259508732</v>
      </c>
    </row>
    <row r="211" spans="13:16">
      <c r="M211" s="2">
        <v>1.89</v>
      </c>
      <c r="N211" s="14">
        <v>0.22406441419813217</v>
      </c>
      <c r="O211" s="14">
        <v>0.38080325688449551</v>
      </c>
      <c r="P211" s="14">
        <v>0.64585586280081264</v>
      </c>
    </row>
    <row r="212" spans="13:16">
      <c r="M212" s="2">
        <v>1.9</v>
      </c>
      <c r="N212" s="14">
        <v>0.2237380289854512</v>
      </c>
      <c r="O212" s="14">
        <v>0.37961261735712043</v>
      </c>
      <c r="P212" s="14">
        <v>0.64437909126045545</v>
      </c>
    </row>
    <row r="213" spans="13:16">
      <c r="M213" s="2">
        <v>1.91</v>
      </c>
      <c r="N213" s="14">
        <v>0.22341471660960702</v>
      </c>
      <c r="O213" s="14">
        <v>0.37843037322849121</v>
      </c>
      <c r="P213" s="14">
        <v>0.64291626277325731</v>
      </c>
    </row>
    <row r="214" spans="13:16">
      <c r="M214" s="2">
        <v>1.92</v>
      </c>
      <c r="N214" s="14">
        <v>0.22309443299427129</v>
      </c>
      <c r="O214" s="14">
        <v>0.37725643419420091</v>
      </c>
      <c r="P214" s="14">
        <v>0.64146716657496727</v>
      </c>
    </row>
    <row r="215" spans="13:16">
      <c r="M215" s="2">
        <v>1.93</v>
      </c>
      <c r="N215" s="14">
        <v>0.22277713492547876</v>
      </c>
      <c r="O215" s="14">
        <v>0.37609071144626438</v>
      </c>
      <c r="P215" s="14">
        <v>0.64003159622742034</v>
      </c>
    </row>
    <row r="216" spans="13:16">
      <c r="M216" s="2">
        <v>1.94</v>
      </c>
      <c r="N216" s="14">
        <v>0.22246278003055248</v>
      </c>
      <c r="O216" s="14">
        <v>0.37493311764110254</v>
      </c>
      <c r="P216" s="14">
        <v>0.63860934951132586</v>
      </c>
    </row>
    <row r="217" spans="13:16">
      <c r="M217" s="2">
        <v>1.95</v>
      </c>
      <c r="N217" s="14">
        <v>0.22215132675763877</v>
      </c>
      <c r="O217" s="14">
        <v>0.37378356686830094</v>
      </c>
      <c r="P217" s="14">
        <v>0.63720022832216594</v>
      </c>
    </row>
    <row r="218" spans="13:16">
      <c r="M218" s="2">
        <v>1.96</v>
      </c>
      <c r="N218" s="14">
        <v>0.22184273435583438</v>
      </c>
      <c r="O218" s="14">
        <v>0.37264197462012055</v>
      </c>
      <c r="P218" s="14">
        <v>0.63580403856909429</v>
      </c>
    </row>
    <row r="219" spans="13:16">
      <c r="M219" s="2">
        <v>1.97</v>
      </c>
      <c r="N219" s="14">
        <v>0.22153696285588442</v>
      </c>
      <c r="O219" s="14">
        <v>0.37150825776174257</v>
      </c>
      <c r="P219" s="14">
        <v>0.63442059007673846</v>
      </c>
    </row>
    <row r="220" spans="13:16">
      <c r="M220" s="2">
        <v>1.98</v>
      </c>
      <c r="N220" s="14">
        <v>0.22123397305143147</v>
      </c>
      <c r="O220" s="14">
        <v>0.37038233450222924</v>
      </c>
      <c r="P220" s="14">
        <v>0.63304969648980935</v>
      </c>
    </row>
    <row r="221" spans="13:16">
      <c r="M221" s="2">
        <v>1.99</v>
      </c>
      <c r="N221" s="14">
        <v>0.22093372648080017</v>
      </c>
      <c r="O221" s="14">
        <v>0.36926412436618228</v>
      </c>
      <c r="P221" s="14">
        <v>0.63169117518042994</v>
      </c>
    </row>
    <row r="222" spans="13:16">
      <c r="M222" s="2">
        <v>2</v>
      </c>
      <c r="N222" s="14">
        <v>0.22063618540929719</v>
      </c>
      <c r="O222" s="14">
        <v>0.36815354816607837</v>
      </c>
      <c r="P222" s="14">
        <v>0.63034484715808325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G19" sqref="G19"/>
    </sheetView>
  </sheetViews>
  <sheetFormatPr baseColWidth="10" defaultRowHeight="12" x14ac:dyDescent="0"/>
  <cols>
    <col min="3" max="4" width="4.83203125" customWidth="1"/>
    <col min="5" max="5" width="11.1640625" customWidth="1"/>
    <col min="10" max="10" width="13.5" customWidth="1"/>
  </cols>
  <sheetData>
    <row r="1" spans="1:14" ht="49" thickBot="1">
      <c r="A1" s="130" t="s">
        <v>45</v>
      </c>
      <c r="B1" s="130" t="s">
        <v>43</v>
      </c>
      <c r="E1" s="27" t="s">
        <v>77</v>
      </c>
      <c r="F1" s="19"/>
      <c r="G1" s="19"/>
      <c r="H1" s="19"/>
      <c r="I1" s="19"/>
      <c r="J1" s="20"/>
      <c r="K1" s="28"/>
      <c r="L1" s="141" t="s">
        <v>80</v>
      </c>
      <c r="M1" s="142" t="s">
        <v>78</v>
      </c>
      <c r="N1" s="146" t="s">
        <v>79</v>
      </c>
    </row>
    <row r="2" spans="1:14" ht="13" thickTop="1">
      <c r="A2">
        <v>5</v>
      </c>
      <c r="B2">
        <v>0</v>
      </c>
      <c r="E2" s="127" t="s">
        <v>167</v>
      </c>
      <c r="F2" s="128"/>
      <c r="G2" s="128"/>
      <c r="H2" s="128"/>
      <c r="I2" s="128"/>
      <c r="J2" s="129"/>
      <c r="K2" s="28"/>
      <c r="L2">
        <v>265</v>
      </c>
      <c r="M2">
        <v>95</v>
      </c>
      <c r="N2">
        <f t="shared" ref="N2:N65" ca="1" si="0">$M2/SUM(Length_Data_Lc_Linf)</f>
        <v>0.11571254567600488</v>
      </c>
    </row>
    <row r="3" spans="1:14">
      <c r="A3">
        <v>15</v>
      </c>
      <c r="B3">
        <v>0</v>
      </c>
      <c r="E3" s="131" t="s">
        <v>83</v>
      </c>
      <c r="F3" s="132"/>
      <c r="G3" s="132"/>
      <c r="H3" s="132"/>
      <c r="I3" s="132"/>
      <c r="J3" s="133"/>
      <c r="K3" s="28"/>
      <c r="L3">
        <v>275</v>
      </c>
      <c r="M3">
        <v>67</v>
      </c>
      <c r="N3">
        <f t="shared" ca="1" si="0"/>
        <v>8.1607795371498176E-2</v>
      </c>
    </row>
    <row r="4" spans="1:14">
      <c r="A4">
        <v>25</v>
      </c>
      <c r="B4">
        <v>0</v>
      </c>
      <c r="E4" s="62" t="s">
        <v>81</v>
      </c>
      <c r="F4" s="63"/>
      <c r="G4" s="63"/>
      <c r="H4" s="63"/>
      <c r="I4" s="63"/>
      <c r="J4" s="64"/>
      <c r="K4" s="28"/>
      <c r="L4">
        <v>285</v>
      </c>
      <c r="M4">
        <v>75</v>
      </c>
      <c r="N4">
        <f t="shared" ca="1" si="0"/>
        <v>9.1352009744214369E-2</v>
      </c>
    </row>
    <row r="5" spans="1:14">
      <c r="A5">
        <v>35</v>
      </c>
      <c r="B5">
        <v>0</v>
      </c>
      <c r="E5" s="135" t="s">
        <v>82</v>
      </c>
      <c r="F5" s="136"/>
      <c r="G5" s="136"/>
      <c r="H5" s="136"/>
      <c r="I5" s="136"/>
      <c r="J5" s="137"/>
      <c r="K5" s="28"/>
      <c r="L5">
        <v>295</v>
      </c>
      <c r="M5">
        <v>35</v>
      </c>
      <c r="N5">
        <f t="shared" ca="1" si="0"/>
        <v>4.2630937880633372E-2</v>
      </c>
    </row>
    <row r="6" spans="1:14">
      <c r="A6">
        <v>45</v>
      </c>
      <c r="B6">
        <v>0</v>
      </c>
      <c r="E6" s="138" t="s">
        <v>165</v>
      </c>
      <c r="F6" s="139"/>
      <c r="G6" s="139"/>
      <c r="H6" s="139"/>
      <c r="I6" s="139"/>
      <c r="J6" s="140"/>
      <c r="K6" s="28"/>
      <c r="L6">
        <v>305</v>
      </c>
      <c r="M6">
        <v>35</v>
      </c>
      <c r="N6">
        <f t="shared" ca="1" si="0"/>
        <v>4.2630937880633372E-2</v>
      </c>
    </row>
    <row r="7" spans="1:14">
      <c r="A7">
        <v>55</v>
      </c>
      <c r="B7">
        <v>1</v>
      </c>
      <c r="E7" s="143" t="s">
        <v>85</v>
      </c>
      <c r="F7" s="144"/>
      <c r="G7" s="144"/>
      <c r="H7" s="144"/>
      <c r="I7" s="144"/>
      <c r="J7" s="145"/>
      <c r="K7" s="28"/>
      <c r="L7">
        <v>315</v>
      </c>
      <c r="M7">
        <v>28</v>
      </c>
      <c r="N7">
        <f t="shared" ca="1" si="0"/>
        <v>3.4104750304506701E-2</v>
      </c>
    </row>
    <row r="8" spans="1:14">
      <c r="A8">
        <v>65</v>
      </c>
      <c r="B8">
        <v>0</v>
      </c>
      <c r="E8" s="147" t="s">
        <v>84</v>
      </c>
      <c r="F8" s="148"/>
      <c r="G8" s="148"/>
      <c r="H8" s="148"/>
      <c r="I8" s="148"/>
      <c r="J8" s="149"/>
      <c r="K8" s="28"/>
      <c r="L8">
        <v>325</v>
      </c>
      <c r="M8">
        <v>20</v>
      </c>
      <c r="N8">
        <f t="shared" ca="1" si="0"/>
        <v>2.4360535931790498E-2</v>
      </c>
    </row>
    <row r="9" spans="1:14">
      <c r="A9">
        <v>75</v>
      </c>
      <c r="B9">
        <v>0</v>
      </c>
      <c r="E9" s="147" t="s">
        <v>86</v>
      </c>
      <c r="F9" s="148"/>
      <c r="G9" s="148"/>
      <c r="H9" s="148"/>
      <c r="I9" s="148"/>
      <c r="J9" s="149"/>
      <c r="K9" s="28"/>
      <c r="L9">
        <v>335</v>
      </c>
      <c r="M9">
        <v>18</v>
      </c>
      <c r="N9">
        <f t="shared" ca="1" si="0"/>
        <v>2.192448233861145E-2</v>
      </c>
    </row>
    <row r="10" spans="1:14" ht="13" thickBot="1">
      <c r="A10">
        <v>85</v>
      </c>
      <c r="B10">
        <v>0</v>
      </c>
      <c r="E10" s="23"/>
      <c r="F10" s="17"/>
      <c r="G10" s="17"/>
      <c r="H10" s="17"/>
      <c r="I10" s="17"/>
      <c r="J10" s="18"/>
      <c r="L10">
        <v>345</v>
      </c>
      <c r="M10">
        <v>18</v>
      </c>
      <c r="N10">
        <f t="shared" ca="1" si="0"/>
        <v>2.192448233861145E-2</v>
      </c>
    </row>
    <row r="11" spans="1:14">
      <c r="A11">
        <v>95</v>
      </c>
      <c r="B11">
        <v>0</v>
      </c>
      <c r="L11">
        <v>355</v>
      </c>
      <c r="M11">
        <v>31</v>
      </c>
      <c r="N11">
        <f t="shared" ca="1" si="0"/>
        <v>3.7758830694275276E-2</v>
      </c>
    </row>
    <row r="12" spans="1:14">
      <c r="A12">
        <v>105</v>
      </c>
      <c r="B12">
        <v>0</v>
      </c>
      <c r="L12">
        <v>365</v>
      </c>
      <c r="M12">
        <v>21</v>
      </c>
      <c r="N12">
        <f t="shared" ca="1" si="0"/>
        <v>2.5578562728380026E-2</v>
      </c>
    </row>
    <row r="13" spans="1:14" ht="20">
      <c r="A13">
        <v>115</v>
      </c>
      <c r="B13">
        <v>0</v>
      </c>
      <c r="F13" s="26" t="s">
        <v>73</v>
      </c>
      <c r="G13" s="199">
        <v>973.2</v>
      </c>
      <c r="L13">
        <v>375</v>
      </c>
      <c r="M13">
        <v>27</v>
      </c>
      <c r="N13">
        <f t="shared" ca="1" si="0"/>
        <v>3.2886723507917173E-2</v>
      </c>
    </row>
    <row r="14" spans="1:14" ht="20">
      <c r="A14">
        <v>125</v>
      </c>
      <c r="B14">
        <v>0</v>
      </c>
      <c r="F14" s="26" t="s">
        <v>74</v>
      </c>
      <c r="G14" s="201">
        <v>0.12740000000000001</v>
      </c>
      <c r="L14">
        <v>385</v>
      </c>
      <c r="M14">
        <v>33</v>
      </c>
      <c r="N14">
        <f t="shared" ca="1" si="0"/>
        <v>4.0194884287454324E-2</v>
      </c>
    </row>
    <row r="15" spans="1:14" ht="20">
      <c r="A15">
        <v>135</v>
      </c>
      <c r="B15">
        <v>0</v>
      </c>
      <c r="F15" s="26" t="s">
        <v>76</v>
      </c>
      <c r="G15" s="199">
        <v>0.222</v>
      </c>
      <c r="L15">
        <v>395</v>
      </c>
      <c r="M15">
        <v>27</v>
      </c>
      <c r="N15">
        <f t="shared" ca="1" si="0"/>
        <v>3.2886723507917173E-2</v>
      </c>
    </row>
    <row r="16" spans="1:14">
      <c r="A16">
        <v>145</v>
      </c>
      <c r="B16">
        <v>0</v>
      </c>
      <c r="F16" s="42" t="s">
        <v>71</v>
      </c>
      <c r="G16" s="42">
        <v>265</v>
      </c>
      <c r="L16">
        <v>405</v>
      </c>
      <c r="M16">
        <v>27</v>
      </c>
      <c r="N16">
        <f t="shared" ca="1" si="0"/>
        <v>3.2886723507917173E-2</v>
      </c>
    </row>
    <row r="17" spans="1:14">
      <c r="A17">
        <v>155</v>
      </c>
      <c r="B17">
        <v>0</v>
      </c>
      <c r="F17" s="150" t="s">
        <v>72</v>
      </c>
      <c r="G17" s="150">
        <f ca="1">SUMPRODUCT(Lengths_Lc_and_Linf,Length_Prop_Lc_Linf)/SUM(Length_Prop_Lc_Linf)</f>
        <v>382.23507917174163</v>
      </c>
      <c r="L17">
        <v>415</v>
      </c>
      <c r="M17">
        <v>24</v>
      </c>
      <c r="N17">
        <f t="shared" ca="1" si="0"/>
        <v>2.9232643118148598E-2</v>
      </c>
    </row>
    <row r="18" spans="1:14">
      <c r="A18">
        <v>165</v>
      </c>
      <c r="B18">
        <v>0</v>
      </c>
      <c r="F18" s="150" t="s">
        <v>75</v>
      </c>
      <c r="G18" s="150">
        <f ca="1">k_BH*(Linf_BH-Lbar_BH)/(Lbar_BH-Lc_BH)</f>
        <v>0.64220480290909199</v>
      </c>
      <c r="L18">
        <v>425</v>
      </c>
      <c r="M18">
        <v>23</v>
      </c>
      <c r="N18">
        <f t="shared" ca="1" si="0"/>
        <v>2.8014616321559074E-2</v>
      </c>
    </row>
    <row r="19" spans="1:14">
      <c r="A19">
        <v>175</v>
      </c>
      <c r="B19">
        <v>1</v>
      </c>
      <c r="F19" s="150" t="s">
        <v>21</v>
      </c>
      <c r="G19" s="150">
        <f ca="1">G18-G15</f>
        <v>0.42020480290909201</v>
      </c>
      <c r="L19">
        <v>435</v>
      </c>
      <c r="M19">
        <v>19</v>
      </c>
      <c r="N19">
        <f t="shared" ca="1" si="0"/>
        <v>2.3142509135200974E-2</v>
      </c>
    </row>
    <row r="20" spans="1:14">
      <c r="A20">
        <v>185</v>
      </c>
      <c r="B20">
        <v>0</v>
      </c>
      <c r="F20" s="26"/>
      <c r="G20" s="26"/>
      <c r="L20">
        <v>445</v>
      </c>
      <c r="M20">
        <v>11</v>
      </c>
      <c r="N20">
        <f t="shared" ca="1" si="0"/>
        <v>1.3398294762484775E-2</v>
      </c>
    </row>
    <row r="21" spans="1:14">
      <c r="A21">
        <v>195</v>
      </c>
      <c r="B21">
        <v>0</v>
      </c>
      <c r="L21">
        <v>455</v>
      </c>
      <c r="M21">
        <v>15</v>
      </c>
      <c r="N21">
        <f t="shared" ca="1" si="0"/>
        <v>1.8270401948842874E-2</v>
      </c>
    </row>
    <row r="22" spans="1:14">
      <c r="A22">
        <v>205</v>
      </c>
      <c r="B22">
        <v>2</v>
      </c>
      <c r="L22">
        <v>465</v>
      </c>
      <c r="M22">
        <v>16</v>
      </c>
      <c r="N22">
        <f t="shared" ca="1" si="0"/>
        <v>1.9488428745432398E-2</v>
      </c>
    </row>
    <row r="23" spans="1:14">
      <c r="A23">
        <v>215</v>
      </c>
      <c r="B23">
        <v>3</v>
      </c>
      <c r="L23">
        <v>475</v>
      </c>
      <c r="M23">
        <v>8</v>
      </c>
      <c r="N23">
        <f t="shared" ca="1" si="0"/>
        <v>9.7442143727161992E-3</v>
      </c>
    </row>
    <row r="24" spans="1:14">
      <c r="A24">
        <v>225</v>
      </c>
      <c r="B24">
        <v>17</v>
      </c>
      <c r="L24">
        <v>485</v>
      </c>
      <c r="M24">
        <v>13</v>
      </c>
      <c r="N24">
        <f t="shared" ca="1" si="0"/>
        <v>1.5834348355663823E-2</v>
      </c>
    </row>
    <row r="25" spans="1:14">
      <c r="A25">
        <v>235</v>
      </c>
      <c r="B25">
        <v>20</v>
      </c>
      <c r="E25" s="134"/>
      <c r="F25" s="134"/>
      <c r="G25" s="134"/>
      <c r="H25" s="134"/>
      <c r="I25" s="134"/>
      <c r="J25" s="134"/>
      <c r="K25" s="134"/>
      <c r="L25">
        <v>495</v>
      </c>
      <c r="M25">
        <v>12</v>
      </c>
      <c r="N25">
        <f t="shared" ca="1" si="0"/>
        <v>1.4616321559074299E-2</v>
      </c>
    </row>
    <row r="26" spans="1:14">
      <c r="A26">
        <v>245</v>
      </c>
      <c r="B26">
        <v>49</v>
      </c>
      <c r="E26" s="134"/>
      <c r="F26" s="134"/>
      <c r="G26" s="134"/>
      <c r="H26" s="134"/>
      <c r="I26" s="134"/>
      <c r="J26" s="134"/>
      <c r="K26" s="134"/>
      <c r="L26">
        <v>505</v>
      </c>
      <c r="M26">
        <v>9</v>
      </c>
      <c r="N26">
        <f t="shared" ca="1" si="0"/>
        <v>1.0962241169305725E-2</v>
      </c>
    </row>
    <row r="27" spans="1:14">
      <c r="A27">
        <v>255</v>
      </c>
      <c r="B27">
        <v>84</v>
      </c>
      <c r="E27" s="134"/>
      <c r="F27" s="134"/>
      <c r="G27" s="134"/>
      <c r="H27" s="134"/>
      <c r="I27" s="134"/>
      <c r="J27" s="134"/>
      <c r="K27" s="134"/>
      <c r="L27">
        <v>515</v>
      </c>
      <c r="M27">
        <v>12</v>
      </c>
      <c r="N27">
        <f t="shared" ca="1" si="0"/>
        <v>1.4616321559074299E-2</v>
      </c>
    </row>
    <row r="28" spans="1:14">
      <c r="A28">
        <v>265</v>
      </c>
      <c r="B28">
        <v>95</v>
      </c>
      <c r="E28" s="134"/>
      <c r="F28" s="134"/>
      <c r="G28" s="134"/>
      <c r="H28" s="134"/>
      <c r="I28" s="134"/>
      <c r="J28" s="134"/>
      <c r="K28" s="134"/>
      <c r="L28">
        <v>525</v>
      </c>
      <c r="M28">
        <v>8</v>
      </c>
      <c r="N28">
        <f t="shared" ca="1" si="0"/>
        <v>9.7442143727161992E-3</v>
      </c>
    </row>
    <row r="29" spans="1:14">
      <c r="A29">
        <v>275</v>
      </c>
      <c r="B29">
        <v>67</v>
      </c>
      <c r="E29" s="134"/>
      <c r="F29" s="134"/>
      <c r="G29" s="134"/>
      <c r="H29" s="134"/>
      <c r="I29" s="134"/>
      <c r="J29" s="134"/>
      <c r="K29" s="134"/>
      <c r="L29">
        <v>535</v>
      </c>
      <c r="M29">
        <v>9</v>
      </c>
      <c r="N29">
        <f t="shared" ca="1" si="0"/>
        <v>1.0962241169305725E-2</v>
      </c>
    </row>
    <row r="30" spans="1:14">
      <c r="A30">
        <v>285</v>
      </c>
      <c r="B30">
        <v>75</v>
      </c>
      <c r="E30" s="134"/>
      <c r="F30" s="134"/>
      <c r="G30" s="134"/>
      <c r="H30" s="134"/>
      <c r="I30" s="134"/>
      <c r="J30" s="134"/>
      <c r="K30" s="134"/>
      <c r="L30">
        <v>545</v>
      </c>
      <c r="M30">
        <v>9</v>
      </c>
      <c r="N30">
        <f t="shared" ca="1" si="0"/>
        <v>1.0962241169305725E-2</v>
      </c>
    </row>
    <row r="31" spans="1:14">
      <c r="A31">
        <v>295</v>
      </c>
      <c r="B31">
        <v>35</v>
      </c>
      <c r="E31" s="134"/>
      <c r="F31" s="134"/>
      <c r="G31" s="134"/>
      <c r="H31" s="134"/>
      <c r="I31" s="134"/>
      <c r="J31" s="134"/>
      <c r="K31" s="134"/>
      <c r="L31">
        <v>555</v>
      </c>
      <c r="M31">
        <v>8</v>
      </c>
      <c r="N31">
        <f t="shared" ca="1" si="0"/>
        <v>9.7442143727161992E-3</v>
      </c>
    </row>
    <row r="32" spans="1:14">
      <c r="A32">
        <v>305</v>
      </c>
      <c r="B32">
        <v>35</v>
      </c>
      <c r="E32" s="134"/>
      <c r="F32" s="134"/>
      <c r="G32" s="134"/>
      <c r="H32" s="134"/>
      <c r="I32" s="134"/>
      <c r="J32" s="134"/>
      <c r="K32" s="134"/>
      <c r="L32">
        <v>565</v>
      </c>
      <c r="M32">
        <v>3</v>
      </c>
      <c r="N32">
        <f t="shared" ca="1" si="0"/>
        <v>3.6540803897685747E-3</v>
      </c>
    </row>
    <row r="33" spans="1:14">
      <c r="A33">
        <v>315</v>
      </c>
      <c r="B33">
        <v>28</v>
      </c>
      <c r="E33" s="134"/>
      <c r="F33" s="134"/>
      <c r="G33" s="134"/>
      <c r="H33" s="134"/>
      <c r="I33" s="134"/>
      <c r="J33" s="134"/>
      <c r="K33" s="134"/>
      <c r="L33">
        <v>575</v>
      </c>
      <c r="M33">
        <v>6</v>
      </c>
      <c r="N33">
        <f t="shared" ca="1" si="0"/>
        <v>7.3081607795371494E-3</v>
      </c>
    </row>
    <row r="34" spans="1:14">
      <c r="A34">
        <v>325</v>
      </c>
      <c r="B34">
        <v>20</v>
      </c>
      <c r="E34" s="134"/>
      <c r="F34" s="134"/>
      <c r="G34" s="134"/>
      <c r="H34" s="134"/>
      <c r="I34" s="134"/>
      <c r="J34" s="134"/>
      <c r="K34" s="134"/>
      <c r="L34">
        <v>585</v>
      </c>
      <c r="M34">
        <v>6</v>
      </c>
      <c r="N34">
        <f t="shared" ca="1" si="0"/>
        <v>7.3081607795371494E-3</v>
      </c>
    </row>
    <row r="35" spans="1:14">
      <c r="A35">
        <v>335</v>
      </c>
      <c r="B35">
        <v>18</v>
      </c>
      <c r="E35" s="134"/>
      <c r="F35" s="134"/>
      <c r="G35" s="134"/>
      <c r="H35" s="134"/>
      <c r="I35" s="134"/>
      <c r="J35" s="134"/>
      <c r="K35" s="134"/>
      <c r="L35">
        <v>595</v>
      </c>
      <c r="M35">
        <v>1</v>
      </c>
      <c r="N35">
        <f t="shared" ca="1" si="0"/>
        <v>1.2180267965895249E-3</v>
      </c>
    </row>
    <row r="36" spans="1:14">
      <c r="A36">
        <v>345</v>
      </c>
      <c r="B36">
        <v>18</v>
      </c>
      <c r="E36" s="134"/>
      <c r="F36" s="134"/>
      <c r="G36" s="134"/>
      <c r="H36" s="134"/>
      <c r="I36" s="134"/>
      <c r="J36" s="134"/>
      <c r="K36" s="134"/>
      <c r="L36">
        <v>605</v>
      </c>
      <c r="M36">
        <v>3</v>
      </c>
      <c r="N36">
        <f t="shared" ca="1" si="0"/>
        <v>3.6540803897685747E-3</v>
      </c>
    </row>
    <row r="37" spans="1:14">
      <c r="A37">
        <v>355</v>
      </c>
      <c r="B37">
        <v>31</v>
      </c>
      <c r="E37" s="134"/>
      <c r="F37" s="134"/>
      <c r="G37" s="134"/>
      <c r="H37" s="134"/>
      <c r="I37" s="134"/>
      <c r="J37" s="134"/>
      <c r="K37" s="134"/>
      <c r="L37">
        <v>615</v>
      </c>
      <c r="M37">
        <v>3</v>
      </c>
      <c r="N37">
        <f t="shared" ca="1" si="0"/>
        <v>3.6540803897685747E-3</v>
      </c>
    </row>
    <row r="38" spans="1:14">
      <c r="A38">
        <v>365</v>
      </c>
      <c r="B38">
        <v>21</v>
      </c>
      <c r="E38" s="134"/>
      <c r="F38" s="134"/>
      <c r="G38" s="134"/>
      <c r="H38" s="134"/>
      <c r="I38" s="134"/>
      <c r="J38" s="134"/>
      <c r="K38" s="134"/>
      <c r="L38">
        <v>625</v>
      </c>
      <c r="M38">
        <v>4</v>
      </c>
      <c r="N38">
        <f t="shared" ca="1" si="0"/>
        <v>4.8721071863580996E-3</v>
      </c>
    </row>
    <row r="39" spans="1:14">
      <c r="A39">
        <v>375</v>
      </c>
      <c r="B39">
        <v>27</v>
      </c>
      <c r="E39" s="134"/>
      <c r="F39" s="134"/>
      <c r="G39" s="134"/>
      <c r="H39" s="134"/>
      <c r="I39" s="134"/>
      <c r="J39" s="134"/>
      <c r="K39" s="134"/>
      <c r="L39">
        <v>635</v>
      </c>
      <c r="M39">
        <v>3</v>
      </c>
      <c r="N39">
        <f t="shared" ca="1" si="0"/>
        <v>3.6540803897685747E-3</v>
      </c>
    </row>
    <row r="40" spans="1:14">
      <c r="A40">
        <v>385</v>
      </c>
      <c r="B40">
        <v>33</v>
      </c>
      <c r="E40" s="134"/>
      <c r="F40" s="134"/>
      <c r="G40" s="134"/>
      <c r="H40" s="134"/>
      <c r="I40" s="134"/>
      <c r="J40" s="134"/>
      <c r="K40" s="134"/>
      <c r="L40">
        <v>645</v>
      </c>
      <c r="M40">
        <v>2</v>
      </c>
      <c r="N40">
        <f t="shared" ca="1" si="0"/>
        <v>2.4360535931790498E-3</v>
      </c>
    </row>
    <row r="41" spans="1:14">
      <c r="A41">
        <v>395</v>
      </c>
      <c r="B41">
        <v>27</v>
      </c>
      <c r="E41" s="134"/>
      <c r="F41" s="134"/>
      <c r="G41" s="134"/>
      <c r="H41" s="134"/>
      <c r="I41" s="134"/>
      <c r="J41" s="134"/>
      <c r="K41" s="134"/>
      <c r="L41">
        <v>655</v>
      </c>
      <c r="M41">
        <v>4</v>
      </c>
      <c r="N41">
        <f t="shared" ca="1" si="0"/>
        <v>4.8721071863580996E-3</v>
      </c>
    </row>
    <row r="42" spans="1:14">
      <c r="A42">
        <v>405</v>
      </c>
      <c r="B42">
        <v>27</v>
      </c>
      <c r="E42" s="134"/>
      <c r="F42" s="134"/>
      <c r="G42" s="134"/>
      <c r="H42" s="134"/>
      <c r="I42" s="134"/>
      <c r="J42" s="134"/>
      <c r="K42" s="134"/>
      <c r="L42">
        <v>665</v>
      </c>
      <c r="M42">
        <v>6</v>
      </c>
      <c r="N42">
        <f t="shared" ca="1" si="0"/>
        <v>7.3081607795371494E-3</v>
      </c>
    </row>
    <row r="43" spans="1:14">
      <c r="A43">
        <v>415</v>
      </c>
      <c r="B43">
        <v>24</v>
      </c>
      <c r="E43" s="134"/>
      <c r="F43" s="134"/>
      <c r="G43" s="134"/>
      <c r="H43" s="134"/>
      <c r="I43" s="134"/>
      <c r="J43" s="134"/>
      <c r="K43" s="134"/>
      <c r="L43">
        <v>675</v>
      </c>
      <c r="M43">
        <v>3</v>
      </c>
      <c r="N43">
        <f t="shared" ca="1" si="0"/>
        <v>3.6540803897685747E-3</v>
      </c>
    </row>
    <row r="44" spans="1:14">
      <c r="A44">
        <v>425</v>
      </c>
      <c r="B44">
        <v>23</v>
      </c>
      <c r="E44" s="134"/>
      <c r="F44" s="134"/>
      <c r="G44" s="134"/>
      <c r="H44" s="134"/>
      <c r="I44" s="134"/>
      <c r="J44" s="134"/>
      <c r="K44" s="134"/>
      <c r="L44">
        <v>685</v>
      </c>
      <c r="M44">
        <v>0</v>
      </c>
      <c r="N44">
        <f t="shared" ca="1" si="0"/>
        <v>0</v>
      </c>
    </row>
    <row r="45" spans="1:14">
      <c r="A45">
        <v>435</v>
      </c>
      <c r="B45">
        <v>19</v>
      </c>
      <c r="L45">
        <v>695</v>
      </c>
      <c r="M45">
        <v>4</v>
      </c>
      <c r="N45">
        <f t="shared" ca="1" si="0"/>
        <v>4.8721071863580996E-3</v>
      </c>
    </row>
    <row r="46" spans="1:14">
      <c r="A46">
        <v>445</v>
      </c>
      <c r="B46">
        <v>11</v>
      </c>
      <c r="L46">
        <v>705</v>
      </c>
      <c r="M46">
        <v>5</v>
      </c>
      <c r="N46">
        <f t="shared" ca="1" si="0"/>
        <v>6.0901339829476245E-3</v>
      </c>
    </row>
    <row r="47" spans="1:14">
      <c r="A47">
        <v>455</v>
      </c>
      <c r="B47">
        <v>15</v>
      </c>
      <c r="L47">
        <v>715</v>
      </c>
      <c r="M47">
        <v>1</v>
      </c>
      <c r="N47">
        <f t="shared" ca="1" si="0"/>
        <v>1.2180267965895249E-3</v>
      </c>
    </row>
    <row r="48" spans="1:14">
      <c r="A48">
        <v>465</v>
      </c>
      <c r="B48">
        <v>16</v>
      </c>
      <c r="L48">
        <v>725</v>
      </c>
      <c r="M48">
        <v>2</v>
      </c>
      <c r="N48">
        <f t="shared" ca="1" si="0"/>
        <v>2.4360535931790498E-3</v>
      </c>
    </row>
    <row r="49" spans="1:14">
      <c r="A49">
        <v>475</v>
      </c>
      <c r="B49">
        <v>8</v>
      </c>
      <c r="L49">
        <v>735</v>
      </c>
      <c r="M49">
        <v>3</v>
      </c>
      <c r="N49">
        <f t="shared" ca="1" si="0"/>
        <v>3.6540803897685747E-3</v>
      </c>
    </row>
    <row r="50" spans="1:14">
      <c r="A50">
        <v>485</v>
      </c>
      <c r="B50">
        <v>13</v>
      </c>
      <c r="L50">
        <v>745</v>
      </c>
      <c r="M50">
        <v>4</v>
      </c>
      <c r="N50">
        <f t="shared" ca="1" si="0"/>
        <v>4.8721071863580996E-3</v>
      </c>
    </row>
    <row r="51" spans="1:14">
      <c r="A51">
        <v>495</v>
      </c>
      <c r="B51">
        <v>12</v>
      </c>
      <c r="L51">
        <v>755</v>
      </c>
      <c r="M51">
        <v>1</v>
      </c>
      <c r="N51">
        <f t="shared" ca="1" si="0"/>
        <v>1.2180267965895249E-3</v>
      </c>
    </row>
    <row r="52" spans="1:14">
      <c r="A52">
        <v>505</v>
      </c>
      <c r="B52">
        <v>9</v>
      </c>
      <c r="L52">
        <v>765</v>
      </c>
      <c r="M52">
        <v>0</v>
      </c>
      <c r="N52">
        <f t="shared" ca="1" si="0"/>
        <v>0</v>
      </c>
    </row>
    <row r="53" spans="1:14">
      <c r="A53">
        <v>515</v>
      </c>
      <c r="B53">
        <v>12</v>
      </c>
      <c r="L53">
        <v>775</v>
      </c>
      <c r="M53">
        <v>0</v>
      </c>
      <c r="N53">
        <f t="shared" ca="1" si="0"/>
        <v>0</v>
      </c>
    </row>
    <row r="54" spans="1:14">
      <c r="A54">
        <v>525</v>
      </c>
      <c r="B54">
        <v>8</v>
      </c>
      <c r="L54">
        <v>785</v>
      </c>
      <c r="M54">
        <v>2</v>
      </c>
      <c r="N54">
        <f t="shared" ca="1" si="0"/>
        <v>2.4360535931790498E-3</v>
      </c>
    </row>
    <row r="55" spans="1:14">
      <c r="A55">
        <v>535</v>
      </c>
      <c r="B55">
        <v>9</v>
      </c>
      <c r="L55">
        <v>795</v>
      </c>
      <c r="M55">
        <v>0</v>
      </c>
      <c r="N55">
        <f t="shared" ca="1" si="0"/>
        <v>0</v>
      </c>
    </row>
    <row r="56" spans="1:14">
      <c r="A56">
        <v>545</v>
      </c>
      <c r="B56">
        <v>9</v>
      </c>
      <c r="L56">
        <v>805</v>
      </c>
      <c r="M56">
        <v>1</v>
      </c>
      <c r="N56">
        <f t="shared" ca="1" si="0"/>
        <v>1.2180267965895249E-3</v>
      </c>
    </row>
    <row r="57" spans="1:14">
      <c r="A57">
        <v>555</v>
      </c>
      <c r="B57">
        <v>8</v>
      </c>
      <c r="L57">
        <v>815</v>
      </c>
      <c r="M57">
        <v>0</v>
      </c>
      <c r="N57">
        <f t="shared" ca="1" si="0"/>
        <v>0</v>
      </c>
    </row>
    <row r="58" spans="1:14">
      <c r="A58">
        <v>565</v>
      </c>
      <c r="B58">
        <v>3</v>
      </c>
      <c r="L58">
        <v>825</v>
      </c>
      <c r="M58">
        <v>0</v>
      </c>
      <c r="N58">
        <f t="shared" ca="1" si="0"/>
        <v>0</v>
      </c>
    </row>
    <row r="59" spans="1:14">
      <c r="A59">
        <v>575</v>
      </c>
      <c r="B59">
        <v>6</v>
      </c>
      <c r="L59">
        <v>835</v>
      </c>
      <c r="M59">
        <v>0</v>
      </c>
      <c r="N59">
        <f t="shared" ca="1" si="0"/>
        <v>0</v>
      </c>
    </row>
    <row r="60" spans="1:14">
      <c r="A60">
        <v>585</v>
      </c>
      <c r="B60">
        <v>6</v>
      </c>
      <c r="L60">
        <v>845</v>
      </c>
      <c r="M60">
        <v>0</v>
      </c>
      <c r="N60">
        <f t="shared" ca="1" si="0"/>
        <v>0</v>
      </c>
    </row>
    <row r="61" spans="1:14">
      <c r="A61">
        <v>595</v>
      </c>
      <c r="B61">
        <v>1</v>
      </c>
      <c r="L61">
        <v>855</v>
      </c>
      <c r="M61">
        <v>0</v>
      </c>
      <c r="N61">
        <f t="shared" ca="1" si="0"/>
        <v>0</v>
      </c>
    </row>
    <row r="62" spans="1:14">
      <c r="A62">
        <v>605</v>
      </c>
      <c r="B62">
        <v>3</v>
      </c>
      <c r="L62">
        <v>865</v>
      </c>
      <c r="M62">
        <v>1</v>
      </c>
      <c r="N62">
        <f t="shared" ca="1" si="0"/>
        <v>1.2180267965895249E-3</v>
      </c>
    </row>
    <row r="63" spans="1:14">
      <c r="A63">
        <v>615</v>
      </c>
      <c r="B63">
        <v>3</v>
      </c>
      <c r="L63">
        <v>875</v>
      </c>
      <c r="M63">
        <v>0</v>
      </c>
      <c r="N63">
        <f t="shared" ca="1" si="0"/>
        <v>0</v>
      </c>
    </row>
    <row r="64" spans="1:14">
      <c r="A64">
        <v>625</v>
      </c>
      <c r="B64">
        <v>4</v>
      </c>
      <c r="L64">
        <v>885</v>
      </c>
      <c r="M64">
        <v>0</v>
      </c>
      <c r="N64">
        <f t="shared" ca="1" si="0"/>
        <v>0</v>
      </c>
    </row>
    <row r="65" spans="1:14">
      <c r="A65">
        <v>635</v>
      </c>
      <c r="B65">
        <v>3</v>
      </c>
      <c r="L65">
        <v>895</v>
      </c>
      <c r="M65">
        <v>0</v>
      </c>
      <c r="N65">
        <f t="shared" ca="1" si="0"/>
        <v>0</v>
      </c>
    </row>
    <row r="66" spans="1:14">
      <c r="A66">
        <v>645</v>
      </c>
      <c r="B66">
        <v>2</v>
      </c>
      <c r="L66">
        <v>905</v>
      </c>
      <c r="M66">
        <v>0</v>
      </c>
      <c r="N66">
        <f t="shared" ref="N66:N75" ca="1" si="1">$M66/SUM(Length_Data_Lc_Linf)</f>
        <v>0</v>
      </c>
    </row>
    <row r="67" spans="1:14">
      <c r="A67">
        <v>655</v>
      </c>
      <c r="B67">
        <v>4</v>
      </c>
      <c r="L67">
        <v>915</v>
      </c>
      <c r="M67">
        <v>0</v>
      </c>
      <c r="N67">
        <f t="shared" ca="1" si="1"/>
        <v>0</v>
      </c>
    </row>
    <row r="68" spans="1:14">
      <c r="A68">
        <v>665</v>
      </c>
      <c r="B68">
        <v>6</v>
      </c>
      <c r="L68">
        <v>925</v>
      </c>
      <c r="M68">
        <v>0</v>
      </c>
      <c r="N68">
        <f t="shared" ca="1" si="1"/>
        <v>0</v>
      </c>
    </row>
    <row r="69" spans="1:14">
      <c r="A69">
        <v>675</v>
      </c>
      <c r="B69">
        <v>3</v>
      </c>
      <c r="L69">
        <v>935</v>
      </c>
      <c r="M69">
        <v>0</v>
      </c>
      <c r="N69">
        <f t="shared" ca="1" si="1"/>
        <v>0</v>
      </c>
    </row>
    <row r="70" spans="1:14">
      <c r="A70">
        <v>685</v>
      </c>
      <c r="B70">
        <v>0</v>
      </c>
      <c r="L70">
        <v>945</v>
      </c>
      <c r="M70">
        <v>0</v>
      </c>
      <c r="N70">
        <f t="shared" ca="1" si="1"/>
        <v>0</v>
      </c>
    </row>
    <row r="71" spans="1:14">
      <c r="A71">
        <v>695</v>
      </c>
      <c r="B71">
        <v>4</v>
      </c>
      <c r="L71">
        <v>955</v>
      </c>
      <c r="M71">
        <v>0</v>
      </c>
      <c r="N71">
        <f t="shared" ca="1" si="1"/>
        <v>0</v>
      </c>
    </row>
    <row r="72" spans="1:14">
      <c r="A72">
        <v>705</v>
      </c>
      <c r="B72">
        <v>5</v>
      </c>
      <c r="L72">
        <v>965</v>
      </c>
      <c r="M72">
        <v>0</v>
      </c>
      <c r="N72">
        <f t="shared" ca="1" si="1"/>
        <v>0</v>
      </c>
    </row>
    <row r="73" spans="1:14">
      <c r="A73">
        <v>715</v>
      </c>
      <c r="B73">
        <v>1</v>
      </c>
      <c r="L73">
        <v>975</v>
      </c>
      <c r="M73">
        <v>0</v>
      </c>
      <c r="N73">
        <f t="shared" ca="1" si="1"/>
        <v>0</v>
      </c>
    </row>
    <row r="74" spans="1:14">
      <c r="A74">
        <v>725</v>
      </c>
      <c r="B74">
        <v>2</v>
      </c>
      <c r="L74">
        <v>985</v>
      </c>
      <c r="M74">
        <v>0</v>
      </c>
      <c r="N74">
        <f t="shared" ca="1" si="1"/>
        <v>0</v>
      </c>
    </row>
    <row r="75" spans="1:14">
      <c r="A75">
        <v>735</v>
      </c>
      <c r="B75">
        <v>3</v>
      </c>
      <c r="L75">
        <v>995</v>
      </c>
      <c r="M75">
        <v>0</v>
      </c>
      <c r="N75">
        <f t="shared" ca="1" si="1"/>
        <v>0</v>
      </c>
    </row>
    <row r="76" spans="1:14">
      <c r="A76">
        <v>745</v>
      </c>
      <c r="B76">
        <v>4</v>
      </c>
    </row>
    <row r="77" spans="1:14">
      <c r="A77">
        <v>755</v>
      </c>
      <c r="B77">
        <v>1</v>
      </c>
    </row>
    <row r="78" spans="1:14">
      <c r="A78">
        <v>765</v>
      </c>
      <c r="B78">
        <v>0</v>
      </c>
    </row>
    <row r="79" spans="1:14">
      <c r="A79">
        <v>775</v>
      </c>
      <c r="B79">
        <v>0</v>
      </c>
    </row>
    <row r="80" spans="1:14">
      <c r="A80">
        <v>785</v>
      </c>
      <c r="B80">
        <v>2</v>
      </c>
    </row>
    <row r="81" spans="1:2">
      <c r="A81">
        <v>795</v>
      </c>
      <c r="B81">
        <v>0</v>
      </c>
    </row>
    <row r="82" spans="1:2">
      <c r="A82">
        <v>805</v>
      </c>
      <c r="B82">
        <v>1</v>
      </c>
    </row>
    <row r="83" spans="1:2">
      <c r="A83">
        <v>815</v>
      </c>
      <c r="B83">
        <v>0</v>
      </c>
    </row>
    <row r="84" spans="1:2">
      <c r="A84">
        <v>825</v>
      </c>
      <c r="B84">
        <v>0</v>
      </c>
    </row>
    <row r="85" spans="1:2">
      <c r="A85">
        <v>835</v>
      </c>
      <c r="B85">
        <v>0</v>
      </c>
    </row>
    <row r="86" spans="1:2">
      <c r="A86">
        <v>845</v>
      </c>
      <c r="B86">
        <v>0</v>
      </c>
    </row>
    <row r="87" spans="1:2">
      <c r="A87">
        <v>855</v>
      </c>
      <c r="B87">
        <v>0</v>
      </c>
    </row>
    <row r="88" spans="1:2">
      <c r="A88">
        <v>865</v>
      </c>
      <c r="B88">
        <v>1</v>
      </c>
    </row>
    <row r="89" spans="1:2">
      <c r="A89">
        <v>875</v>
      </c>
      <c r="B89">
        <v>0</v>
      </c>
    </row>
    <row r="90" spans="1:2">
      <c r="A90">
        <v>885</v>
      </c>
      <c r="B90">
        <v>0</v>
      </c>
    </row>
    <row r="91" spans="1:2">
      <c r="A91">
        <v>895</v>
      </c>
      <c r="B91">
        <v>0</v>
      </c>
    </row>
    <row r="92" spans="1:2">
      <c r="A92">
        <v>905</v>
      </c>
      <c r="B92">
        <v>0</v>
      </c>
    </row>
    <row r="93" spans="1:2">
      <c r="A93">
        <v>915</v>
      </c>
      <c r="B93">
        <v>0</v>
      </c>
    </row>
    <row r="94" spans="1:2">
      <c r="A94">
        <v>925</v>
      </c>
      <c r="B94">
        <v>0</v>
      </c>
    </row>
    <row r="95" spans="1:2">
      <c r="A95">
        <v>935</v>
      </c>
      <c r="B95">
        <v>0</v>
      </c>
    </row>
    <row r="96" spans="1:2">
      <c r="A96">
        <v>945</v>
      </c>
      <c r="B96">
        <v>0</v>
      </c>
    </row>
    <row r="97" spans="1:2">
      <c r="A97">
        <v>955</v>
      </c>
      <c r="B97">
        <v>0</v>
      </c>
    </row>
    <row r="98" spans="1:2">
      <c r="A98">
        <v>965</v>
      </c>
      <c r="B98">
        <v>0</v>
      </c>
    </row>
    <row r="99" spans="1:2">
      <c r="A99">
        <v>975</v>
      </c>
      <c r="B99">
        <v>0</v>
      </c>
    </row>
    <row r="100" spans="1:2">
      <c r="A100">
        <v>985</v>
      </c>
      <c r="B100">
        <v>0</v>
      </c>
    </row>
    <row r="101" spans="1:2">
      <c r="A101">
        <v>995</v>
      </c>
      <c r="B101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opLeftCell="A20" workbookViewId="0">
      <selection activeCell="C43" sqref="C43"/>
    </sheetView>
  </sheetViews>
  <sheetFormatPr baseColWidth="10" defaultRowHeight="12" x14ac:dyDescent="0"/>
  <sheetData>
    <row r="1" spans="1:15">
      <c r="A1" t="s">
        <v>104</v>
      </c>
      <c r="E1" s="99"/>
      <c r="H1" s="99"/>
      <c r="J1" s="99"/>
    </row>
    <row r="2" spans="1:15">
      <c r="M2" s="100"/>
    </row>
    <row r="3" spans="1:15" ht="15">
      <c r="A3" s="101" t="s">
        <v>105</v>
      </c>
      <c r="B3" s="102"/>
      <c r="C3" s="102"/>
      <c r="D3" s="102"/>
      <c r="E3" s="103"/>
      <c r="F3" s="102"/>
      <c r="G3" s="102"/>
      <c r="H3" s="103"/>
      <c r="I3" s="102"/>
      <c r="J3" s="103"/>
      <c r="K3" s="102"/>
      <c r="L3" s="102"/>
      <c r="M3" s="104"/>
      <c r="N3" s="102"/>
      <c r="O3" s="102"/>
    </row>
    <row r="4" spans="1:15" ht="15">
      <c r="A4" s="105" t="s">
        <v>106</v>
      </c>
      <c r="E4" s="99"/>
      <c r="H4" s="99"/>
      <c r="J4" s="99"/>
      <c r="M4" s="100"/>
    </row>
    <row r="5" spans="1:15">
      <c r="A5" s="106" t="s">
        <v>107</v>
      </c>
      <c r="E5" s="99"/>
      <c r="H5" s="99"/>
      <c r="J5" s="99"/>
      <c r="M5" s="100"/>
    </row>
    <row r="6" spans="1:15">
      <c r="E6" s="99"/>
      <c r="H6" s="99"/>
      <c r="J6" s="99"/>
      <c r="M6" s="100"/>
    </row>
    <row r="7" spans="1:15" ht="15">
      <c r="A7" s="107" t="s">
        <v>108</v>
      </c>
      <c r="B7" s="108">
        <v>45</v>
      </c>
      <c r="C7" s="109" t="s">
        <v>109</v>
      </c>
      <c r="D7" s="107" t="s">
        <v>110</v>
      </c>
      <c r="E7" s="110">
        <f>10^(0.044+0.9841*LOG10(Lmax_1))</f>
        <v>46.873397651643849</v>
      </c>
      <c r="F7" s="109" t="s">
        <v>109</v>
      </c>
      <c r="G7" s="109" t="s">
        <v>111</v>
      </c>
      <c r="H7" s="110">
        <f>10^((0.044+0.9841*LOG10(Lmax_1))-0.074)</f>
        <v>39.52996545413761</v>
      </c>
      <c r="I7" s="109" t="s">
        <v>112</v>
      </c>
      <c r="J7" s="110">
        <f>10^((0.044+0.9841*LOG10(Lmax_1))+0.074)</f>
        <v>55.581010055731248</v>
      </c>
      <c r="K7" s="109" t="s">
        <v>109</v>
      </c>
      <c r="L7" s="109" t="s">
        <v>113</v>
      </c>
      <c r="M7" s="111">
        <f>Lmax_1/estLoo_1</f>
        <v>0.96003281721613909</v>
      </c>
      <c r="N7" s="112"/>
    </row>
    <row r="8" spans="1:15" ht="15">
      <c r="A8" s="107"/>
      <c r="B8" s="108"/>
      <c r="C8" s="109"/>
      <c r="D8" s="107"/>
      <c r="E8" s="110"/>
      <c r="F8" s="109"/>
      <c r="G8" s="109"/>
      <c r="H8" s="110"/>
      <c r="I8" s="109"/>
      <c r="J8" s="110"/>
      <c r="K8" s="109"/>
      <c r="L8" s="109"/>
      <c r="M8" s="111"/>
      <c r="N8" s="112"/>
    </row>
    <row r="9" spans="1:15" ht="15">
      <c r="A9" s="105" t="s">
        <v>114</v>
      </c>
      <c r="E9" s="99"/>
      <c r="G9" s="109"/>
      <c r="H9" s="110"/>
      <c r="I9" s="109"/>
      <c r="J9" s="110"/>
      <c r="K9" s="109"/>
      <c r="L9" s="109"/>
      <c r="M9" s="111"/>
      <c r="N9" s="112"/>
    </row>
    <row r="10" spans="1:15" ht="15">
      <c r="A10" s="106" t="s">
        <v>115</v>
      </c>
      <c r="E10" s="99"/>
      <c r="G10" s="109"/>
      <c r="H10" s="110"/>
      <c r="I10" s="109"/>
      <c r="J10" s="110"/>
      <c r="K10" s="109"/>
      <c r="L10" s="109"/>
      <c r="M10" s="111"/>
      <c r="N10" s="112"/>
    </row>
    <row r="11" spans="1:15" ht="15">
      <c r="E11" s="99"/>
      <c r="G11" s="109"/>
      <c r="H11" s="110"/>
      <c r="I11" s="109"/>
      <c r="J11" s="110"/>
      <c r="K11" s="109"/>
      <c r="L11" s="109"/>
      <c r="M11" s="111"/>
      <c r="N11" s="112"/>
    </row>
    <row r="12" spans="1:15" ht="15">
      <c r="A12" t="s">
        <v>110</v>
      </c>
      <c r="B12" s="113">
        <v>10</v>
      </c>
      <c r="C12" t="s">
        <v>109</v>
      </c>
      <c r="E12" s="99"/>
      <c r="G12" s="109"/>
      <c r="H12" s="110"/>
      <c r="I12" s="109"/>
      <c r="J12" s="110"/>
      <c r="K12" s="109"/>
      <c r="L12" s="109"/>
      <c r="M12" s="111"/>
      <c r="N12" s="112"/>
    </row>
    <row r="13" spans="1:15" ht="15">
      <c r="A13" t="s">
        <v>116</v>
      </c>
      <c r="B13" s="113">
        <v>7</v>
      </c>
      <c r="C13" t="s">
        <v>109</v>
      </c>
      <c r="E13" s="99"/>
      <c r="G13" s="109"/>
      <c r="H13" s="110"/>
      <c r="I13" s="109"/>
      <c r="J13" s="110"/>
      <c r="K13" s="109"/>
      <c r="L13" s="109"/>
      <c r="M13" s="111"/>
      <c r="N13" s="112"/>
    </row>
    <row r="14" spans="1:15" ht="15">
      <c r="A14" t="s">
        <v>117</v>
      </c>
      <c r="B14" s="113">
        <v>1</v>
      </c>
      <c r="C14" t="s">
        <v>118</v>
      </c>
      <c r="D14" t="s">
        <v>119</v>
      </c>
      <c r="E14" s="114">
        <f>-LN(1-Lm_2/Loo_2)/AgeM_2</f>
        <v>1.2039728043259359</v>
      </c>
      <c r="F14" t="s">
        <v>120</v>
      </c>
      <c r="G14" s="109"/>
      <c r="H14" s="110"/>
      <c r="I14" s="109"/>
      <c r="J14" s="110"/>
      <c r="K14" s="109"/>
      <c r="L14" s="109"/>
      <c r="M14" s="111"/>
      <c r="N14" s="112"/>
    </row>
    <row r="15" spans="1:15" ht="15">
      <c r="A15" s="107"/>
      <c r="B15" s="108"/>
      <c r="C15" s="109"/>
      <c r="D15" s="107"/>
      <c r="E15" s="110"/>
      <c r="F15" s="109"/>
      <c r="G15" s="109"/>
      <c r="H15" s="110"/>
      <c r="I15" s="109"/>
      <c r="J15" s="110"/>
      <c r="K15" s="109"/>
      <c r="L15" s="109"/>
      <c r="M15" s="111"/>
      <c r="N15" s="112"/>
    </row>
    <row r="16" spans="1:15" ht="15">
      <c r="A16" s="105" t="s">
        <v>121</v>
      </c>
      <c r="E16" s="99"/>
      <c r="H16" s="99"/>
      <c r="I16" s="109"/>
      <c r="J16" s="110"/>
      <c r="K16" s="109"/>
      <c r="L16" s="109"/>
      <c r="M16" s="111"/>
      <c r="N16" s="112"/>
    </row>
    <row r="17" spans="1:14" ht="15">
      <c r="A17" s="106" t="s">
        <v>122</v>
      </c>
      <c r="E17" s="99"/>
      <c r="H17" s="99"/>
      <c r="I17" s="109"/>
      <c r="J17" s="110"/>
      <c r="K17" s="109"/>
      <c r="L17" s="109"/>
      <c r="M17" s="111"/>
      <c r="N17" s="112"/>
    </row>
    <row r="18" spans="1:14" ht="15">
      <c r="E18" s="99"/>
      <c r="H18" s="99"/>
      <c r="I18" s="109"/>
      <c r="J18" s="110"/>
      <c r="K18" s="109"/>
      <c r="L18" s="109"/>
      <c r="M18" s="111"/>
      <c r="N18" s="112"/>
    </row>
    <row r="19" spans="1:14" ht="15">
      <c r="A19" t="s">
        <v>123</v>
      </c>
      <c r="B19" s="113">
        <v>191</v>
      </c>
      <c r="C19" t="s">
        <v>109</v>
      </c>
      <c r="E19" s="99"/>
      <c r="H19" s="99"/>
      <c r="I19" s="109"/>
      <c r="J19" s="110"/>
      <c r="K19" s="109"/>
      <c r="L19" s="109"/>
      <c r="M19" s="111"/>
      <c r="N19" s="112"/>
    </row>
    <row r="20" spans="1:14" ht="15">
      <c r="A20" t="s">
        <v>110</v>
      </c>
      <c r="B20" s="113">
        <v>201</v>
      </c>
      <c r="C20" t="s">
        <v>109</v>
      </c>
      <c r="E20" s="99"/>
      <c r="H20" s="99"/>
      <c r="I20" s="109"/>
      <c r="J20" s="110"/>
      <c r="K20" s="109"/>
      <c r="L20" s="109"/>
      <c r="M20" s="111"/>
      <c r="N20" s="112"/>
    </row>
    <row r="21" spans="1:14" ht="15">
      <c r="A21" t="s">
        <v>119</v>
      </c>
      <c r="B21" s="113">
        <v>0.13</v>
      </c>
      <c r="C21" t="s">
        <v>120</v>
      </c>
      <c r="E21" s="99"/>
      <c r="H21" s="99"/>
      <c r="I21" s="109"/>
      <c r="J21" s="110"/>
      <c r="K21" s="109"/>
      <c r="L21" s="109"/>
      <c r="M21" s="111"/>
      <c r="N21" s="112"/>
    </row>
    <row r="22" spans="1:14" ht="15">
      <c r="A22" t="s">
        <v>124</v>
      </c>
      <c r="B22" s="113">
        <v>-0.1</v>
      </c>
      <c r="C22" t="s">
        <v>118</v>
      </c>
      <c r="D22" t="s">
        <v>125</v>
      </c>
      <c r="E22" s="111">
        <f>-(LN(1-(L_3)/Loo_3)/K_3)+to_3</f>
        <v>22.982460115884844</v>
      </c>
      <c r="F22" t="s">
        <v>118</v>
      </c>
      <c r="H22" s="99"/>
      <c r="I22" s="109"/>
      <c r="J22" s="110"/>
      <c r="K22" s="109"/>
      <c r="L22" s="109"/>
      <c r="M22" s="111"/>
      <c r="N22" s="112"/>
    </row>
    <row r="23" spans="1:14" ht="15">
      <c r="E23" s="99"/>
      <c r="H23" s="99"/>
      <c r="I23" s="109"/>
      <c r="J23" s="110"/>
      <c r="K23" s="109"/>
      <c r="L23" s="109"/>
      <c r="M23" s="111"/>
      <c r="N23" s="112"/>
    </row>
    <row r="24" spans="1:14" ht="15">
      <c r="E24" s="99"/>
      <c r="H24" s="99"/>
      <c r="I24" s="109"/>
      <c r="J24" s="110"/>
      <c r="K24" s="109"/>
      <c r="L24" s="109"/>
      <c r="M24" s="111"/>
      <c r="N24" s="112"/>
    </row>
    <row r="25" spans="1:14" ht="15">
      <c r="A25" s="105" t="s">
        <v>126</v>
      </c>
      <c r="E25" s="99"/>
      <c r="H25" s="99"/>
      <c r="I25" s="109"/>
      <c r="J25" s="110"/>
      <c r="K25" s="109"/>
      <c r="L25" s="109"/>
      <c r="M25" s="111"/>
      <c r="N25" s="112"/>
    </row>
    <row r="26" spans="1:14" ht="15">
      <c r="A26" t="s">
        <v>127</v>
      </c>
      <c r="E26" s="99"/>
      <c r="H26" s="99"/>
      <c r="I26" s="109"/>
      <c r="J26" s="110"/>
      <c r="K26" s="109"/>
      <c r="L26" s="109"/>
      <c r="M26" s="111"/>
      <c r="N26" s="112"/>
    </row>
    <row r="27" spans="1:14" ht="15">
      <c r="E27" s="99"/>
      <c r="H27" s="99"/>
      <c r="I27" s="109"/>
      <c r="J27" s="110"/>
      <c r="K27" s="109"/>
      <c r="L27" s="109"/>
      <c r="M27" s="111"/>
      <c r="N27" s="112"/>
    </row>
    <row r="28" spans="1:14" ht="15">
      <c r="A28" t="s">
        <v>125</v>
      </c>
      <c r="B28" s="113">
        <v>0.33</v>
      </c>
      <c r="C28" t="s">
        <v>118</v>
      </c>
      <c r="E28" s="99"/>
      <c r="H28" s="99"/>
      <c r="I28" s="109"/>
      <c r="J28" s="110"/>
      <c r="K28" s="109"/>
      <c r="L28" s="109"/>
      <c r="M28" s="111"/>
      <c r="N28" s="112"/>
    </row>
    <row r="29" spans="1:14" ht="15">
      <c r="A29" t="s">
        <v>110</v>
      </c>
      <c r="B29" s="113">
        <v>10</v>
      </c>
      <c r="C29" t="s">
        <v>109</v>
      </c>
      <c r="E29" s="99"/>
      <c r="H29" s="99"/>
      <c r="I29" s="109"/>
      <c r="J29" s="110"/>
      <c r="K29" s="109"/>
      <c r="L29" s="109"/>
      <c r="M29" s="111"/>
      <c r="N29" s="112"/>
    </row>
    <row r="30" spans="1:14" ht="15">
      <c r="A30" t="s">
        <v>119</v>
      </c>
      <c r="B30" s="113">
        <v>1.2</v>
      </c>
      <c r="C30" t="s">
        <v>120</v>
      </c>
      <c r="E30" s="99"/>
      <c r="H30" s="99"/>
      <c r="I30" s="109"/>
      <c r="J30" s="110"/>
      <c r="K30" s="109"/>
      <c r="L30" s="109"/>
      <c r="M30" s="111"/>
      <c r="N30" s="112"/>
    </row>
    <row r="31" spans="1:14" ht="15">
      <c r="A31" t="s">
        <v>124</v>
      </c>
      <c r="B31" s="113">
        <v>-0.1</v>
      </c>
      <c r="C31" t="s">
        <v>118</v>
      </c>
      <c r="D31" t="s">
        <v>123</v>
      </c>
      <c r="E31" s="115">
        <f>Loo_4*(1-EXP(-k_4*(age_4-to_4)))</f>
        <v>4.0309660732564199</v>
      </c>
      <c r="F31" t="s">
        <v>109</v>
      </c>
      <c r="H31" s="99"/>
      <c r="I31" s="109"/>
      <c r="J31" s="110"/>
      <c r="K31" s="109"/>
      <c r="L31" s="109"/>
      <c r="M31" s="111"/>
      <c r="N31" s="112"/>
    </row>
    <row r="32" spans="1:14" ht="15">
      <c r="E32" s="99"/>
      <c r="H32" s="99"/>
      <c r="I32" s="109"/>
      <c r="J32" s="110"/>
      <c r="K32" s="109"/>
      <c r="L32" s="109"/>
      <c r="M32" s="111"/>
      <c r="N32" s="112"/>
    </row>
    <row r="33" spans="1:15" ht="15">
      <c r="E33" s="99"/>
      <c r="H33" s="99"/>
      <c r="I33" s="109"/>
      <c r="J33" s="110"/>
      <c r="K33" s="109"/>
      <c r="L33" s="109"/>
      <c r="M33" s="111"/>
      <c r="N33" s="112"/>
    </row>
    <row r="34" spans="1:15" ht="15">
      <c r="A34" s="102" t="s">
        <v>128</v>
      </c>
      <c r="B34" s="102"/>
      <c r="C34" s="102"/>
      <c r="D34" s="102"/>
      <c r="E34" s="102"/>
      <c r="F34" s="102"/>
      <c r="G34" s="102"/>
      <c r="H34" s="103"/>
      <c r="I34" s="116"/>
      <c r="J34" s="117"/>
      <c r="K34" s="116"/>
      <c r="L34" s="116"/>
      <c r="M34" s="118"/>
      <c r="N34" s="119"/>
      <c r="O34" s="102"/>
    </row>
    <row r="35" spans="1:15" ht="15">
      <c r="A35" s="105" t="s">
        <v>129</v>
      </c>
      <c r="E35" s="99"/>
      <c r="H35" s="99"/>
      <c r="I35" s="109"/>
      <c r="J35" s="110"/>
      <c r="K35" s="109"/>
      <c r="L35" s="109"/>
      <c r="M35" s="111"/>
      <c r="N35" s="112"/>
    </row>
    <row r="36" spans="1:15" ht="15">
      <c r="A36" s="106" t="s">
        <v>130</v>
      </c>
      <c r="E36" s="99"/>
      <c r="H36" s="99"/>
      <c r="I36" s="109"/>
      <c r="J36" s="110"/>
      <c r="K36" s="109"/>
      <c r="L36" s="109"/>
      <c r="M36" s="111"/>
      <c r="N36" s="112"/>
    </row>
    <row r="37" spans="1:15" ht="15">
      <c r="A37" s="106"/>
      <c r="E37" s="99"/>
      <c r="H37" s="99"/>
      <c r="I37" s="109"/>
      <c r="J37" s="110"/>
      <c r="K37" s="109"/>
      <c r="L37" s="109"/>
      <c r="M37" s="111"/>
      <c r="N37" s="112"/>
    </row>
    <row r="38" spans="1:15" ht="15">
      <c r="A38" s="109" t="s">
        <v>131</v>
      </c>
      <c r="B38" s="108">
        <v>21.3</v>
      </c>
      <c r="C38" s="109" t="s">
        <v>118</v>
      </c>
      <c r="D38" s="109" t="s">
        <v>119</v>
      </c>
      <c r="E38" s="111">
        <f>3/tmax_5</f>
        <v>0.14084507042253522</v>
      </c>
      <c r="F38" s="109" t="s">
        <v>120</v>
      </c>
      <c r="H38" s="99"/>
      <c r="I38" s="109"/>
      <c r="J38" s="110"/>
      <c r="K38" s="109"/>
      <c r="L38" s="109"/>
      <c r="M38" s="111"/>
      <c r="N38" s="112"/>
    </row>
    <row r="39" spans="1:15" ht="15">
      <c r="E39" s="99"/>
      <c r="H39" s="99"/>
      <c r="I39" s="109"/>
      <c r="J39" s="110"/>
      <c r="K39" s="109"/>
      <c r="L39" s="109"/>
      <c r="M39" s="111"/>
      <c r="N39" s="112"/>
    </row>
    <row r="40" spans="1:15" ht="15">
      <c r="A40" s="105" t="s">
        <v>132</v>
      </c>
      <c r="E40" s="99"/>
      <c r="H40" s="99"/>
      <c r="I40" s="109"/>
      <c r="J40" s="110"/>
      <c r="K40" s="109"/>
      <c r="L40" s="109"/>
      <c r="M40" s="111"/>
      <c r="N40" s="112"/>
    </row>
    <row r="41" spans="1:15" ht="15">
      <c r="A41" s="106" t="s">
        <v>133</v>
      </c>
      <c r="H41" s="99"/>
      <c r="I41" s="109"/>
      <c r="J41" s="110"/>
      <c r="K41" s="109"/>
      <c r="L41" s="109"/>
      <c r="M41" s="111"/>
      <c r="N41" s="112"/>
    </row>
    <row r="42" spans="1:15" ht="15">
      <c r="H42" s="99"/>
      <c r="I42" s="109"/>
      <c r="J42" s="110"/>
      <c r="K42" s="109"/>
      <c r="L42" s="109"/>
      <c r="M42" s="111"/>
      <c r="N42" s="112"/>
    </row>
    <row r="43" spans="1:15" ht="15">
      <c r="A43" s="109" t="s">
        <v>119</v>
      </c>
      <c r="B43">
        <v>0.19900000000000001</v>
      </c>
      <c r="C43" s="109" t="s">
        <v>120</v>
      </c>
      <c r="D43" t="s">
        <v>134</v>
      </c>
      <c r="E43" s="125">
        <f>1.6*k_5</f>
        <v>0.31840000000000002</v>
      </c>
      <c r="F43" s="109" t="s">
        <v>120</v>
      </c>
      <c r="H43" s="99"/>
      <c r="I43" s="109"/>
      <c r="J43" s="110"/>
      <c r="K43" s="109"/>
      <c r="L43" s="109"/>
      <c r="M43" s="111"/>
      <c r="N43" s="112"/>
    </row>
    <row r="44" spans="1:15" ht="15">
      <c r="H44" s="99"/>
      <c r="I44" s="109"/>
      <c r="J44" s="110"/>
      <c r="K44" s="109"/>
      <c r="L44" s="109"/>
      <c r="M44" s="111"/>
      <c r="N44" s="112"/>
    </row>
    <row r="45" spans="1:15">
      <c r="E45" s="99"/>
      <c r="H45" s="99"/>
      <c r="J45" s="99"/>
      <c r="M45" s="100"/>
    </row>
    <row r="46" spans="1:15" ht="15">
      <c r="A46" s="101" t="s">
        <v>135</v>
      </c>
      <c r="B46" s="102"/>
      <c r="C46" s="102"/>
      <c r="D46" s="102"/>
      <c r="E46" s="103"/>
      <c r="F46" s="102"/>
      <c r="G46" s="102"/>
      <c r="H46" s="103"/>
      <c r="I46" s="102"/>
      <c r="J46" s="103"/>
      <c r="K46" s="102"/>
      <c r="L46" s="102"/>
      <c r="M46" s="104"/>
      <c r="N46" s="102"/>
      <c r="O46" s="102"/>
    </row>
    <row r="47" spans="1:15" ht="15">
      <c r="A47" s="105" t="s">
        <v>136</v>
      </c>
      <c r="E47" s="99"/>
      <c r="H47" s="99"/>
      <c r="J47" s="99"/>
      <c r="M47" s="100"/>
    </row>
    <row r="48" spans="1:15">
      <c r="A48" s="106" t="s">
        <v>137</v>
      </c>
      <c r="E48" s="99"/>
      <c r="H48" s="99"/>
      <c r="J48" s="99"/>
      <c r="M48" s="100"/>
    </row>
    <row r="49" spans="1:15">
      <c r="A49" s="106"/>
      <c r="E49" s="99"/>
      <c r="H49" s="99"/>
      <c r="J49" s="99"/>
      <c r="M49" s="100"/>
    </row>
    <row r="50" spans="1:15" ht="15">
      <c r="A50" s="109" t="s">
        <v>110</v>
      </c>
      <c r="B50" s="108">
        <v>47</v>
      </c>
      <c r="C50" s="109" t="s">
        <v>109</v>
      </c>
      <c r="D50" s="109" t="s">
        <v>116</v>
      </c>
      <c r="E50" s="110">
        <f>10^(0.8979*LOG10(Loo_LmUS)-0.0782)</f>
        <v>26.495777410701262</v>
      </c>
      <c r="F50" s="109" t="s">
        <v>109</v>
      </c>
      <c r="G50" s="109" t="s">
        <v>111</v>
      </c>
      <c r="H50" s="110">
        <f>10^((0.8979*LOG10(Loo_LmUS)-0.0782)-0.127)</f>
        <v>19.777740151327439</v>
      </c>
      <c r="I50" s="109" t="s">
        <v>138</v>
      </c>
      <c r="J50" s="110">
        <f>10^((0.8979*LOG10(Loo_LmUS)-0.0782)+0.127)</f>
        <v>35.495775312343177</v>
      </c>
      <c r="K50" s="109" t="s">
        <v>109</v>
      </c>
      <c r="L50" s="109" t="s">
        <v>139</v>
      </c>
      <c r="M50" s="111">
        <f>Lm_US/Loo_LmUS</f>
        <v>0.56373994490853752</v>
      </c>
      <c r="N50" s="109"/>
    </row>
    <row r="51" spans="1:15">
      <c r="E51" s="99"/>
      <c r="H51" s="99"/>
      <c r="J51" s="99"/>
      <c r="M51" s="100"/>
    </row>
    <row r="52" spans="1:15">
      <c r="A52" s="106" t="s">
        <v>140</v>
      </c>
      <c r="E52" s="99"/>
      <c r="H52" s="99"/>
      <c r="J52" s="99"/>
      <c r="M52" s="100"/>
    </row>
    <row r="53" spans="1:15">
      <c r="A53" s="106"/>
      <c r="E53" s="99"/>
      <c r="H53" s="99"/>
      <c r="J53" s="99"/>
      <c r="M53" s="100"/>
    </row>
    <row r="54" spans="1:15" ht="15">
      <c r="A54" s="109" t="s">
        <v>110</v>
      </c>
      <c r="B54" s="108">
        <v>1210</v>
      </c>
      <c r="C54" s="109" t="s">
        <v>109</v>
      </c>
      <c r="D54" s="109" t="s">
        <v>116</v>
      </c>
      <c r="E54" s="110">
        <f>10^(0.9469*LOG10(Loo_Lmf)-0.1162)</f>
        <v>635.16925353421152</v>
      </c>
      <c r="F54" s="109" t="s">
        <v>109</v>
      </c>
      <c r="G54" s="109" t="s">
        <v>111</v>
      </c>
      <c r="H54" s="110">
        <f>10^((0.9469*LOG10(Lm_lmf)-0.1162)-0.122)</f>
        <v>260.52897836792755</v>
      </c>
      <c r="I54" s="109" t="s">
        <v>138</v>
      </c>
      <c r="J54" s="110">
        <f>10^((0.9469*LOG10(Lm_lmf)-0.1162)+0.122)</f>
        <v>456.93669532426196</v>
      </c>
      <c r="K54" s="109" t="s">
        <v>109</v>
      </c>
      <c r="L54" s="109" t="s">
        <v>139</v>
      </c>
      <c r="M54" s="111">
        <f>Lm_lmf/Loo_Lmf</f>
        <v>0.52493326738364587</v>
      </c>
      <c r="N54" s="109"/>
    </row>
    <row r="55" spans="1:15">
      <c r="E55" s="99"/>
      <c r="H55" s="99"/>
      <c r="J55" s="99"/>
      <c r="M55" s="100"/>
    </row>
    <row r="56" spans="1:15">
      <c r="A56" s="106" t="s">
        <v>141</v>
      </c>
      <c r="E56" s="99"/>
      <c r="H56" s="99"/>
      <c r="J56" s="99"/>
      <c r="M56" s="100"/>
    </row>
    <row r="57" spans="1:15">
      <c r="A57" s="106"/>
      <c r="E57" s="99"/>
      <c r="H57" s="99"/>
      <c r="J57" s="99"/>
      <c r="M57" s="100"/>
    </row>
    <row r="58" spans="1:15" ht="15">
      <c r="A58" s="109" t="s">
        <v>110</v>
      </c>
      <c r="B58" s="108">
        <v>1210</v>
      </c>
      <c r="C58" s="109" t="s">
        <v>109</v>
      </c>
      <c r="D58" s="109" t="s">
        <v>116</v>
      </c>
      <c r="E58" s="110">
        <f>10^(0.8915*LOG10(Loo_Lmm)-0.1032)</f>
        <v>441.67534570267213</v>
      </c>
      <c r="F58" s="109" t="s">
        <v>109</v>
      </c>
      <c r="G58" s="109" t="s">
        <v>111</v>
      </c>
      <c r="H58" s="110">
        <f>10^((0.8915*LOG10(Loo_Lmm)-0.1032)-0.147)</f>
        <v>314.84960851632815</v>
      </c>
      <c r="I58" s="109" t="s">
        <v>138</v>
      </c>
      <c r="J58" s="110">
        <f>10^((0.8915*LOG10(Loo_Lmm)-0.1032)+0.147)</f>
        <v>619.58822791884904</v>
      </c>
      <c r="K58" s="109" t="s">
        <v>109</v>
      </c>
      <c r="L58" s="109" t="s">
        <v>139</v>
      </c>
      <c r="M58" s="111">
        <f>Loo_Lmm/Lm_lmm</f>
        <v>2.7395688072083382</v>
      </c>
      <c r="N58" s="112"/>
    </row>
    <row r="59" spans="1:15" ht="15">
      <c r="A59" s="109"/>
      <c r="B59" s="108"/>
      <c r="C59" s="109"/>
      <c r="D59" s="109"/>
      <c r="E59" s="110"/>
      <c r="F59" s="109"/>
      <c r="G59" s="109"/>
      <c r="H59" s="110"/>
      <c r="I59" s="109"/>
      <c r="J59" s="110"/>
      <c r="K59" s="109"/>
      <c r="L59" s="109"/>
      <c r="M59" s="111"/>
      <c r="N59" s="112"/>
    </row>
    <row r="60" spans="1:15">
      <c r="E60" s="99"/>
      <c r="H60" s="99"/>
      <c r="J60" s="99"/>
      <c r="M60" s="100"/>
    </row>
    <row r="61" spans="1:15" ht="15">
      <c r="A61" s="101" t="s">
        <v>142</v>
      </c>
      <c r="B61" s="102"/>
      <c r="C61" s="102"/>
      <c r="D61" s="102"/>
      <c r="E61" s="103"/>
      <c r="F61" s="102"/>
      <c r="G61" s="102"/>
      <c r="H61" s="103"/>
      <c r="I61" s="102"/>
      <c r="J61" s="103"/>
      <c r="K61" s="102"/>
      <c r="L61" s="102"/>
      <c r="M61" s="104"/>
      <c r="N61" s="102"/>
      <c r="O61" s="102"/>
    </row>
    <row r="62" spans="1:15" ht="15">
      <c r="A62" s="105" t="s">
        <v>143</v>
      </c>
      <c r="E62" s="99"/>
      <c r="H62" s="99"/>
      <c r="J62" s="99"/>
      <c r="M62" s="100"/>
    </row>
    <row r="63" spans="1:15">
      <c r="A63" s="106" t="s">
        <v>144</v>
      </c>
      <c r="E63" s="99"/>
      <c r="H63" s="99"/>
      <c r="J63" s="99"/>
      <c r="M63" s="100"/>
    </row>
    <row r="64" spans="1:15">
      <c r="A64" s="106"/>
      <c r="E64" s="99"/>
      <c r="H64" s="99"/>
      <c r="J64" s="99"/>
      <c r="M64" s="100"/>
    </row>
    <row r="65" spans="1:13" ht="15">
      <c r="A65" s="109" t="s">
        <v>110</v>
      </c>
      <c r="B65" s="108">
        <v>30</v>
      </c>
      <c r="C65" s="109" t="s">
        <v>109</v>
      </c>
      <c r="D65" s="109" t="s">
        <v>145</v>
      </c>
      <c r="E65" s="110">
        <f>10^(1.0421*LOG10(Loo_8)-0.2742)</f>
        <v>18.4123007252131</v>
      </c>
      <c r="F65" s="109" t="s">
        <v>109</v>
      </c>
      <c r="G65" s="109" t="s">
        <v>111</v>
      </c>
      <c r="H65" s="110">
        <f>10^((1.0421*LOG10(Loo_8)-0.2742)-0.073)</f>
        <v>15.563528293752103</v>
      </c>
      <c r="I65" s="109" t="s">
        <v>138</v>
      </c>
      <c r="J65" s="110">
        <f>10^((1.0421*LOG10(Loo_8)-0.2742)+0.073)</f>
        <v>21.782516894435688</v>
      </c>
      <c r="K65" s="109" t="s">
        <v>109</v>
      </c>
      <c r="L65" s="109" t="s">
        <v>146</v>
      </c>
      <c r="M65" s="111">
        <f>Loo_8/Lopt_8</f>
        <v>1.6293455363195946</v>
      </c>
    </row>
    <row r="66" spans="1:13">
      <c r="E66" s="99"/>
      <c r="H66" s="99"/>
      <c r="J66" s="99"/>
      <c r="M66" s="100"/>
    </row>
    <row r="67" spans="1:13">
      <c r="E67" s="99"/>
      <c r="H67" s="99"/>
      <c r="J67" s="99"/>
      <c r="M67" s="100"/>
    </row>
    <row r="68" spans="1:13" ht="15">
      <c r="A68" s="105" t="s">
        <v>147</v>
      </c>
      <c r="E68" s="99"/>
      <c r="H68" s="99"/>
      <c r="J68" s="99"/>
      <c r="M68" s="100"/>
    </row>
    <row r="69" spans="1:13">
      <c r="A69" s="106" t="s">
        <v>148</v>
      </c>
      <c r="E69" s="99"/>
      <c r="H69" s="99"/>
      <c r="J69" s="99"/>
      <c r="M69" s="100"/>
    </row>
    <row r="70" spans="1:13">
      <c r="A70" s="106"/>
      <c r="E70" s="99"/>
      <c r="H70" s="99"/>
      <c r="J70" s="99"/>
      <c r="M70" s="100"/>
    </row>
    <row r="71" spans="1:13" ht="15">
      <c r="A71" s="109" t="s">
        <v>149</v>
      </c>
      <c r="B71" s="108">
        <v>30</v>
      </c>
      <c r="C71" s="109" t="s">
        <v>109</v>
      </c>
      <c r="D71" s="109" t="s">
        <v>145</v>
      </c>
      <c r="E71" s="110">
        <f>10^(1.053*LOG10(Lm_9)-0.0565)</f>
        <v>31.54341292622378</v>
      </c>
      <c r="F71" s="109" t="s">
        <v>109</v>
      </c>
      <c r="G71" s="109" t="s">
        <v>111</v>
      </c>
      <c r="H71" s="110">
        <f>10^((1.053*LOG10(Lm_9)-0.0565)-0.139)</f>
        <v>22.903860043568148</v>
      </c>
      <c r="I71" s="109" t="s">
        <v>138</v>
      </c>
      <c r="J71" s="110">
        <f>10^((1.053*LOG10(Lm_9)-0.0565)+0.139)</f>
        <v>43.441886963227105</v>
      </c>
      <c r="K71" s="109" t="s">
        <v>109</v>
      </c>
      <c r="L71" s="109" t="s">
        <v>150</v>
      </c>
      <c r="M71" s="111">
        <f>Lm_9/Lopt_9</f>
        <v>0.95107019871839371</v>
      </c>
    </row>
    <row r="72" spans="1:13" ht="15">
      <c r="A72" s="109"/>
      <c r="B72" s="108"/>
      <c r="C72" s="109"/>
      <c r="D72" s="109"/>
      <c r="E72" s="110"/>
      <c r="F72" s="109"/>
      <c r="G72" s="109"/>
      <c r="H72" s="110"/>
      <c r="I72" s="109"/>
      <c r="J72" s="110"/>
      <c r="K72" s="109"/>
      <c r="L72" s="109"/>
      <c r="M72" s="111"/>
    </row>
    <row r="73" spans="1:13" ht="15">
      <c r="A73" s="105" t="s">
        <v>151</v>
      </c>
      <c r="E73" s="99"/>
      <c r="G73" s="109"/>
      <c r="H73" s="110"/>
      <c r="I73" s="109"/>
      <c r="J73" s="110"/>
      <c r="K73" s="109"/>
      <c r="L73" s="109"/>
      <c r="M73" s="111"/>
    </row>
    <row r="74" spans="1:13" ht="15">
      <c r="A74" s="106" t="s">
        <v>152</v>
      </c>
      <c r="E74" s="99"/>
      <c r="G74" s="109"/>
      <c r="H74" s="110"/>
      <c r="I74" s="109"/>
      <c r="J74" s="110"/>
      <c r="K74" s="109"/>
      <c r="L74" s="109"/>
      <c r="M74" s="111"/>
    </row>
    <row r="75" spans="1:13" ht="15">
      <c r="E75" s="99"/>
      <c r="G75" s="109"/>
      <c r="H75" s="110"/>
      <c r="I75" s="109"/>
      <c r="J75" s="110"/>
      <c r="K75" s="109"/>
      <c r="L75" s="109"/>
      <c r="M75" s="111"/>
    </row>
    <row r="76" spans="1:13" ht="15">
      <c r="A76" t="s">
        <v>110</v>
      </c>
      <c r="B76" s="113">
        <v>205</v>
      </c>
      <c r="C76" t="s">
        <v>109</v>
      </c>
      <c r="E76" s="99"/>
      <c r="G76" s="109"/>
      <c r="H76" s="110"/>
      <c r="I76" s="109"/>
      <c r="J76" s="110"/>
      <c r="K76" s="109"/>
      <c r="L76" s="109"/>
      <c r="M76" s="111"/>
    </row>
    <row r="77" spans="1:13" ht="15">
      <c r="A77" t="s">
        <v>119</v>
      </c>
      <c r="B77" s="113">
        <v>0.19</v>
      </c>
      <c r="C77" t="s">
        <v>120</v>
      </c>
      <c r="E77" s="99"/>
      <c r="G77" s="109"/>
      <c r="H77" s="110"/>
      <c r="I77" s="109"/>
      <c r="J77" s="110"/>
      <c r="K77" s="109"/>
      <c r="L77" s="109"/>
      <c r="M77" s="111"/>
    </row>
    <row r="78" spans="1:13" ht="15">
      <c r="A78" t="s">
        <v>153</v>
      </c>
      <c r="B78" s="113">
        <v>0.34</v>
      </c>
      <c r="C78" t="s">
        <v>120</v>
      </c>
      <c r="D78" t="s">
        <v>145</v>
      </c>
      <c r="E78" s="115">
        <f>3*Loo_10/(3+M_10/k_10)</f>
        <v>128.4065934065934</v>
      </c>
      <c r="F78" t="s">
        <v>109</v>
      </c>
      <c r="G78" s="109"/>
      <c r="H78" s="110"/>
      <c r="I78" s="109"/>
      <c r="J78" s="110"/>
      <c r="K78" s="109"/>
      <c r="L78" s="109"/>
      <c r="M78" s="111"/>
    </row>
    <row r="79" spans="1:13" ht="15">
      <c r="A79" s="109"/>
      <c r="B79" s="108"/>
      <c r="C79" s="109"/>
      <c r="D79" s="109"/>
      <c r="E79" s="110"/>
      <c r="F79" s="109"/>
      <c r="G79" s="109"/>
      <c r="H79" s="110"/>
      <c r="I79" s="109"/>
      <c r="J79" s="110"/>
      <c r="K79" s="109"/>
      <c r="L79" s="109"/>
      <c r="M79" s="111"/>
    </row>
    <row r="80" spans="1:13">
      <c r="E80" s="99"/>
      <c r="H80" s="99"/>
      <c r="J80" s="99"/>
      <c r="M80" s="100"/>
    </row>
    <row r="81" spans="1:15">
      <c r="A81" s="102" t="s">
        <v>154</v>
      </c>
      <c r="B81" s="102"/>
      <c r="C81" s="102"/>
      <c r="D81" s="102"/>
      <c r="E81" s="103"/>
      <c r="F81" s="102"/>
      <c r="G81" s="102"/>
      <c r="H81" s="103"/>
      <c r="I81" s="102"/>
      <c r="J81" s="103"/>
      <c r="K81" s="102"/>
      <c r="L81" s="102"/>
      <c r="M81" s="104"/>
      <c r="N81" s="102"/>
      <c r="O81" s="102"/>
    </row>
    <row r="82" spans="1:15" ht="15">
      <c r="A82" s="105" t="s">
        <v>155</v>
      </c>
      <c r="E82" s="99"/>
      <c r="H82" s="99"/>
      <c r="J82" s="99"/>
      <c r="M82" s="100"/>
    </row>
    <row r="83" spans="1:15">
      <c r="A83" s="106" t="s">
        <v>156</v>
      </c>
      <c r="E83" s="99"/>
      <c r="H83" s="99"/>
      <c r="J83" s="99"/>
      <c r="M83" s="100"/>
    </row>
    <row r="84" spans="1:15">
      <c r="A84" s="106"/>
      <c r="E84" s="99"/>
      <c r="H84" s="99"/>
      <c r="J84" s="99"/>
      <c r="M84" s="100"/>
    </row>
    <row r="85" spans="1:15" ht="15">
      <c r="A85" s="109" t="s">
        <v>117</v>
      </c>
      <c r="B85" s="108">
        <v>6.5</v>
      </c>
      <c r="C85" s="109" t="s">
        <v>118</v>
      </c>
      <c r="D85" s="109" t="s">
        <v>131</v>
      </c>
      <c r="E85" s="110">
        <f>10^(0.5496+0.957*LOG10(TM_11))</f>
        <v>21.259746528960083</v>
      </c>
      <c r="F85" s="109" t="s">
        <v>118</v>
      </c>
      <c r="G85" s="109" t="s">
        <v>111</v>
      </c>
      <c r="H85" s="110">
        <f>10^((0.5496+0.957*LOG10(TM_11))-0.194)</f>
        <v>13.600600448107077</v>
      </c>
      <c r="I85" s="109" t="s">
        <v>138</v>
      </c>
      <c r="J85" s="110">
        <f>10^((0.5496+0.957*LOG10(TM_11))+0.194)</f>
        <v>33.232122669888149</v>
      </c>
      <c r="K85" s="109" t="s">
        <v>118</v>
      </c>
      <c r="L85" s="109" t="s">
        <v>157</v>
      </c>
      <c r="M85" s="111">
        <f>TM_11/tmax_11</f>
        <v>0.30574212120288841</v>
      </c>
      <c r="N85" s="109"/>
    </row>
    <row r="86" spans="1:15">
      <c r="E86" s="99"/>
      <c r="H86" s="99"/>
      <c r="J86" s="99"/>
      <c r="M86" s="100"/>
    </row>
    <row r="87" spans="1:15">
      <c r="E87" s="99"/>
      <c r="H87" s="99"/>
      <c r="J87" s="99"/>
      <c r="M87" s="100"/>
    </row>
    <row r="88" spans="1:15" ht="15">
      <c r="A88" s="105" t="s">
        <v>158</v>
      </c>
      <c r="E88" s="99"/>
      <c r="H88" s="99"/>
      <c r="J88" s="99"/>
      <c r="M88" s="100"/>
    </row>
    <row r="89" spans="1:15">
      <c r="A89" s="106" t="s">
        <v>159</v>
      </c>
      <c r="E89" s="99"/>
      <c r="H89" s="99"/>
      <c r="J89" s="99"/>
      <c r="M89" s="100"/>
    </row>
    <row r="90" spans="1:15">
      <c r="A90" s="106"/>
      <c r="E90" s="99"/>
      <c r="H90" s="99"/>
      <c r="J90" s="99"/>
      <c r="M90" s="100"/>
    </row>
    <row r="91" spans="1:15" ht="15">
      <c r="A91" s="109" t="s">
        <v>119</v>
      </c>
      <c r="B91" s="108">
        <v>0.13</v>
      </c>
      <c r="C91" s="109" t="s">
        <v>120</v>
      </c>
      <c r="D91" s="109" t="s">
        <v>131</v>
      </c>
      <c r="E91" s="110">
        <f>-(LN(1-0.95)/K_12)</f>
        <v>23.044094411953768</v>
      </c>
      <c r="F91" s="109" t="s">
        <v>118</v>
      </c>
      <c r="G91" s="109"/>
      <c r="H91" s="120"/>
      <c r="I91" s="109"/>
      <c r="J91" s="120"/>
      <c r="K91" s="109"/>
      <c r="L91" s="109"/>
      <c r="M91" s="121"/>
      <c r="N91" s="109"/>
    </row>
    <row r="92" spans="1:15">
      <c r="E92" s="99"/>
      <c r="H92" s="99"/>
      <c r="J92" s="99"/>
      <c r="M92" s="100"/>
    </row>
    <row r="93" spans="1:15">
      <c r="H93" s="99"/>
      <c r="J93" s="99"/>
      <c r="M93" s="100"/>
    </row>
    <row r="94" spans="1:15">
      <c r="A94" s="102" t="s">
        <v>163</v>
      </c>
      <c r="B94" s="102"/>
      <c r="C94" s="102"/>
      <c r="D94" s="102"/>
      <c r="E94" s="102"/>
      <c r="F94" s="102"/>
      <c r="G94" s="102"/>
      <c r="H94" s="103"/>
      <c r="I94" s="102"/>
      <c r="J94" s="103"/>
      <c r="K94" s="102"/>
      <c r="L94" s="102"/>
      <c r="M94" s="104"/>
      <c r="N94" s="102"/>
      <c r="O94" s="102"/>
    </row>
    <row r="95" spans="1:15" s="122" customFormat="1">
      <c r="A95" s="11" t="s">
        <v>164</v>
      </c>
      <c r="H95" s="123"/>
      <c r="J95" s="123"/>
      <c r="M95" s="124"/>
    </row>
    <row r="96" spans="1:15">
      <c r="A96" t="s">
        <v>160</v>
      </c>
    </row>
    <row r="98" spans="1:6">
      <c r="A98" t="s">
        <v>161</v>
      </c>
      <c r="B98" s="126">
        <v>0.5</v>
      </c>
      <c r="D98" t="s">
        <v>162</v>
      </c>
      <c r="E98" s="100">
        <f>1-EXP(-F_13)</f>
        <v>0.39346934028736658</v>
      </c>
      <c r="F98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SPR_YPR</vt:lpstr>
      <vt:lpstr>Catch_Curve</vt:lpstr>
      <vt:lpstr>Mean_Weight</vt:lpstr>
      <vt:lpstr>Lbar_MeanLength</vt:lpstr>
      <vt:lpstr>Cheat_Sheet</vt:lpstr>
    </vt:vector>
  </TitlesOfParts>
  <Company>Bren School 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Dan Ovando</cp:lastModifiedBy>
  <dcterms:created xsi:type="dcterms:W3CDTF">2008-05-08T17:13:22Z</dcterms:created>
  <dcterms:modified xsi:type="dcterms:W3CDTF">2014-01-17T14:35:34Z</dcterms:modified>
</cp:coreProperties>
</file>