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pivotTables/pivotTable4.xml" ContentType="application/vnd.openxmlformats-officedocument.spreadsheetml.pivot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C:\Users\A.Roennburg\Documents\GH_GitManaged\"/>
    </mc:Choice>
  </mc:AlternateContent>
  <bookViews>
    <workbookView xWindow="0" yWindow="0" windowWidth="7740" windowHeight="6300" firstSheet="2" activeTab="6"/>
  </bookViews>
  <sheets>
    <sheet name="Calc Skto BETR" sheetId="7" r:id="rId1"/>
    <sheet name="VielerRG" sheetId="6" r:id="rId2"/>
    <sheet name="Simplecalc" sheetId="5" r:id="rId3"/>
    <sheet name="Normal" sheetId="1" r:id="rId4"/>
    <sheet name="GKto für Bank" sheetId="4" r:id="rId5"/>
    <sheet name="Skto Tages" sheetId="8" r:id="rId6"/>
    <sheet name="GKto L RG" sheetId="2" r:id="rId7"/>
    <sheet name="GKto für Wagen" sheetId="3" r:id="rId8"/>
  </sheets>
  <definedNames>
    <definedName name="Betrag">'Calc Skto BETR'!$B$1</definedName>
    <definedName name="_xlnm.Print_Area" localSheetId="6">Tabelle8[#All]</definedName>
  </definedNames>
  <calcPr calcId="152511"/>
  <pivotCaches>
    <pivotCache cacheId="22" r:id="rId9"/>
    <pivotCache cacheId="23" r:id="rId10"/>
    <pivotCache cacheId="2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8" l="1"/>
  <c r="M26" i="8" s="1"/>
  <c r="H26" i="8"/>
  <c r="J26" i="8"/>
  <c r="K26" i="8" s="1"/>
  <c r="L26" i="8" s="1"/>
  <c r="E25" i="8" l="1"/>
  <c r="M25" i="8" s="1"/>
  <c r="H25" i="8"/>
  <c r="J25" i="8"/>
  <c r="K25" i="8" s="1"/>
  <c r="L25" i="8" s="1"/>
  <c r="E24" i="8"/>
  <c r="M24" i="8" s="1"/>
  <c r="H24" i="8"/>
  <c r="J24" i="8"/>
  <c r="K24" i="8" s="1"/>
  <c r="L24" i="8" s="1"/>
  <c r="E23" i="8" l="1"/>
  <c r="M23" i="8" s="1"/>
  <c r="H23" i="8"/>
  <c r="J23" i="8"/>
  <c r="K23" i="8" s="1"/>
  <c r="L23" i="8" s="1"/>
  <c r="E22" i="8"/>
  <c r="M22" i="8" s="1"/>
  <c r="H22" i="8"/>
  <c r="J22" i="8"/>
  <c r="K22" i="8" s="1"/>
  <c r="L22" i="8" s="1"/>
  <c r="E21" i="8" l="1"/>
  <c r="M21" i="8" s="1"/>
  <c r="H21" i="8"/>
  <c r="J21" i="8"/>
  <c r="K21" i="8" s="1"/>
  <c r="L21" i="8" s="1"/>
  <c r="E20" i="8"/>
  <c r="M20" i="8" s="1"/>
  <c r="H20" i="8"/>
  <c r="J20" i="8"/>
  <c r="K20" i="8" s="1"/>
  <c r="L20" i="8" s="1"/>
  <c r="E19" i="8" l="1"/>
  <c r="M19" i="8" s="1"/>
  <c r="H19" i="8"/>
  <c r="J19" i="8"/>
  <c r="K19" i="8" s="1"/>
  <c r="L19" i="8" s="1"/>
  <c r="E18" i="8"/>
  <c r="M18" i="8" s="1"/>
  <c r="H18" i="8"/>
  <c r="J18" i="8"/>
  <c r="K18" i="8" s="1"/>
  <c r="L18" i="8" s="1"/>
  <c r="E17" i="8"/>
  <c r="M17" i="8" s="1"/>
  <c r="H17" i="8"/>
  <c r="J17" i="8"/>
  <c r="K17" i="8" s="1"/>
  <c r="L17" i="8" s="1"/>
  <c r="E16" i="8" l="1"/>
  <c r="M16" i="8" s="1"/>
  <c r="H16" i="8"/>
  <c r="J16" i="8"/>
  <c r="K16" i="8" s="1"/>
  <c r="L16" i="8" s="1"/>
  <c r="E15" i="8"/>
  <c r="M15" i="8" s="1"/>
  <c r="H15" i="8"/>
  <c r="J15" i="8"/>
  <c r="K15" i="8" s="1"/>
  <c r="L15" i="8" s="1"/>
  <c r="E14" i="8"/>
  <c r="M14" i="8" s="1"/>
  <c r="H14" i="8"/>
  <c r="J14" i="8"/>
  <c r="K14" i="8" s="1"/>
  <c r="L14" i="8" s="1"/>
  <c r="E13" i="8"/>
  <c r="M13" i="8" s="1"/>
  <c r="H13" i="8"/>
  <c r="J13" i="8"/>
  <c r="K13" i="8" s="1"/>
  <c r="L13" i="8" s="1"/>
  <c r="G15" i="6" l="1"/>
  <c r="G13" i="6"/>
  <c r="G12" i="6"/>
  <c r="E13" i="6"/>
  <c r="E12" i="6"/>
  <c r="C15" i="6"/>
  <c r="E12" i="8"/>
  <c r="M12" i="8" s="1"/>
  <c r="H12" i="8"/>
  <c r="J12" i="8"/>
  <c r="K12" i="8" s="1"/>
  <c r="L12" i="8" s="1"/>
  <c r="E11" i="8" l="1"/>
  <c r="M11" i="8" s="1"/>
  <c r="H11" i="8"/>
  <c r="J11" i="8"/>
  <c r="K11" i="8" s="1"/>
  <c r="L11" i="8" s="1"/>
  <c r="E10" i="8" l="1"/>
  <c r="M10" i="8" s="1"/>
  <c r="H10" i="8"/>
  <c r="J10" i="8"/>
  <c r="K10" i="8" s="1"/>
  <c r="L10" i="8" s="1"/>
  <c r="E9" i="8"/>
  <c r="M9" i="8" s="1"/>
  <c r="H9" i="8"/>
  <c r="J9" i="8"/>
  <c r="K9" i="8" s="1"/>
  <c r="L9" i="8" s="1"/>
  <c r="E8" i="8"/>
  <c r="M8" i="8" s="1"/>
  <c r="H8" i="8"/>
  <c r="J8" i="8"/>
  <c r="K8" i="8" s="1"/>
  <c r="L8" i="8" s="1"/>
  <c r="G3" i="6" l="1"/>
  <c r="E2" i="6"/>
  <c r="D2" i="6"/>
  <c r="D4" i="6"/>
  <c r="E4" i="6"/>
  <c r="D3" i="6"/>
  <c r="E3" i="6"/>
  <c r="E7" i="8" l="1"/>
  <c r="M7" i="8" s="1"/>
  <c r="H7" i="8"/>
  <c r="J7" i="8"/>
  <c r="K7" i="8" s="1"/>
  <c r="L7" i="8" s="1"/>
  <c r="E6" i="8"/>
  <c r="M6" i="8" s="1"/>
  <c r="H6" i="8"/>
  <c r="J6" i="8"/>
  <c r="K6" i="8" s="1"/>
  <c r="L6" i="8" s="1"/>
  <c r="E5" i="8" l="1"/>
  <c r="M5" i="8" s="1"/>
  <c r="H5" i="8"/>
  <c r="J5" i="8"/>
  <c r="K5" i="8" s="1"/>
  <c r="L5" i="8" s="1"/>
  <c r="N31" i="4"/>
  <c r="O31" i="4" s="1"/>
  <c r="N32" i="4"/>
  <c r="O32" i="4" s="1"/>
  <c r="L50" i="4"/>
  <c r="N23" i="4" l="1"/>
  <c r="O23" i="4"/>
  <c r="N24" i="4"/>
  <c r="O24" i="4"/>
  <c r="N25" i="4"/>
  <c r="O25" i="4"/>
  <c r="N26" i="4"/>
  <c r="O26" i="4"/>
  <c r="N22" i="4"/>
  <c r="O22" i="4"/>
  <c r="E4" i="8" l="1"/>
  <c r="M4" i="8" s="1"/>
  <c r="H4" i="8"/>
  <c r="J4" i="8"/>
  <c r="K4" i="8" s="1"/>
  <c r="L4" i="8" s="1"/>
  <c r="E2" i="8"/>
  <c r="M2" i="8" s="1"/>
  <c r="E3" i="8"/>
  <c r="M3" i="8" s="1"/>
  <c r="J2" i="8"/>
  <c r="K2" i="8" s="1"/>
  <c r="L2" i="8" s="1"/>
  <c r="J3" i="8"/>
  <c r="K3" i="8" s="1"/>
  <c r="L3" i="8" s="1"/>
  <c r="H2" i="8"/>
  <c r="H3" i="8"/>
  <c r="J15" i="2" l="1"/>
  <c r="K3" i="6" l="1"/>
  <c r="L3" i="6" s="1"/>
  <c r="K2" i="6"/>
  <c r="L2" i="6" s="1"/>
  <c r="N2" i="6" l="1"/>
  <c r="N3" i="6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4" i="6" l="1"/>
  <c r="N36" i="4"/>
  <c r="O36" i="4" s="1"/>
  <c r="N35" i="4"/>
  <c r="O35" i="4" s="1"/>
  <c r="N34" i="4"/>
  <c r="O34" i="4" s="1"/>
  <c r="N33" i="4"/>
  <c r="O33" i="4" s="1"/>
  <c r="M51" i="4" l="1"/>
  <c r="B4" i="7" l="1"/>
  <c r="C4" i="7" s="1"/>
  <c r="B5" i="7"/>
  <c r="C5" i="7" s="1"/>
  <c r="B6" i="7"/>
  <c r="C6" i="7" s="1"/>
  <c r="M27" i="4" l="1"/>
  <c r="O27" i="4" l="1"/>
  <c r="N50" i="4"/>
  <c r="O50" i="4"/>
  <c r="P55" i="4" s="1"/>
  <c r="K5" i="4" l="1"/>
  <c r="C43" i="5" l="1"/>
  <c r="D43" i="5" s="1"/>
  <c r="C44" i="5"/>
  <c r="D44" i="5" s="1"/>
  <c r="C45" i="5"/>
  <c r="D45" i="5" s="1"/>
  <c r="M44" i="5"/>
  <c r="J44" i="5"/>
  <c r="G44" i="5"/>
  <c r="K44" i="5" l="1"/>
  <c r="I44" i="5"/>
  <c r="H44" i="5"/>
  <c r="L44" i="5"/>
  <c r="N2" i="4"/>
  <c r="O2" i="4" s="1"/>
  <c r="N3" i="4"/>
  <c r="O3" i="4" s="1"/>
  <c r="N4" i="4"/>
  <c r="O4" i="4" s="1"/>
  <c r="M5" i="4"/>
  <c r="L5" i="4"/>
  <c r="N5" i="4" l="1"/>
  <c r="E5" i="6" l="1"/>
  <c r="L18" i="5"/>
  <c r="I18" i="5"/>
  <c r="C17" i="5"/>
  <c r="D17" i="5"/>
  <c r="M18" i="5"/>
  <c r="D16" i="5"/>
  <c r="C16" i="5"/>
  <c r="H18" i="5" s="1"/>
  <c r="M11" i="5"/>
  <c r="L11" i="5"/>
  <c r="N11" i="5"/>
  <c r="J11" i="5"/>
  <c r="A6" i="5"/>
  <c r="C5" i="5"/>
  <c r="D5" i="5"/>
  <c r="F5" i="5" s="1"/>
  <c r="C4" i="5"/>
  <c r="D4" i="5"/>
  <c r="F4" i="5" s="1"/>
  <c r="C3" i="5"/>
  <c r="D3" i="5"/>
  <c r="C2" i="5"/>
  <c r="D2" i="5"/>
  <c r="F2" i="5" s="1"/>
  <c r="D19" i="5" l="1"/>
  <c r="J18" i="5"/>
  <c r="K18" i="5"/>
  <c r="G18" i="5"/>
  <c r="K11" i="5"/>
  <c r="D6" i="5"/>
  <c r="C6" i="5"/>
  <c r="E5" i="5"/>
  <c r="E3" i="5"/>
  <c r="E4" i="5"/>
  <c r="F3" i="5"/>
  <c r="E2" i="5"/>
  <c r="J5" i="4" l="1"/>
  <c r="H22" i="1" l="1"/>
  <c r="L18" i="4" l="1"/>
  <c r="M18" i="4" s="1"/>
  <c r="G5" i="4" l="1"/>
  <c r="G6" i="4"/>
  <c r="G7" i="4"/>
  <c r="J14" i="2" l="1"/>
  <c r="H7" i="4" l="1"/>
  <c r="H6" i="4" l="1"/>
  <c r="H5" i="4"/>
</calcChain>
</file>

<file path=xl/sharedStrings.xml><?xml version="1.0" encoding="utf-8"?>
<sst xmlns="http://schemas.openxmlformats.org/spreadsheetml/2006/main" count="541" uniqueCount="386">
  <si>
    <t>FullName</t>
  </si>
  <si>
    <t>HOBA Name</t>
  </si>
  <si>
    <t>Semoulerie DE Bellevue</t>
  </si>
  <si>
    <t>Panzani</t>
  </si>
  <si>
    <t>Tartufi Alfonso Fortunati</t>
  </si>
  <si>
    <t>Fortunati</t>
  </si>
  <si>
    <t>Firma Heinz Stender</t>
  </si>
  <si>
    <t>Stender Gewürze</t>
  </si>
  <si>
    <t>Henry Lamotte Food</t>
  </si>
  <si>
    <t>Lamotte</t>
  </si>
  <si>
    <t>Edeka</t>
  </si>
  <si>
    <t>Mios</t>
  </si>
  <si>
    <t>Heiß</t>
  </si>
  <si>
    <t>Unter</t>
  </si>
  <si>
    <t>D&amp;D Italia SpA</t>
  </si>
  <si>
    <t>D'Amico</t>
  </si>
  <si>
    <t>Damico</t>
  </si>
  <si>
    <t>FOOD-SERVIC E Deiters &amp; Florin</t>
  </si>
  <si>
    <t>Deiters</t>
  </si>
  <si>
    <t>Bernhard Schell</t>
  </si>
  <si>
    <t>Schell</t>
  </si>
  <si>
    <t>CONSERVAS EL ARENAL S.L.</t>
  </si>
  <si>
    <t>EL ARENAL</t>
  </si>
  <si>
    <t>Massafra</t>
  </si>
  <si>
    <t>Art.Nr</t>
  </si>
  <si>
    <t>Wine</t>
  </si>
  <si>
    <t>Bez</t>
  </si>
  <si>
    <t>Aegean foods gmbH Frischfisch</t>
  </si>
  <si>
    <t>Aegean Foods GmbH</t>
  </si>
  <si>
    <t>Words</t>
  </si>
  <si>
    <t>Means(Text)</t>
  </si>
  <si>
    <t>EINFUHRUMSATZTEUER</t>
  </si>
  <si>
    <t>EUST</t>
  </si>
  <si>
    <t>Salsa Tartufata vaso</t>
  </si>
  <si>
    <t>Trüffelsauce</t>
  </si>
  <si>
    <t>Burro e Tartufo Estivo in vaso</t>
  </si>
  <si>
    <t>Trüffelbutter</t>
  </si>
  <si>
    <t>TrüffelSscheiben</t>
  </si>
  <si>
    <t>Tartufo Estivo a fettine</t>
  </si>
  <si>
    <t>Condim.Arom. Al T.B.bott.Ml</t>
  </si>
  <si>
    <t>Trüffelöl(Condiment Truffle Aroma)</t>
  </si>
  <si>
    <t>NK</t>
  </si>
  <si>
    <t>G.Konto</t>
  </si>
  <si>
    <t>VoST</t>
  </si>
  <si>
    <t>WE Ausland</t>
  </si>
  <si>
    <t xml:space="preserve">/71 Gandules W35841 </t>
  </si>
  <si>
    <t>/72 Indel Food W35845</t>
  </si>
  <si>
    <t>Spalte1</t>
  </si>
  <si>
    <t>Spalte2</t>
  </si>
  <si>
    <t>Chep Paletten</t>
  </si>
  <si>
    <t>Bank Nebenkosten für Überweisung, Nicht buchung</t>
  </si>
  <si>
    <t>Westarp Entsorgung</t>
  </si>
  <si>
    <t>Auto?</t>
  </si>
  <si>
    <t>Info</t>
  </si>
  <si>
    <t>Inland</t>
  </si>
  <si>
    <t>EG-Erwerb</t>
  </si>
  <si>
    <t>Inalnd</t>
  </si>
  <si>
    <t>Ausland</t>
  </si>
  <si>
    <t>Lief. EG</t>
  </si>
  <si>
    <t>Fracht+MIAG aus Drittland</t>
  </si>
  <si>
    <t>Fracht aus EG</t>
  </si>
  <si>
    <t>Fracht Frische Nudeln</t>
  </si>
  <si>
    <t>div. Ausgangfracht</t>
  </si>
  <si>
    <t>/75 ADU FOOD W35854</t>
  </si>
  <si>
    <t>Candel, Manuel Mateo S.L.</t>
  </si>
  <si>
    <t>Manuel Mateo Candel. S.L</t>
  </si>
  <si>
    <t>Tressini</t>
  </si>
  <si>
    <t>Tress</t>
  </si>
  <si>
    <t>Fr. Trüffel</t>
  </si>
  <si>
    <t>Ausgangfracht MARKANT</t>
  </si>
  <si>
    <t>Ausgangfracht DHL Freight</t>
  </si>
  <si>
    <t>Ausgangfracht Kaufland Logistik</t>
  </si>
  <si>
    <t>Ausgangfracht LM GLS</t>
  </si>
  <si>
    <t>Luigi Lazzaris &amp; Figlio</t>
  </si>
  <si>
    <t>Lazzaris</t>
  </si>
  <si>
    <t>Familienkelterei Possmann</t>
  </si>
  <si>
    <t>Possmann</t>
  </si>
  <si>
    <t>Herman Kuijper</t>
  </si>
  <si>
    <t>Kuijper</t>
  </si>
  <si>
    <t>DACHSER</t>
  </si>
  <si>
    <t>EINGANG</t>
  </si>
  <si>
    <t>AUSGANG(Fracht)</t>
  </si>
  <si>
    <t>KtoNr</t>
  </si>
  <si>
    <t>GLS</t>
  </si>
  <si>
    <t>DHL</t>
  </si>
  <si>
    <t>H821</t>
  </si>
  <si>
    <t>Modell</t>
  </si>
  <si>
    <t>G.Kto</t>
  </si>
  <si>
    <t>Euler Hermes</t>
  </si>
  <si>
    <t>Hermes</t>
  </si>
  <si>
    <t>Werner Hedtrich</t>
  </si>
  <si>
    <t>Hedtrich Steuerberater</t>
  </si>
  <si>
    <t>Autohaus Luft</t>
  </si>
  <si>
    <t>Luft Autohaus</t>
  </si>
  <si>
    <t>Ausgang</t>
  </si>
  <si>
    <t>engelbert strauss</t>
  </si>
  <si>
    <t>Strauss, Engelbert</t>
  </si>
  <si>
    <t>GSM Wegner</t>
  </si>
  <si>
    <t>Wegner</t>
  </si>
  <si>
    <t>C.Schröter</t>
  </si>
  <si>
    <t>Schröter Papierwarenfabr. gmbH</t>
  </si>
  <si>
    <t>P.PLAGAKI</t>
  </si>
  <si>
    <t>Plagaki Politimi</t>
  </si>
  <si>
    <t>Jos Poell</t>
  </si>
  <si>
    <t>Poell,Jos</t>
  </si>
  <si>
    <t>Model NR</t>
  </si>
  <si>
    <t>Gkto</t>
  </si>
  <si>
    <t>HG GH123</t>
  </si>
  <si>
    <t>HG H 180</t>
  </si>
  <si>
    <t>HG H 390</t>
  </si>
  <si>
    <t>WAGEN 1</t>
  </si>
  <si>
    <t>WAGEN 6</t>
  </si>
  <si>
    <t>WAGEN 7</t>
  </si>
  <si>
    <t>WAGEN 4</t>
  </si>
  <si>
    <t>WAGEN 3</t>
  </si>
  <si>
    <t>WAGEN 2</t>
  </si>
  <si>
    <t>Text Eingang</t>
  </si>
  <si>
    <t>[Absender]</t>
  </si>
  <si>
    <t>Text Ausgang</t>
  </si>
  <si>
    <t>Pakete KW #</t>
  </si>
  <si>
    <t>Fracht KW #</t>
  </si>
  <si>
    <t>[Absender] #.#.##</t>
  </si>
  <si>
    <t>Coface</t>
  </si>
  <si>
    <t>Name</t>
  </si>
  <si>
    <t>SCHECK E.V</t>
  </si>
  <si>
    <t>Markant</t>
  </si>
  <si>
    <t>Spalte3</t>
  </si>
  <si>
    <t>Verwendungszweck</t>
  </si>
  <si>
    <t>Ust</t>
  </si>
  <si>
    <t>Lager VK</t>
  </si>
  <si>
    <t>/108 ADU FOOD W35990</t>
  </si>
  <si>
    <t>Markant Verrgkto</t>
  </si>
  <si>
    <t>Edeka Verrgskto</t>
  </si>
  <si>
    <t>REWE Verrgskto</t>
  </si>
  <si>
    <t>FINANZ AMT BAD HOMBURG</t>
  </si>
  <si>
    <t>GH GmbH Ust-VA Q#/JJ</t>
  </si>
  <si>
    <t>003/234/94247</t>
  </si>
  <si>
    <t>ST Nr</t>
  </si>
  <si>
    <t>TEXT2</t>
  </si>
  <si>
    <t>GRUNDST</t>
  </si>
  <si>
    <t>003 326 30045</t>
  </si>
  <si>
    <t>GrdStGem Ust-VA MM/JJ</t>
  </si>
  <si>
    <t>UMS.ST, SOLL&lt;+&gt;</t>
  </si>
  <si>
    <t>UMS.ST, HABEN&lt;-&gt;</t>
  </si>
  <si>
    <t>179#</t>
  </si>
  <si>
    <t>GH GmbH Ust-VA (JJJJ|MM/JJ)</t>
  </si>
  <si>
    <t>LOHNST</t>
  </si>
  <si>
    <t>MM/JJ</t>
  </si>
  <si>
    <t>Tannus Zeitung</t>
  </si>
  <si>
    <t>Kreditor</t>
  </si>
  <si>
    <t>Unser KD NR</t>
  </si>
  <si>
    <t>4940T7%</t>
  </si>
  <si>
    <t>1741T</t>
  </si>
  <si>
    <t>1740T0%</t>
  </si>
  <si>
    <t>Ambrosi, Brigitte</t>
  </si>
  <si>
    <t>Gategummi Sammel Kto</t>
  </si>
  <si>
    <t>NAGEL</t>
  </si>
  <si>
    <t>Pasta [Empänger] T.M.JJ</t>
  </si>
  <si>
    <t>Retouren [Empänger] T.M.JJ</t>
  </si>
  <si>
    <r>
      <t xml:space="preserve"> </t>
    </r>
    <r>
      <rPr>
        <b/>
        <sz val="11"/>
        <color theme="1"/>
        <rFont val="Microsoft Sans Serif"/>
        <family val="2"/>
      </rPr>
      <t>Ͱ</t>
    </r>
    <r>
      <rPr>
        <b/>
        <sz val="11"/>
        <color theme="1"/>
        <rFont val="Calibri"/>
        <family val="2"/>
        <scheme val="minor"/>
      </rPr>
      <t>NAGEL  - Pasta</t>
    </r>
  </si>
  <si>
    <t>DATUM</t>
  </si>
  <si>
    <t>KW</t>
  </si>
  <si>
    <t>WKZ</t>
  </si>
  <si>
    <t>Werbenkostenzuschuss</t>
  </si>
  <si>
    <t>Spalte32</t>
  </si>
  <si>
    <t>RG</t>
  </si>
  <si>
    <t>Betr</t>
  </si>
  <si>
    <t>Skto%</t>
  </si>
  <si>
    <t>Skto</t>
  </si>
  <si>
    <t>Gesamt</t>
  </si>
  <si>
    <t>PNS HK</t>
  </si>
  <si>
    <t>Klein Erlösschmälerung Drittland</t>
  </si>
  <si>
    <t>Groß Erlöss</t>
  </si>
  <si>
    <t>[RG Nr]*</t>
  </si>
  <si>
    <t>Text</t>
  </si>
  <si>
    <t>[Bez] [RG.Nr] [Kreditor]</t>
  </si>
  <si>
    <t>Kto Bez</t>
  </si>
  <si>
    <t>Lastschrift</t>
  </si>
  <si>
    <t>Versicherungen</t>
  </si>
  <si>
    <t>Allianz</t>
  </si>
  <si>
    <t>4360T0%</t>
  </si>
  <si>
    <t>AS-0187201308</t>
  </si>
  <si>
    <t>TEXT</t>
  </si>
  <si>
    <t>Allianz Gebäudevers Caputh 2016</t>
  </si>
  <si>
    <t>Tartufo Estivo fresco al naturale</t>
  </si>
  <si>
    <t>Tartufo Estivo intero fresco</t>
  </si>
  <si>
    <t>Sale al Tartufo vaso</t>
  </si>
  <si>
    <t>Trüffel Salz</t>
  </si>
  <si>
    <t>Betrag</t>
  </si>
  <si>
    <t>Bezahlt</t>
  </si>
  <si>
    <t>Abzüge</t>
  </si>
  <si>
    <t>Prozent</t>
  </si>
  <si>
    <t>Marktplatz Zwickau</t>
  </si>
  <si>
    <t>Kultour Z. GmbH</t>
  </si>
  <si>
    <t>BEK</t>
  </si>
  <si>
    <t>PersonalNummer</t>
  </si>
  <si>
    <t>00118</t>
  </si>
  <si>
    <t>Glöckner, T</t>
  </si>
  <si>
    <t>00238</t>
  </si>
  <si>
    <t>Chaabaene</t>
  </si>
  <si>
    <t>Darlehen CoBa # 626 257 020</t>
  </si>
  <si>
    <t>Darlehen CoBa # 626 257 021</t>
  </si>
  <si>
    <t>Frankiermachine</t>
  </si>
  <si>
    <t>Porto</t>
  </si>
  <si>
    <t>Miag Verrchnungskonto</t>
  </si>
  <si>
    <t>1592T</t>
  </si>
  <si>
    <t>Gategourmet</t>
  </si>
  <si>
    <t>Zentrag</t>
  </si>
  <si>
    <t>Sammel Kto</t>
  </si>
  <si>
    <t>Helmut Westarp</t>
  </si>
  <si>
    <t>dfv Mediengruppe</t>
  </si>
  <si>
    <t>Deutscher Fachverlag</t>
  </si>
  <si>
    <t>Kfz-St</t>
  </si>
  <si>
    <t>980T</t>
  </si>
  <si>
    <t>MARKANT</t>
  </si>
  <si>
    <t xml:space="preserve"> Belastung vom Sandra</t>
  </si>
  <si>
    <t>formaggio pecorino al tartufo bianchetto</t>
  </si>
  <si>
    <t>Pecorino-Käse auf dem weißen Trüffel</t>
  </si>
  <si>
    <t>formaggio vaccino al Tartufo bianco</t>
  </si>
  <si>
    <t>Kuh Käse mit weißem Trüffel</t>
  </si>
  <si>
    <t>EG Weine 19%</t>
  </si>
  <si>
    <t>/130 Dragani W36094</t>
  </si>
  <si>
    <t>Mibusa food</t>
  </si>
  <si>
    <t>mika am market</t>
  </si>
  <si>
    <t>Couscous</t>
  </si>
  <si>
    <t>Polenta</t>
  </si>
  <si>
    <t>PD Code</t>
  </si>
  <si>
    <t>BankGeb</t>
  </si>
  <si>
    <t>TS Geb Q#/JJ</t>
  </si>
  <si>
    <t>TS aus Coface Geb Q#/JJ</t>
  </si>
  <si>
    <t>Konto Nr</t>
  </si>
  <si>
    <t>4970T0%</t>
  </si>
  <si>
    <t>adobe</t>
  </si>
  <si>
    <t>00114</t>
  </si>
  <si>
    <t>Pinker</t>
  </si>
  <si>
    <t>LORHO FROMAGER AFFINEUR</t>
  </si>
  <si>
    <t>Frische Paradies</t>
  </si>
  <si>
    <t>CONSERVAS VEGETALES</t>
  </si>
  <si>
    <t>Miele e Tartufo</t>
  </si>
  <si>
    <t>Trüffel Honig</t>
  </si>
  <si>
    <t>Konto Entgelt</t>
  </si>
  <si>
    <t>Konto Zinsen</t>
  </si>
  <si>
    <t>MMV Leasing</t>
  </si>
  <si>
    <t>Leasplan Deutschland GmbH</t>
  </si>
  <si>
    <t>Leas H180
Leas H390</t>
  </si>
  <si>
    <t>Brutto</t>
  </si>
  <si>
    <t>Ust%</t>
  </si>
  <si>
    <t>Netto</t>
  </si>
  <si>
    <t>Brutto2</t>
  </si>
  <si>
    <t>Brutto3</t>
  </si>
  <si>
    <t>Ust2</t>
  </si>
  <si>
    <t>Ust_Pct</t>
  </si>
  <si>
    <t>SuchenBegriff</t>
  </si>
  <si>
    <t>Value</t>
  </si>
  <si>
    <t>dSum</t>
  </si>
  <si>
    <t>Field</t>
  </si>
  <si>
    <t>Kaution</t>
  </si>
  <si>
    <t>Gesamtergebnis</t>
  </si>
  <si>
    <t>Zeilenbeschriftungen</t>
  </si>
  <si>
    <t>Summe von Brutto</t>
  </si>
  <si>
    <t>Summe von Netto</t>
  </si>
  <si>
    <t>Summe von Ust</t>
  </si>
  <si>
    <t>Tartufo estivo in paté</t>
  </si>
  <si>
    <t>Sommertrüffel Pastete/Pate</t>
  </si>
  <si>
    <t>Summe von Betrag</t>
  </si>
  <si>
    <t>Crema di Porcini Tartufati</t>
  </si>
  <si>
    <t>Trüffelcreme</t>
  </si>
  <si>
    <t>Crema e pezzettoni di Porcini vaso</t>
  </si>
  <si>
    <t>Steinpilzcreme m.Stücken</t>
  </si>
  <si>
    <t>Sugo di Pomodoro e Tartufo</t>
  </si>
  <si>
    <t>Sugo di pomodoro</t>
  </si>
  <si>
    <t>RGNr</t>
  </si>
  <si>
    <t>R24239</t>
  </si>
  <si>
    <t>R24240</t>
  </si>
  <si>
    <t>R24241</t>
  </si>
  <si>
    <t>R24305</t>
  </si>
  <si>
    <t>(Leer)</t>
  </si>
  <si>
    <t>2515T</t>
  </si>
  <si>
    <t>Bundesagentur für Arbeit</t>
  </si>
  <si>
    <t>tartufo uncinato fresco.</t>
  </si>
  <si>
    <t>tartufo bianco pregiato intero fresco.</t>
  </si>
  <si>
    <t>Trüffel Uncinato</t>
  </si>
  <si>
    <t>Weiß Trüffel</t>
  </si>
  <si>
    <t>Etablissements Clément Faugier Marrons Glacés de I'Ardéche</t>
  </si>
  <si>
    <t>Faugier Clément - Privas</t>
  </si>
  <si>
    <t>Salsicce di cinghiale al Tartufo Estivo</t>
  </si>
  <si>
    <t>Trüffelwurst</t>
  </si>
  <si>
    <t>Provision - Zinsen für bank "Kosten Geldverkehr"</t>
  </si>
  <si>
    <t>Abzug</t>
  </si>
  <si>
    <t>Abzug PCT</t>
  </si>
  <si>
    <t>[Absender1]/[Absender2]/…</t>
  </si>
  <si>
    <t>VGRE VGRE FRB.</t>
  </si>
  <si>
    <t>Himbeeressig</t>
  </si>
  <si>
    <t>Epice a foie gras</t>
  </si>
  <si>
    <t>Gänselebergewürz</t>
  </si>
  <si>
    <t>Zollabgeben</t>
  </si>
  <si>
    <t>Abzuge</t>
  </si>
  <si>
    <t>Ergebnis</t>
  </si>
  <si>
    <t>Skto Abzug</t>
  </si>
  <si>
    <t>Original</t>
  </si>
  <si>
    <t>salame di Cinghiale al Tartufo</t>
  </si>
  <si>
    <t>Wildschwein Wurst mit Trüffel</t>
  </si>
  <si>
    <t>Salsicce di maiale al Tartufo</t>
  </si>
  <si>
    <t>Schweinswürste mit Trüffeln</t>
  </si>
  <si>
    <t>Skonti 7%</t>
  </si>
  <si>
    <t>3% Dekl</t>
  </si>
  <si>
    <t>19% MwST</t>
  </si>
  <si>
    <t>KDNR</t>
  </si>
  <si>
    <t>OEUF CUIT F TO FLY VERR</t>
  </si>
  <si>
    <t>Wachteleier</t>
  </si>
  <si>
    <t>RI CS MOYEN</t>
  </si>
  <si>
    <t>HE CS MOY</t>
  </si>
  <si>
    <r>
      <t>Polenta</t>
    </r>
    <r>
      <rPr>
        <sz val="9"/>
        <color theme="1"/>
        <rFont val="Calibri"/>
        <family val="2"/>
        <scheme val="minor"/>
      </rPr>
      <t>( Couscous )</t>
    </r>
  </si>
  <si>
    <t>KW #</t>
  </si>
  <si>
    <t>iloxx</t>
  </si>
  <si>
    <t>Pakete TT.MM.JJJJ</t>
  </si>
  <si>
    <t>alte Günther HELLRIEGEL</t>
  </si>
  <si>
    <t>Tartufo Estivo in tritume.</t>
  </si>
  <si>
    <t>Trüffel Dz.</t>
  </si>
  <si>
    <t>Lentille Jaune</t>
  </si>
  <si>
    <t>Linsen</t>
  </si>
  <si>
    <t>Morilles spéciales en sachtet</t>
  </si>
  <si>
    <t>Pilz</t>
  </si>
  <si>
    <t>Tagliatartufi in Acciaio Inox</t>
  </si>
  <si>
    <t>Trüffelhobel</t>
  </si>
  <si>
    <t>Bennantes</t>
  </si>
  <si>
    <t>DC OLOMOUC CZ 77900 OLOMUC</t>
  </si>
  <si>
    <t>Kaufland</t>
  </si>
  <si>
    <t>Ist</t>
  </si>
  <si>
    <t>Helix Lucorum</t>
  </si>
  <si>
    <t>Schnecken</t>
  </si>
  <si>
    <t>FIL.ALICI OSG</t>
  </si>
  <si>
    <t>Sardellen</t>
  </si>
  <si>
    <t>FIL.SAR.OSG SUD PESCA</t>
  </si>
  <si>
    <t>VONG.NAT.</t>
  </si>
  <si>
    <t>Vongole</t>
  </si>
  <si>
    <t>Trüffelflocken</t>
  </si>
  <si>
    <t>Scaglie di tartufo estivo essiccato</t>
  </si>
  <si>
    <t>Bedeutung</t>
  </si>
  <si>
    <t>Ail des ours tomates</t>
  </si>
  <si>
    <t>Pesto rosso</t>
  </si>
  <si>
    <t>Morilles</t>
  </si>
  <si>
    <t>Cépes</t>
  </si>
  <si>
    <t>Orientale</t>
  </si>
  <si>
    <t>Piment d'espelette</t>
  </si>
  <si>
    <t>SALADETTE TRUFFELS</t>
  </si>
  <si>
    <t>FRAMBOISE</t>
  </si>
  <si>
    <t>Fruits des bois</t>
  </si>
  <si>
    <t>balsamique</t>
  </si>
  <si>
    <t>piment espelette</t>
  </si>
  <si>
    <t>au citron</t>
  </si>
  <si>
    <t>O'livades verte</t>
  </si>
  <si>
    <t>pesto ail des ours</t>
  </si>
  <si>
    <t>Tomaten Bär Knoblauch</t>
  </si>
  <si>
    <t>Morcheln</t>
  </si>
  <si>
    <t>Röhrling</t>
  </si>
  <si>
    <t>östlich</t>
  </si>
  <si>
    <t>Espelette Pfeffer</t>
  </si>
  <si>
    <t>Trüffel-Saladette</t>
  </si>
  <si>
    <t>RASPBERRY</t>
  </si>
  <si>
    <t>Wildfrüchte</t>
  </si>
  <si>
    <t>Balsamico</t>
  </si>
  <si>
    <t>mit Zitrone</t>
  </si>
  <si>
    <t>O'Livades grün</t>
  </si>
  <si>
    <t>Pesto Knoblauchbären</t>
  </si>
  <si>
    <t>Typ</t>
  </si>
  <si>
    <t>Pilzen</t>
  </si>
  <si>
    <t>Pfeffer</t>
  </si>
  <si>
    <t>Salat</t>
  </si>
  <si>
    <t>Oliven</t>
  </si>
  <si>
    <t>Von</t>
  </si>
  <si>
    <t>SKtoTage</t>
  </si>
  <si>
    <t>Bezahlt workdays diff</t>
  </si>
  <si>
    <t>KDNr</t>
  </si>
  <si>
    <t>Später(Tage)</t>
  </si>
  <si>
    <t>SktoBetr</t>
  </si>
  <si>
    <t>Skto Erwarte</t>
  </si>
  <si>
    <t>P_Skto</t>
  </si>
  <si>
    <t>B_Skto</t>
  </si>
  <si>
    <t>Betrag2</t>
  </si>
  <si>
    <t>Nur Später</t>
  </si>
  <si>
    <t>Summe von Nur Später</t>
  </si>
  <si>
    <t>(Mehrere Elemente)</t>
  </si>
  <si>
    <t>ZahlBetr</t>
  </si>
  <si>
    <t>Caciotta al tartufo Estivo</t>
  </si>
  <si>
    <t>Caciotta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</si>
</sst>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0.00_ ;[Red]\-0.00\ "/>
    <numFmt numFmtId="166" formatCode="0.0000%"/>
    <numFmt numFmtId="167" formatCode="#,##0.00_ ;[Red]\-#,##0.00\ "/>
    <numFmt numFmtId="168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Fill="1"/>
    <xf numFmtId="9" fontId="0" fillId="0" borderId="0" xfId="0" applyNumberFormat="1" applyFill="1"/>
    <xf numFmtId="44" fontId="0" fillId="0" borderId="0" xfId="2" applyFont="1" applyFill="1"/>
    <xf numFmtId="2" fontId="0" fillId="0" borderId="0" xfId="0" applyNumberFormat="1" applyFill="1"/>
    <xf numFmtId="44" fontId="5" fillId="0" borderId="0" xfId="2" applyFont="1" applyFill="1"/>
    <xf numFmtId="10" fontId="0" fillId="0" borderId="0" xfId="1" applyNumberFormat="1" applyFont="1" applyFill="1"/>
    <xf numFmtId="49" fontId="0" fillId="0" borderId="0" xfId="0" applyNumberFormat="1" applyFill="1"/>
    <xf numFmtId="0" fontId="0" fillId="0" borderId="0" xfId="0" quotePrefix="1" applyFill="1"/>
    <xf numFmtId="0" fontId="0" fillId="0" borderId="0" xfId="0" applyFill="1" applyAlignment="1">
      <alignment wrapText="1"/>
    </xf>
    <xf numFmtId="9" fontId="0" fillId="0" borderId="0" xfId="0" applyNumberFormat="1"/>
    <xf numFmtId="9" fontId="0" fillId="0" borderId="0" xfId="0" quotePrefix="1" applyNumberFormat="1"/>
    <xf numFmtId="164" fontId="0" fillId="0" borderId="0" xfId="0" applyNumberFormat="1"/>
    <xf numFmtId="8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2" borderId="4" xfId="0" applyFill="1" applyBorder="1"/>
    <xf numFmtId="9" fontId="0" fillId="0" borderId="5" xfId="0" applyNumberFormat="1" applyBorder="1"/>
    <xf numFmtId="9" fontId="0" fillId="3" borderId="5" xfId="0" applyNumberFormat="1" applyFill="1" applyBorder="1"/>
    <xf numFmtId="9" fontId="0" fillId="0" borderId="6" xfId="0" applyNumberFormat="1" applyBorder="1"/>
    <xf numFmtId="0" fontId="0" fillId="2" borderId="7" xfId="0" applyFill="1" applyBorder="1"/>
    <xf numFmtId="8" fontId="0" fillId="0" borderId="8" xfId="0" applyNumberFormat="1" applyBorder="1"/>
    <xf numFmtId="8" fontId="0" fillId="3" borderId="8" xfId="0" applyNumberFormat="1" applyFill="1" applyBorder="1"/>
    <xf numFmtId="8" fontId="0" fillId="0" borderId="9" xfId="0" applyNumberFormat="1" applyBorder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0" fontId="0" fillId="0" borderId="0" xfId="0" applyNumberFormat="1" applyFill="1"/>
    <xf numFmtId="44" fontId="0" fillId="0" borderId="0" xfId="0" applyNumberFormat="1" applyFont="1" applyFill="1"/>
    <xf numFmtId="0" fontId="0" fillId="0" borderId="0" xfId="0" applyNumberFormat="1" applyFill="1"/>
    <xf numFmtId="165" fontId="0" fillId="0" borderId="0" xfId="0" applyNumberFormat="1" applyFill="1"/>
    <xf numFmtId="166" fontId="0" fillId="0" borderId="0" xfId="1" applyNumberFormat="1" applyFont="1" applyFill="1"/>
    <xf numFmtId="167" fontId="0" fillId="0" borderId="0" xfId="0" applyNumberFormat="1" applyFill="1"/>
    <xf numFmtId="0" fontId="1" fillId="0" borderId="0" xfId="3"/>
    <xf numFmtId="2" fontId="1" fillId="0" borderId="0" xfId="3" applyNumberFormat="1"/>
    <xf numFmtId="9" fontId="1" fillId="0" borderId="0" xfId="3" applyNumberFormat="1"/>
    <xf numFmtId="0" fontId="6" fillId="0" borderId="0" xfId="0" applyFont="1" applyFill="1"/>
    <xf numFmtId="9" fontId="6" fillId="0" borderId="0" xfId="0" applyNumberFormat="1" applyFont="1" applyFill="1"/>
    <xf numFmtId="167" fontId="6" fillId="0" borderId="0" xfId="0" applyNumberFormat="1" applyFont="1" applyFill="1"/>
    <xf numFmtId="168" fontId="0" fillId="0" borderId="0" xfId="0" applyNumberFormat="1" applyFill="1"/>
    <xf numFmtId="167" fontId="0" fillId="0" borderId="0" xfId="0" applyNumberFormat="1"/>
    <xf numFmtId="0" fontId="0" fillId="0" borderId="0" xfId="0" applyAlignment="1">
      <alignment shrinkToFit="1"/>
    </xf>
    <xf numFmtId="14" fontId="0" fillId="0" borderId="0" xfId="0" applyNumberFormat="1" applyFill="1"/>
    <xf numFmtId="0" fontId="0" fillId="0" borderId="0" xfId="0" applyNumberFormat="1" applyFont="1" applyFill="1"/>
    <xf numFmtId="0" fontId="0" fillId="0" borderId="0" xfId="0" applyFont="1" applyFill="1"/>
    <xf numFmtId="167" fontId="0" fillId="0" borderId="0" xfId="0" applyNumberFormat="1" applyFont="1" applyFill="1"/>
    <xf numFmtId="9" fontId="0" fillId="0" borderId="0" xfId="0" applyNumberFormat="1" applyFont="1" applyFill="1"/>
    <xf numFmtId="44" fontId="0" fillId="0" borderId="0" xfId="2" applyNumberFormat="1" applyFont="1" applyFill="1"/>
    <xf numFmtId="4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8" fillId="0" borderId="0" xfId="0" applyFont="1"/>
  </cellXfs>
  <cellStyles count="4">
    <cellStyle name="Prozent" xfId="1" builtinId="5"/>
    <cellStyle name="Standard" xfId="0" builtinId="0"/>
    <cellStyle name="Standard 2" xfId="3"/>
    <cellStyle name="Währung 2" xfId="2"/>
  </cellStyles>
  <dxfs count="169">
    <dxf>
      <alignment horizontal="general" vertical="bottom" textRotation="0" wrapText="0" indent="0" justifyLastLine="0" shrinkToFit="1" readingOrder="0"/>
    </dxf>
    <dxf>
      <font>
        <b/>
      </font>
    </dxf>
    <dxf>
      <font>
        <b/>
      </font>
    </dxf>
    <dxf>
      <numFmt numFmtId="0" formatCode="General"/>
    </dxf>
    <dxf>
      <numFmt numFmtId="19" formatCode="dd/mm/yyyy"/>
    </dxf>
    <dxf>
      <font>
        <b/>
      </font>
    </dxf>
    <dxf>
      <font>
        <b/>
      </font>
    </dxf>
    <dxf>
      <numFmt numFmtId="167" formatCode="#,##0.00_ ;[Red]\-#,##0.00\ 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67" formatCode="#,##0.00_ ;[Red]\-#,##0.00\ "/>
    </dxf>
    <dxf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0.0000%"/>
      <fill>
        <patternFill patternType="none">
          <fgColor indexed="64"/>
          <bgColor indexed="65"/>
        </patternFill>
      </fill>
    </dxf>
    <dxf>
      <numFmt numFmtId="165" formatCode="0.00_ ;[Red]\-0.00\ "/>
      <fill>
        <patternFill patternType="none">
          <fgColor indexed="64"/>
          <bgColor indexed="65"/>
        </patternFill>
      </fill>
    </dxf>
    <dxf>
      <numFmt numFmtId="165" formatCode="0.00_ ;[Red]\-0.00\ "/>
      <fill>
        <patternFill patternType="none">
          <fgColor indexed="64"/>
          <bgColor indexed="65"/>
        </patternFill>
      </fill>
    </dxf>
    <dxf>
      <numFmt numFmtId="165" formatCode="0.00_ ;[Red]\-0.00\ "/>
      <fill>
        <patternFill patternType="none">
          <fgColor indexed="64"/>
          <bgColor indexed="65"/>
        </patternFill>
      </fill>
    </dxf>
    <dxf>
      <numFmt numFmtId="165" formatCode="0.00_ ;[Red]\-0.00\ "/>
      <fill>
        <patternFill patternType="none">
          <fgColor indexed="64"/>
          <bgColor indexed="65"/>
        </patternFill>
      </fill>
    </dxf>
    <dxf>
      <numFmt numFmtId="165" formatCode="0.00_ ;[Red]\-0.00\ "/>
      <fill>
        <patternFill patternType="none">
          <fgColor indexed="64"/>
          <bgColor indexed="65"/>
        </patternFill>
      </fill>
    </dxf>
    <dxf>
      <numFmt numFmtId="165" formatCode="0.00_ ;[Red]\-0.00\ "/>
      <fill>
        <patternFill patternType="none">
          <fgColor indexed="64"/>
          <bgColor indexed="65"/>
        </patternFill>
      </fill>
    </dxf>
    <dxf>
      <numFmt numFmtId="165" formatCode="0.00_ ;[Red]\-0.00\ "/>
    </dxf>
    <dxf>
      <numFmt numFmtId="165" formatCode="0.00_ ;[Red]\-0.00\ "/>
      <fill>
        <patternFill patternType="none">
          <fgColor indexed="64"/>
          <bgColor indexed="65"/>
        </patternFill>
      </fill>
    </dxf>
    <dxf>
      <numFmt numFmtId="165" formatCode="0.00_ ;[Red]\-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00_ ;[Red]\-#,##0.00\ 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00_ ;[Red]\-#,##0.00\ 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00_ ;[Red]\-#,##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64" formatCode="#,##0.00\ &quot;€&quot;"/>
    </dxf>
    <dxf>
      <numFmt numFmtId="14" formatCode="0.00%"/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numFmt numFmtId="167" formatCode="#,##0.00_ ;[Red]\-#,##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13" formatCode="0%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8"/>
      <tableStyleElement type="headerRow" dxfId="1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hn Park" refreshedDate="43306.461930902777" createdVersion="5" refreshedVersion="5" minRefreshableVersion="3" recordCount="12">
  <cacheSource type="worksheet">
    <worksheetSource name="Tabelle40"/>
  </cacheSource>
  <cacheFields count="12">
    <cacheField name="RGNr" numFmtId="0">
      <sharedItems containsSemiMixedTypes="0" containsString="0" containsNumber="1" containsInteger="1" minValue="305552" maxValue="306027" count="12">
        <n v="305552"/>
        <n v="305685"/>
        <n v="305637"/>
        <n v="305806"/>
        <n v="305826"/>
        <n v="305880"/>
        <n v="305871"/>
        <n v="305872"/>
        <n v="305824"/>
        <n v="305905"/>
        <n v="305913"/>
        <n v="306027"/>
      </sharedItems>
    </cacheField>
    <cacheField name="KDNr" numFmtId="0">
      <sharedItems containsSemiMixedTypes="0" containsString="0" containsNumber="1" containsInteger="1" minValue="1002521" maxValue="1053130" count="9">
        <n v="1042671"/>
        <n v="1004380"/>
        <n v="1005910"/>
        <n v="1050751"/>
        <n v="1042340"/>
        <n v="1002521"/>
        <n v="1053130"/>
        <n v="1004050"/>
        <n v="1053090"/>
      </sharedItems>
    </cacheField>
    <cacheField name="Betr" numFmtId="0">
      <sharedItems containsSemiMixedTypes="0" containsString="0" containsNumber="1" minValue="95.14" maxValue="1523.24"/>
    </cacheField>
    <cacheField name="Skto%" numFmtId="9">
      <sharedItems containsSemiMixedTypes="0" containsString="0" containsNumber="1" minValue="0.01" maxValue="0.03"/>
    </cacheField>
    <cacheField name="SktoBetr" numFmtId="167">
      <sharedItems containsSemiMixedTypes="0" containsString="0" containsNumber="1" minValue="2.8542000000000001" maxValue="30.4648"/>
    </cacheField>
    <cacheField name="Von" numFmtId="14">
      <sharedItems containsSemiMixedTypes="0" containsNonDate="0" containsDate="1" containsString="0" minDate="2018-06-07T00:00:00" maxDate="2018-07-14T00:00:00"/>
    </cacheField>
    <cacheField name="SKtoTage" numFmtId="0">
      <sharedItems containsSemiMixedTypes="0" containsString="0" containsNumber="1" containsInteger="1" minValue="8" maxValue="14"/>
    </cacheField>
    <cacheField name="Skto Erwarte" numFmtId="14">
      <sharedItems containsSemiMixedTypes="0" containsNonDate="0" containsDate="1" containsString="0" minDate="2018-06-21T00:00:00" maxDate="2018-07-28T00:00:00"/>
    </cacheField>
    <cacheField name="Bezahlt" numFmtId="14">
      <sharedItems containsSemiMixedTypes="0" containsNonDate="0" containsDate="1" containsString="0" minDate="2018-06-29T00:00:00" maxDate="2018-07-24T00:00:00"/>
    </cacheField>
    <cacheField name="Bezahlt workdays diff" numFmtId="0">
      <sharedItems containsSemiMixedTypes="0" containsString="0" containsNumber="1" containsInteger="1" minValue="7" maxValue="17"/>
    </cacheField>
    <cacheField name="Später(Tage)" numFmtId="0">
      <sharedItems containsSemiMixedTypes="0" containsString="0" containsNumber="1" containsInteger="1" minValue="-7" maxValue="3"/>
    </cacheField>
    <cacheField name="Nur Später" numFmtId="0">
      <sharedItems containsMixedTypes="1" containsNumber="1" containsInteger="1" minValue="1" maxValue="3" count="3">
        <n v="3"/>
        <s v="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hn Park" refreshedDate="43306.461931134261" createdVersion="5" refreshedVersion="5" minRefreshableVersion="3" recordCount="3">
  <cacheSource type="worksheet">
    <worksheetSource name="Tabelle29"/>
  </cacheSource>
  <cacheFields count="4">
    <cacheField name="Netto" numFmtId="8">
      <sharedItems containsString="0" containsBlank="1" containsNumber="1" minValue="372.75" maxValue="1872"/>
    </cacheField>
    <cacheField name="Ust_Pct" numFmtId="9">
      <sharedItems containsString="0" containsBlank="1" containsNumber="1" minValue="0" maxValue="0.19" count="4">
        <n v="0.19"/>
        <n v="7.0000000000000007E-2"/>
        <m/>
        <n v="0" u="1"/>
      </sharedItems>
    </cacheField>
    <cacheField name="Ust" numFmtId="8">
      <sharedItems containsString="0" containsBlank="1" containsNumber="1" minValue="26.092500000000001" maxValue="355.68"/>
    </cacheField>
    <cacheField name="Brutto" numFmtId="8">
      <sharedItems containsString="0" containsBlank="1" containsNumber="1" minValue="398.84250000000003" maxValue="2227.67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hn Park" refreshedDate="43306.461931597223" createdVersion="5" refreshedVersion="5" minRefreshableVersion="3" recordCount="4">
  <cacheSource type="worksheet">
    <worksheetSource name="Tabelle30"/>
  </cacheSource>
  <cacheFields count="4">
    <cacheField name="RGNr" numFmtId="0">
      <sharedItems/>
    </cacheField>
    <cacheField name="Kreditor" numFmtId="0">
      <sharedItems containsSemiMixedTypes="0" containsString="0" containsNumber="1" containsInteger="1" minValue="72113" maxValue="72123" count="2">
        <n v="72113"/>
        <n v="72123"/>
      </sharedItems>
    </cacheField>
    <cacheField name="Betrag" numFmtId="164">
      <sharedItems containsSemiMixedTypes="0" containsString="0" containsNumber="1" minValue="275.79000000000002" maxValue="387.35"/>
    </cacheField>
    <cacheField name="Bez" numFmtId="0">
      <sharedItems containsNonDate="0" containsBlank="1" count="4">
        <m/>
        <s v="Versand" u="1"/>
        <s v="WE EG7" u="1"/>
        <s v="Trüffe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410.24"/>
    <n v="0.02"/>
    <n v="8.2048000000000005"/>
    <d v="2018-06-07T00:00:00"/>
    <n v="14"/>
    <d v="2018-06-21T00:00:00"/>
    <d v="2018-06-29T00:00:00"/>
    <n v="17"/>
    <n v="3"/>
    <x v="0"/>
  </r>
  <r>
    <x v="1"/>
    <x v="1"/>
    <n v="443.13"/>
    <n v="0.02"/>
    <n v="8.8626000000000005"/>
    <d v="2018-06-15T00:00:00"/>
    <n v="8"/>
    <d v="2018-06-23T00:00:00"/>
    <d v="2018-06-29T00:00:00"/>
    <n v="11"/>
    <n v="3"/>
    <x v="0"/>
  </r>
  <r>
    <x v="2"/>
    <x v="2"/>
    <n v="1232.6199999999999"/>
    <n v="0.02"/>
    <n v="24.6524"/>
    <d v="2018-06-13T00:00:00"/>
    <n v="14"/>
    <d v="2018-06-27T00:00:00"/>
    <d v="2018-06-29T00:00:00"/>
    <n v="13"/>
    <n v="-1"/>
    <x v="1"/>
  </r>
  <r>
    <x v="3"/>
    <x v="2"/>
    <n v="1523.24"/>
    <n v="0.02"/>
    <n v="30.4648"/>
    <d v="2018-06-26T00:00:00"/>
    <n v="14"/>
    <d v="2018-07-10T00:00:00"/>
    <d v="2018-07-13T00:00:00"/>
    <n v="14"/>
    <n v="0"/>
    <x v="1"/>
  </r>
  <r>
    <x v="4"/>
    <x v="3"/>
    <n v="95.14"/>
    <n v="0.03"/>
    <n v="2.8542000000000001"/>
    <d v="2018-06-28T00:00:00"/>
    <n v="14"/>
    <d v="2018-07-12T00:00:00"/>
    <d v="2018-07-16T00:00:00"/>
    <n v="13"/>
    <n v="-1"/>
    <x v="1"/>
  </r>
  <r>
    <x v="5"/>
    <x v="4"/>
    <n v="197.19"/>
    <n v="0.02"/>
    <n v="3.9438"/>
    <d v="2018-07-03T00:00:00"/>
    <n v="14"/>
    <d v="2018-07-17T00:00:00"/>
    <d v="2018-07-16T00:00:00"/>
    <n v="10"/>
    <n v="-4"/>
    <x v="1"/>
  </r>
  <r>
    <x v="6"/>
    <x v="5"/>
    <n v="211.86"/>
    <n v="0.03"/>
    <n v="6.3558000000000003"/>
    <d v="2018-07-02T00:00:00"/>
    <n v="14"/>
    <d v="2018-07-16T00:00:00"/>
    <d v="2018-07-17T00:00:00"/>
    <n v="12"/>
    <n v="-2"/>
    <x v="1"/>
  </r>
  <r>
    <x v="7"/>
    <x v="5"/>
    <n v="143.04"/>
    <n v="0.03"/>
    <n v="4.2911999999999999"/>
    <d v="2018-07-02T00:00:00"/>
    <n v="14"/>
    <d v="2018-07-16T00:00:00"/>
    <d v="2018-07-17T00:00:00"/>
    <n v="12"/>
    <n v="-2"/>
    <x v="1"/>
  </r>
  <r>
    <x v="8"/>
    <x v="6"/>
    <n v="638.16"/>
    <n v="0.01"/>
    <n v="6.3815999999999997"/>
    <d v="2018-06-27T00:00:00"/>
    <n v="14"/>
    <d v="2018-07-11T00:00:00"/>
    <d v="2018-07-17T00:00:00"/>
    <n v="15"/>
    <n v="1"/>
    <x v="2"/>
  </r>
  <r>
    <x v="9"/>
    <x v="7"/>
    <n v="611.51"/>
    <n v="0.02"/>
    <n v="12.2302"/>
    <d v="2018-07-04T00:00:00"/>
    <n v="14"/>
    <d v="2018-07-18T00:00:00"/>
    <d v="2018-07-18T00:00:00"/>
    <n v="11"/>
    <n v="-3"/>
    <x v="1"/>
  </r>
  <r>
    <x v="10"/>
    <x v="5"/>
    <n v="110.51"/>
    <n v="0.03"/>
    <n v="3.3153000000000001"/>
    <d v="2018-07-04T00:00:00"/>
    <n v="14"/>
    <d v="2018-07-18T00:00:00"/>
    <d v="2018-07-19T00:00:00"/>
    <n v="12"/>
    <n v="-2"/>
    <x v="1"/>
  </r>
  <r>
    <x v="11"/>
    <x v="8"/>
    <n v="338.02"/>
    <n v="0.01"/>
    <n v="3.3801999999999999"/>
    <d v="2018-07-13T00:00:00"/>
    <n v="14"/>
    <d v="2018-07-27T00:00:00"/>
    <d v="2018-07-23T00:00:00"/>
    <n v="7"/>
    <n v="-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n v="1872"/>
    <x v="0"/>
    <n v="355.68"/>
    <n v="2227.6799999999998"/>
  </r>
  <r>
    <n v="372.75"/>
    <x v="1"/>
    <n v="26.092500000000001"/>
    <n v="398.84250000000003"/>
  </r>
  <r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s v="R24239"/>
    <x v="0"/>
    <n v="304.05"/>
    <x v="0"/>
  </r>
  <r>
    <s v="R24240"/>
    <x v="0"/>
    <n v="370.32"/>
    <x v="0"/>
  </r>
  <r>
    <s v="R24241"/>
    <x v="0"/>
    <n v="275.79000000000002"/>
    <x v="0"/>
  </r>
  <r>
    <s v="R24305"/>
    <x v="1"/>
    <n v="387.3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F22:I26" firstHeaderRow="0" firstDataRow="1" firstDataCol="1"/>
  <pivotFields count="4">
    <pivotField dataField="1" numFmtId="8" showAll="0"/>
    <pivotField axis="axisRow" numFmtId="9" showAll="0">
      <items count="5">
        <item m="1" x="3"/>
        <item x="0"/>
        <item x="1"/>
        <item x="2"/>
        <item t="default"/>
      </items>
    </pivotField>
    <pivotField dataField="1" numFmtId="8" showAll="0"/>
    <pivotField dataField="1" numFmtId="8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 von Brutto" fld="3" baseField="1" baseItem="2" numFmtId="164"/>
    <dataField name="Summe von Ust" fld="2" baseField="1" baseItem="1" numFmtId="8"/>
    <dataField name="Summe von Netto" fld="0" baseField="1" baseItem="1" numFmtId="8"/>
  </dataFields>
  <formats count="3">
    <format dxfId="146">
      <pivotArea collapsedLevelsAreSubtotals="1" fieldPosition="0">
        <references count="2">
          <reference field="4294967294" count="2" selected="0">
            <x v="1"/>
            <x v="2"/>
          </reference>
          <reference field="1" count="0"/>
        </references>
      </pivotArea>
    </format>
    <format dxfId="145">
      <pivotArea outline="0" fieldPosition="0">
        <references count="1">
          <reference field="4294967294" count="1">
            <x v="1"/>
          </reference>
        </references>
      </pivotArea>
    </format>
    <format dxfId="144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I33:J36" firstHeaderRow="1" firstDataRow="1" firstDataCol="1"/>
  <pivotFields count="4">
    <pivotField showAll="0" defaultSubtotal="0"/>
    <pivotField axis="axisRow" showAll="0" defaultSubtotal="0">
      <items count="2">
        <item x="0"/>
        <item x="1"/>
      </items>
    </pivotField>
    <pivotField dataField="1" numFmtId="164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me von Betra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F33:G35" firstHeaderRow="1" firstDataRow="1" firstDataCol="1"/>
  <pivotFields count="4">
    <pivotField showAll="0" defaultSubtotal="0"/>
    <pivotField showAll="0" defaultSubtotal="0"/>
    <pivotField dataField="1" showAll="0"/>
    <pivotField axis="axisRow" showAll="0">
      <items count="5">
        <item m="1" x="3"/>
        <item m="1" x="2"/>
        <item m="1" x="1"/>
        <item x="0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me von Betrag" fld="2" baseField="1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O3:P10" firstHeaderRow="1" firstDataRow="1" firstDataCol="1" rowPageCount="1" colPageCount="1"/>
  <pivotFields count="12">
    <pivotField axis="axisRow" showAll="0">
      <items count="13">
        <item x="0"/>
        <item x="2"/>
        <item x="1"/>
        <item x="3"/>
        <item x="8"/>
        <item x="4"/>
        <item x="6"/>
        <item x="7"/>
        <item x="5"/>
        <item x="9"/>
        <item x="10"/>
        <item x="11"/>
        <item t="default"/>
      </items>
    </pivotField>
    <pivotField axis="axisRow" showAll="0">
      <items count="10">
        <item x="5"/>
        <item x="7"/>
        <item x="1"/>
        <item x="2"/>
        <item x="4"/>
        <item x="0"/>
        <item x="3"/>
        <item x="8"/>
        <item x="6"/>
        <item t="default"/>
      </items>
    </pivotField>
    <pivotField showAll="0"/>
    <pivotField numFmtId="9" showAll="0"/>
    <pivotField numFmtId="167" showAll="0"/>
    <pivotField numFmtId="14" showAll="0"/>
    <pivotField showAll="0"/>
    <pivotField numFmtId="14" showAll="0"/>
    <pivotField numFmtId="14" showAll="0"/>
    <pivotField showAll="0"/>
    <pivotField showAll="0"/>
    <pivotField axis="axisPage" dataField="1" multipleItemSelectionAllowed="1" showAll="0" defaultSubtotal="0">
      <items count="3">
        <item x="2"/>
        <item x="0"/>
        <item h="1" x="1"/>
      </items>
    </pivotField>
  </pivotFields>
  <rowFields count="2">
    <field x="1"/>
    <field x="0"/>
  </rowFields>
  <rowItems count="7">
    <i>
      <x v="2"/>
    </i>
    <i r="1">
      <x v="2"/>
    </i>
    <i>
      <x v="5"/>
    </i>
    <i r="1">
      <x/>
    </i>
    <i>
      <x v="8"/>
    </i>
    <i r="1">
      <x v="4"/>
    </i>
    <i t="grand">
      <x/>
    </i>
  </rowItems>
  <colItems count="1">
    <i/>
  </colItems>
  <pageFields count="1">
    <pageField fld="11" hier="-1"/>
  </pageFields>
  <dataFields count="1">
    <dataField name="Summe von Nur Später" fld="11" baseField="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5" name="Tabelle136" displayName="Tabelle136" ref="A3:C6" totalsRowShown="0">
  <autoFilter ref="A3:C6"/>
  <tableColumns count="3">
    <tableColumn id="1" name="Skto%" dataDxfId="166"/>
    <tableColumn id="2" name="Original" dataDxfId="165">
      <calculatedColumnFormula>Betrag/(100%-Tabelle136[[#This Row],[Skto%]])</calculatedColumnFormula>
    </tableColumn>
    <tableColumn id="3" name="Skto Abzug" dataDxfId="164">
      <calculatedColumnFormula>Tabelle136[[#This Row],[Original]]-Betrag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3" name="Tabelle3" displayName="Tabelle3" ref="D1:E2" totalsRowShown="0">
  <autoFilter ref="D1:E2"/>
  <tableColumns count="2">
    <tableColumn id="1" name="Heiß"/>
    <tableColumn id="2" name="Unter"/>
  </tableColumns>
  <tableStyleInfo name="TableStyleLight17" showFirstColumn="0" showLastColumn="0" showRowStripes="1" showColumnStripes="0"/>
</table>
</file>

<file path=xl/tables/table11.xml><?xml version="1.0" encoding="utf-8"?>
<table xmlns="http://schemas.openxmlformats.org/spreadsheetml/2006/main" id="5" name="Tabelle5" displayName="Tabelle5" ref="D23:E60" totalsRowShown="0">
  <autoFilter ref="D23:E60"/>
  <tableColumns count="2">
    <tableColumn id="1" name="Words"/>
    <tableColumn id="2" name="Means(Text)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4" name="Tabelle4" displayName="Tabelle4" ref="D4:E18" totalsRowShown="0">
  <autoFilter ref="D4:E18"/>
  <tableColumns count="2">
    <tableColumn id="1" name="G.Konto"/>
    <tableColumn id="2" name="Bez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6" name="Tabelle6" displayName="Tabelle6" ref="A31:B37" totalsRowShown="0">
  <autoFilter ref="A31:B37"/>
  <tableColumns count="2">
    <tableColumn id="2" name="Spalte2"/>
    <tableColumn id="1" name="Spalte1"/>
  </tableColumns>
  <tableStyleInfo name="TableStyleDark9" showFirstColumn="0" showLastColumn="0" showRowStripes="1" showColumnStripes="0"/>
</table>
</file>

<file path=xl/tables/table14.xml><?xml version="1.0" encoding="utf-8"?>
<table xmlns="http://schemas.openxmlformats.org/spreadsheetml/2006/main" id="7" name="Tabelle7" displayName="Tabelle7" ref="H4:J13" totalsRowShown="0">
  <autoFilter ref="H4:J13"/>
  <tableColumns count="3">
    <tableColumn id="1" name="Spalte1"/>
    <tableColumn id="2" name="Spalte2" dataDxfId="124" dataCellStyle="Prozent"/>
    <tableColumn id="3" name="Info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id="20" name="Tabelle20" displayName="Tabelle20" ref="H19:H22" totalsRowCount="1" headerRowDxfId="123" dataDxfId="122">
  <autoFilter ref="H19:H21"/>
  <tableColumns count="1">
    <tableColumn id="1" name="Betrag" totalsRowFunction="sum" dataDxfId="121" totalsRowDxfId="120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id="25" name="Tabelle25" displayName="Tabelle25" ref="H26:I28" totalsRowShown="0">
  <autoFilter ref="H26:I28"/>
  <tableColumns count="2">
    <tableColumn id="1" name="PD Code"/>
    <tableColumn id="2" name="Bez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id="39" name="Tabelle39" displayName="Tabelle39" ref="L23:N37" totalsRowShown="0">
  <autoFilter ref="L23:N37"/>
  <tableColumns count="3">
    <tableColumn id="1" name="Words"/>
    <tableColumn id="2" name="Bedeutung"/>
    <tableColumn id="3" name="Typ"/>
  </tableColumns>
  <tableStyleInfo name="TableStyleDark9" showFirstColumn="0" showLastColumn="0" showRowStripes="1" showColumnStripes="0"/>
</table>
</file>

<file path=xl/tables/table18.xml><?xml version="1.0" encoding="utf-8"?>
<table xmlns="http://schemas.openxmlformats.org/spreadsheetml/2006/main" id="11" name="Tabelle11" displayName="Tabelle11" ref="A1:D25" totalsRowShown="0" headerRowDxfId="119" dataDxfId="118">
  <autoFilter ref="A1:D25"/>
  <tableColumns count="4">
    <tableColumn id="1" name="Gkto" dataDxfId="117"/>
    <tableColumn id="2" name="Name" dataDxfId="116"/>
    <tableColumn id="3" name="Ust" dataDxfId="115"/>
    <tableColumn id="4" name="Text" dataDxfId="1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2" name="Tabelle12" displayName="Tabelle12" ref="E1:G2" totalsRowShown="0" headerRowDxfId="113" dataDxfId="112">
  <autoFilter ref="E1:G2"/>
  <tableColumns count="3">
    <tableColumn id="1" name="Verwendungszweck" dataDxfId="111"/>
    <tableColumn id="2" name="Name" dataDxfId="110"/>
    <tableColumn id="3" name="KtoNr" dataDxfId="10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1" name="Tabelle1332" displayName="Tabelle1332" ref="A1:E5" totalsRowCount="1" headerRowDxfId="163" dataDxfId="162">
  <autoFilter ref="A1:E4"/>
  <sortState ref="A2:E18">
    <sortCondition ref="E1:E18"/>
  </sortState>
  <tableColumns count="5">
    <tableColumn id="5" name="RGNr" dataDxfId="161"/>
    <tableColumn id="1" name="Betrag" dataDxfId="160" totalsRowDxfId="159"/>
    <tableColumn id="2" name="P_Skto" dataDxfId="158" totalsRowDxfId="157"/>
    <tableColumn id="3" name="B_Skto" dataDxfId="156" totalsRowDxfId="155" dataCellStyle="Währung 2">
      <calculatedColumnFormula>Tabelle1332[[#This Row],[Betrag]]*Tabelle1332[[#This Row],[P_Skto]]</calculatedColumnFormula>
    </tableColumn>
    <tableColumn id="4" name="Betrag2" totalsRowFunction="sum" dataDxfId="154" totalsRowDxfId="153" dataCellStyle="Währung 2">
      <calculatedColumnFormula>Tabelle1332[[#This Row],[Betrag]]*(100%-Tabelle1332[[#This Row],[P_Skto]])</calculatedColumnFormula>
    </tableColumn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id="13" name="Tabelle13" displayName="Tabelle13" ref="E4:H7" totalsRowShown="0" headerRowDxfId="108" dataDxfId="107">
  <autoFilter ref="E4:H7"/>
  <tableColumns count="4">
    <tableColumn id="1" name="Spalte1" dataDxfId="106"/>
    <tableColumn id="2" name="Spalte2" dataDxfId="105"/>
    <tableColumn id="3" name="Spalte3" dataDxfId="104" dataCellStyle="Währung 2">
      <calculatedColumnFormula>Tabelle13[[#This Row],[Spalte1]]*Tabelle13[[#This Row],[Spalte2]]</calculatedColumnFormula>
    </tableColumn>
    <tableColumn id="4" name="Spalte32" dataDxfId="103" dataCellStyle="Währung 2">
      <calculatedColumnFormula>Tabelle13[[#This Row],[Spalte1]]*(100%-Tabelle13[[#This Row],[Spalte2]])</calculatedColumnFormula>
    </tableColumn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14" name="Tabelle14" displayName="Tabelle14" ref="E12:H16" totalsRowShown="0" headerRowDxfId="102" dataDxfId="101">
  <autoFilter ref="E12:H16"/>
  <tableColumns count="4">
    <tableColumn id="1" name="Verwendungszweck" dataDxfId="100"/>
    <tableColumn id="2" name="ST Nr" dataDxfId="99"/>
    <tableColumn id="3" name="G.Kto" dataDxfId="98"/>
    <tableColumn id="4" name="TEXT2" dataDxfId="97"/>
  </tableColumns>
  <tableStyleInfo name="TableStyleMedium5" showFirstColumn="0" showLastColumn="0" showRowStripes="1" showColumnStripes="0"/>
</table>
</file>

<file path=xl/tables/table22.xml><?xml version="1.0" encoding="utf-8"?>
<table xmlns="http://schemas.openxmlformats.org/spreadsheetml/2006/main" id="15" name="Tabelle15" displayName="Tabelle15" ref="J1:K5" totalsRowCount="1" headerRowDxfId="96" dataDxfId="95" totalsRowDxfId="94">
  <autoFilter ref="J1:K4"/>
  <tableColumns count="2">
    <tableColumn id="1" name="Spalte1" totalsRowFunction="sum" dataDxfId="93" totalsRowDxfId="92"/>
    <tableColumn id="2" name="Spalte2" totalsRowFunction="sum" dataDxfId="91" totalsRowDxfId="9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16" name="Tabelle16" displayName="Tabelle16" ref="E20:H22" totalsRowShown="0" headerRowDxfId="89" dataDxfId="88">
  <autoFilter ref="E20:H22"/>
  <tableColumns count="4">
    <tableColumn id="1" name="Unser KD NR" dataDxfId="87"/>
    <tableColumn id="2" name="Kreditor" dataDxfId="86"/>
    <tableColumn id="3" name="Gkto" dataDxfId="85"/>
    <tableColumn id="4" name="TEXT" dataDxfId="84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id="18" name="Tabelle18" displayName="Tabelle18" ref="J30:O50" totalsRowCount="1" headerRowDxfId="83" dataDxfId="82" totalsRowDxfId="81">
  <autoFilter ref="J30:O49"/>
  <tableColumns count="6">
    <tableColumn id="6" name="KDNR" dataDxfId="80" totalsRowDxfId="79"/>
    <tableColumn id="1" name="RG" dataDxfId="78" totalsRowDxfId="77"/>
    <tableColumn id="2" name="Betr" totalsRowFunction="sum" dataDxfId="76" totalsRowDxfId="75"/>
    <tableColumn id="3" name="Skto%" dataDxfId="74" totalsRowDxfId="73"/>
    <tableColumn id="4" name="Skto" totalsRowFunction="sum" dataDxfId="72" totalsRowDxfId="71">
      <calculatedColumnFormula>Tabelle18[[#This Row],[Betr]]*Tabelle18[[#This Row],[Skto%]]</calculatedColumnFormula>
    </tableColumn>
    <tableColumn id="5" name="Gesamt" totalsRowFunction="sum" dataDxfId="70" totalsRowDxfId="69">
      <calculatedColumnFormula>Tabelle18[[#This Row],[Betr]]-Tabelle18[[#This Row],[Skto]]</calculatedColumnFormula>
    </tableColumn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19" name="Tabelle19" displayName="Tabelle19" ref="E25:G27" totalsRowShown="0" headerRowDxfId="68" dataDxfId="67">
  <autoFilter ref="E25:G27"/>
  <tableColumns count="3">
    <tableColumn id="2" name="KtoNr" dataDxfId="66"/>
    <tableColumn id="3" name="Text" dataDxfId="65"/>
    <tableColumn id="4" name="Kto Bez" dataDxfId="64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id="21" name="Tabelle21" displayName="Tabelle21" ref="J17:M18" totalsRowShown="0" headerRowDxfId="63" dataDxfId="62">
  <autoFilter ref="J17:M18"/>
  <tableColumns count="4">
    <tableColumn id="1" name="Betrag" dataDxfId="61"/>
    <tableColumn id="2" name="Bezahlt" dataDxfId="60"/>
    <tableColumn id="3" name="Abzüge" dataDxfId="59">
      <calculatedColumnFormula>Tabelle21[Betrag]-Tabelle21[Bezahlt]</calculatedColumnFormula>
    </tableColumn>
    <tableColumn id="4" name="Prozent" dataDxfId="58" dataCellStyle="Prozent">
      <calculatedColumnFormula>Tabelle21[Abzüge]/Tabelle21[Betrag]</calculatedColumnFormula>
    </tableColumn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id="22" name="Tabelle22" displayName="Tabelle22" ref="E31:F34" totalsRowShown="0" headerRowDxfId="57" dataDxfId="56">
  <autoFilter ref="E31:F34"/>
  <tableColumns count="2">
    <tableColumn id="1" name="PersonalNummer" dataDxfId="55"/>
    <tableColumn id="2" name="Text" dataDxfId="54"/>
  </tableColumns>
  <tableStyleInfo name="TableStyleMedium11" showFirstColumn="0" showLastColumn="0" showRowStripes="1" showColumnStripes="0"/>
</table>
</file>

<file path=xl/tables/table28.xml><?xml version="1.0" encoding="utf-8"?>
<table xmlns="http://schemas.openxmlformats.org/spreadsheetml/2006/main" id="23" name="Tabelle23" displayName="Tabelle23" ref="A26:B29" totalsRowShown="0" headerRowDxfId="53" dataDxfId="52">
  <autoFilter ref="A26:B29"/>
  <tableColumns count="2">
    <tableColumn id="1" name="Spalte1" dataDxfId="51"/>
    <tableColumn id="2" name="Sammel Kto" dataDxfId="50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26" name="Tabelle26" displayName="Tabelle26" ref="A31:B33" totalsRowShown="0" headerRowDxfId="49" dataDxfId="48">
  <autoFilter ref="A31:B33"/>
  <tableColumns count="2">
    <tableColumn id="1" name="Konto Nr" dataDxfId="47"/>
    <tableColumn id="2" name="Text" dataDxfId="4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6" name="Tabelle2137" displayName="Tabelle2137" ref="I1:L3" totalsRowShown="0" headerRowDxfId="152" dataDxfId="151">
  <autoFilter ref="I1:L3"/>
  <tableColumns count="4">
    <tableColumn id="1" name="Betrag" dataDxfId="150"/>
    <tableColumn id="2" name="Bezahlt" dataDxfId="149"/>
    <tableColumn id="3" name="Abzüge" dataDxfId="148">
      <calculatedColumnFormula>Tabelle2137[Betrag]-Tabelle2137[Bezahlt]</calculatedColumnFormula>
    </tableColumn>
    <tableColumn id="4" name="Prozent" dataDxfId="147" dataCellStyle="Prozent">
      <calculatedColumnFormula>Tabelle2137[Abzüge]/Tabelle2137[Betrag]</calculatedColumnFormula>
    </tableColumn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32" name="Tabelle32" displayName="Tabelle32" ref="L1:O5" totalsRowCount="1" headerRowDxfId="45" dataDxfId="44" totalsRowDxfId="43">
  <autoFilter ref="L1:O4"/>
  <tableColumns count="4">
    <tableColumn id="1" name="Betr" totalsRowFunction="sum" dataDxfId="42" totalsRowDxfId="41"/>
    <tableColumn id="2" name="Gesamt" totalsRowFunction="sum" dataDxfId="40" totalsRowDxfId="39"/>
    <tableColumn id="3" name="Abzug" totalsRowFunction="sum" dataDxfId="38" totalsRowDxfId="37">
      <calculatedColumnFormula>Tabelle32[[#This Row],[Betr]]-Tabelle32[[#This Row],[Gesamt]]</calculatedColumnFormula>
    </tableColumn>
    <tableColumn id="4" name="Abzug PCT" dataDxfId="36" totalsRowDxfId="35" dataCellStyle="Prozent">
      <calculatedColumnFormula>Tabelle32[[#This Row],[Abzug]]/Tabelle32[[#This Row],[Betr]]</calculatedColumnFormula>
    </tableColumn>
  </tableColumns>
  <tableStyleInfo name="TableStyleMedium17" showFirstColumn="0" showLastColumn="0" showRowStripes="1" showColumnStripes="0"/>
</table>
</file>

<file path=xl/tables/table31.xml><?xml version="1.0" encoding="utf-8"?>
<table xmlns="http://schemas.openxmlformats.org/spreadsheetml/2006/main" id="34" name="Tabelle34" displayName="Tabelle34" ref="J21:O27" totalsRowCount="1" headerRowDxfId="34" dataDxfId="33">
  <autoFilter ref="J21:O26"/>
  <tableColumns count="6">
    <tableColumn id="1" name="Name" totalsRowLabel="Ergebnis" dataDxfId="32" totalsRowDxfId="31"/>
    <tableColumn id="6" name="KtoNr" dataDxfId="30" totalsRowDxfId="29"/>
    <tableColumn id="2" name="Skto%" dataDxfId="28" totalsRowDxfId="27"/>
    <tableColumn id="3" name="Betr" totalsRowFunction="sum" dataDxfId="26" totalsRowDxfId="25"/>
    <tableColumn id="4" name="Abzuge" dataDxfId="24" totalsRowDxfId="23">
      <calculatedColumnFormula>Tabelle34[Betr]*Tabelle34[Skto%]</calculatedColumnFormula>
    </tableColumn>
    <tableColumn id="5" name="Netto" totalsRowFunction="sum" dataDxfId="22" totalsRowDxfId="21">
      <calculatedColumnFormula>Tabelle34[Betr]*(100%-Tabelle34[Skto%])</calculatedColumnFormula>
    </tableColumn>
  </tableColumns>
  <tableStyleInfo name="TableStyleLight20" showFirstColumn="0" showLastColumn="0" showRowStripes="1" showColumnStripes="0"/>
</table>
</file>

<file path=xl/tables/table32.xml><?xml version="1.0" encoding="utf-8"?>
<table xmlns="http://schemas.openxmlformats.org/spreadsheetml/2006/main" id="40" name="Tabelle40" displayName="Tabelle40" ref="A1:M26" totalsRowShown="0" headerRowDxfId="20">
  <autoFilter ref="A1:M26"/>
  <tableColumns count="13">
    <tableColumn id="1" name="RGNr" dataDxfId="19"/>
    <tableColumn id="2" name="KDNr" dataDxfId="18"/>
    <tableColumn id="9" name="Betr" dataDxfId="17"/>
    <tableColumn id="10" name="Skto%" dataDxfId="16"/>
    <tableColumn id="11" name="SktoBetr" dataDxfId="15">
      <calculatedColumnFormula>Tabelle40[[#This Row],[Betr]]*Tabelle40[[#This Row],[Skto%]]</calculatedColumnFormula>
    </tableColumn>
    <tableColumn id="3" name="Von" dataDxfId="14"/>
    <tableColumn id="4" name="SKtoTage" dataDxfId="13"/>
    <tableColumn id="5" name="Skto Erwarte" dataDxfId="12">
      <calculatedColumnFormula>Tabelle40[[#This Row],[Von]]+Tabelle40[[#This Row],[SKtoTage]]</calculatedColumnFormula>
    </tableColumn>
    <tableColumn id="6" name="Bezahlt" dataDxfId="11"/>
    <tableColumn id="7" name="Bezahlt workdays diff" dataDxfId="10">
      <calculatedColumnFormula>NETWORKDAYS(Tabelle40[[#This Row],[Von]],Tabelle40[[#This Row],[Bezahlt]])</calculatedColumnFormula>
    </tableColumn>
    <tableColumn id="8" name="Später(Tage)" dataDxfId="9">
      <calculatedColumnFormula>Tabelle40[[#This Row],[Bezahlt workdays diff]]-Tabelle40[[#This Row],[SKtoTage]]</calculatedColumnFormula>
    </tableColumn>
    <tableColumn id="12" name="Nur Später" dataDxfId="8">
      <calculatedColumnFormula>IF(Tabelle40[[#This Row],[Später(Tage)]]&gt;0,Tabelle40[[#This Row],[Später(Tage)]],"")</calculatedColumnFormula>
    </tableColumn>
    <tableColumn id="13" name="ZahlBetr" dataDxfId="7">
      <calculatedColumnFormula>Tabelle40[[#This Row],[Betr]]-Tabelle40[[#This Row],[SktoBetr]]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" name="Tabelle1" displayName="Tabelle1" ref="A3:B7" totalsRowShown="0">
  <autoFilter ref="A3:B7"/>
  <tableColumns count="2">
    <tableColumn id="1" name="Art.Nr"/>
    <tableColumn id="2" name="Bez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id="8" name="Tabelle8" displayName="Tabelle8" ref="A24:G30" totalsRowShown="0">
  <autoFilter ref="A24:G30"/>
  <tableColumns count="7">
    <tableColumn id="1" name="Spalte1" dataDxfId="6"/>
    <tableColumn id="2" name="KtoNr" dataDxfId="5"/>
    <tableColumn id="3" name="EINGANG"/>
    <tableColumn id="8" name="Text Eingang"/>
    <tableColumn id="4" name="AUSGANG(Fracht)"/>
    <tableColumn id="5" name="Ausgang"/>
    <tableColumn id="9" name="Text Ausgang"/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id="9" name="Tabelle9" displayName="Tabelle9" ref="F6:G7" totalsRowShown="0">
  <autoFilter ref="F6:G7"/>
  <tableColumns count="2">
    <tableColumn id="1" name="Modell"/>
    <tableColumn id="2" name="G.Kto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id="17" name="Tabelle118" displayName="Tabelle118" ref="I13:J15" totalsRowShown="0">
  <autoFilter ref="I13:J15"/>
  <sortState ref="I14:J35">
    <sortCondition ref="I1:I15"/>
  </sortState>
  <tableColumns count="2">
    <tableColumn id="1" name="DATUM" dataDxfId="4"/>
    <tableColumn id="2" name="KW" dataDxfId="3">
      <calculatedColumnFormula>WEEKNUM(Tabelle118[[#This Row],[DATUM]],21)</calculatedColumnFormula>
    </tableColumn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id="24" name="Tabelle24" displayName="Tabelle24" ref="F3:G4" totalsRowShown="0">
  <autoFilter ref="F3:G4"/>
  <tableColumns count="2">
    <tableColumn id="1" name="Gkto"/>
    <tableColumn id="2" name="Bez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id="37" name="Tabelle838" displayName="Tabelle838" ref="A10:G17" totalsRowShown="0">
  <autoFilter ref="A10:G17"/>
  <tableColumns count="7">
    <tableColumn id="1" name="Spalte1" dataDxfId="2"/>
    <tableColumn id="2" name="KtoNr" dataDxfId="1"/>
    <tableColumn id="3" name="EINGANG"/>
    <tableColumn id="8" name="Text Eingang"/>
    <tableColumn id="4" name="AUSGANG(Fracht)"/>
    <tableColumn id="5" name="Ausgang"/>
    <tableColumn id="9" name="Text Ausgang"/>
  </tableColumns>
  <tableStyleInfo name="TableStyleMedium5" showFirstColumn="0" showLastColumn="0" showRowStripes="1" showColumnStripes="0"/>
</table>
</file>

<file path=xl/tables/table39.xml><?xml version="1.0" encoding="utf-8"?>
<table xmlns="http://schemas.openxmlformats.org/spreadsheetml/2006/main" id="38" name="Tabelle38" displayName="Tabelle38" ref="D1:E2" totalsRowShown="0">
  <autoFilter ref="D1:E2"/>
  <tableColumns count="2">
    <tableColumn id="1" name="Bennantes" dataDxfId="0"/>
    <tableColumn id="2" name="Is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7" name="Tabelle27" displayName="Tabelle27" ref="A1:G6" totalsRowCount="1">
  <autoFilter ref="A1:G5"/>
  <tableColumns count="7">
    <tableColumn id="1" name="Brutto" totalsRowFunction="sum"/>
    <tableColumn id="2" name="Ust_Pct" dataDxfId="143" totalsRowDxfId="142"/>
    <tableColumn id="3" name="Ust" totalsRowFunction="sum">
      <calculatedColumnFormula>Tabelle27[Brutto]-(Tabelle27[Brutto]/(100%+Tabelle27[Ust_Pct]))</calculatedColumnFormula>
    </tableColumn>
    <tableColumn id="4" name="Netto" totalsRowFunction="sum">
      <calculatedColumnFormula>Tabelle27[Brutto]/(100%+Tabelle27[Ust_Pct])</calculatedColumnFormula>
    </tableColumn>
    <tableColumn id="5" name="Brutto2">
      <calculatedColumnFormula>Tabelle27[Netto]+Tabelle27[Ust]</calculatedColumnFormula>
    </tableColumn>
    <tableColumn id="6" name="Brutto3">
      <calculatedColumnFormula>Tabelle27[Netto]*(100%+Tabelle27[Ust_Pct])</calculatedColumnFormula>
    </tableColumn>
    <tableColumn id="7" name="Ust2"/>
  </tableColumns>
  <tableStyleInfo name="TableStyleMedium18" showFirstColumn="0" showLastColumn="0" showRowStripes="1" showColumnStripes="0"/>
</table>
</file>

<file path=xl/tables/table40.xml><?xml version="1.0" encoding="utf-8"?>
<table xmlns="http://schemas.openxmlformats.org/spreadsheetml/2006/main" id="10" name="Tabelle10" displayName="Tabelle10" ref="A1:B11" totalsRowShown="0">
  <autoFilter ref="A1:B11"/>
  <tableColumns count="2">
    <tableColumn id="1" name="Model NR"/>
    <tableColumn id="2" name="Gk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8" name="Tabelle28" displayName="Tabelle28" ref="J1:L4" totalsRowShown="0">
  <autoFilter ref="J1:L4"/>
  <tableColumns count="3">
    <tableColumn id="3" name="Spalte2" dataDxfId="141"/>
    <tableColumn id="1" name="Ust_Pct" dataDxfId="140"/>
    <tableColumn id="2" name="Spalte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29" name="Tabelle29" displayName="Tabelle29" ref="A15:D19" totalsRowCount="1">
  <autoFilter ref="A15:D18"/>
  <tableColumns count="4">
    <tableColumn id="1" name="Netto" dataDxfId="139" totalsRowDxfId="138"/>
    <tableColumn id="2" name="Ust_Pct"/>
    <tableColumn id="3" name="Ust" dataDxfId="137" totalsRowDxfId="136">
      <calculatedColumnFormula>Tabelle29[[#This Row],[Netto]]*Tabelle29[[#This Row],[Ust_Pct]]</calculatedColumnFormula>
    </tableColumn>
    <tableColumn id="4" name="Brutto" totalsRowFunction="sum" dataDxfId="135" totalsRowDxfId="134">
      <calculatedColumnFormula>Tabelle29[[#This Row],[Netto]]*(100%+Tabelle29[[#This Row],[Ust_Pct]])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30" name="Tabelle30" displayName="Tabelle30" ref="A23:D27" totalsRowShown="0">
  <autoFilter ref="A23:D27"/>
  <tableColumns count="4">
    <tableColumn id="4" name="RGNr" dataDxfId="133"/>
    <tableColumn id="3" name="Kreditor" dataDxfId="132"/>
    <tableColumn id="1" name="Betrag" dataDxfId="131"/>
    <tableColumn id="2" name="Bez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3" name="Tabelle2934" displayName="Tabelle2934" ref="A42:D45">
  <autoFilter ref="A42:D45"/>
  <tableColumns count="4">
    <tableColumn id="1" name="Brutto" dataDxfId="130" totalsRowDxfId="129"/>
    <tableColumn id="2" name="Ust_Pct"/>
    <tableColumn id="4" name="Netto" totalsRowFunction="sum" dataDxfId="128" totalsRowDxfId="127">
      <calculatedColumnFormula>Tabelle2934[[#This Row],[Brutto]] / (100%+Tabelle2934[[#This Row],[Ust_Pct]])</calculatedColumnFormula>
    </tableColumn>
    <tableColumn id="3" name="Ust" dataDxfId="126" totalsRowDxfId="125">
      <calculatedColumnFormula>Tabelle2934[[#This Row],[Brutto]] - Tabelle2934[[#This Row],[Netto]]</calculatedColumnFormula>
    </tableColumn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id="2" name="Tabelle2" displayName="Tabelle2" ref="A1:B30" totalsRowShown="0">
  <autoFilter ref="A1:B30"/>
  <tableColumns count="2">
    <tableColumn id="1" name="FullName"/>
    <tableColumn id="2" name="HOBA 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9.xml"/><Relationship Id="rId3" Type="http://schemas.openxmlformats.org/officeDocument/2006/relationships/table" Target="../tables/table34.xml"/><Relationship Id="rId7" Type="http://schemas.openxmlformats.org/officeDocument/2006/relationships/table" Target="../tables/table38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C6"/>
  <sheetViews>
    <sheetView workbookViewId="0">
      <selection activeCell="G19" sqref="G19"/>
    </sheetView>
  </sheetViews>
  <sheetFormatPr baseColWidth="10" defaultRowHeight="14.25" x14ac:dyDescent="0.2"/>
  <cols>
    <col min="1" max="2" width="11.42578125" style="42"/>
    <col min="3" max="3" width="14.5703125" style="42" customWidth="1"/>
    <col min="4" max="16384" width="11.42578125" style="42"/>
  </cols>
  <sheetData>
    <row r="1" spans="1:3" x14ac:dyDescent="0.2">
      <c r="A1" s="42" t="s">
        <v>188</v>
      </c>
      <c r="B1" s="42">
        <v>40.58</v>
      </c>
    </row>
    <row r="3" spans="1:3" x14ac:dyDescent="0.2">
      <c r="A3" s="42" t="s">
        <v>167</v>
      </c>
      <c r="B3" s="42" t="s">
        <v>299</v>
      </c>
      <c r="C3" s="42" t="s">
        <v>298</v>
      </c>
    </row>
    <row r="4" spans="1:3" x14ac:dyDescent="0.2">
      <c r="A4" s="44">
        <v>0.03</v>
      </c>
      <c r="B4" s="43">
        <f>Betrag/(100%-Tabelle136[[#This Row],[Skto%]])</f>
        <v>41.835051546391753</v>
      </c>
      <c r="C4" s="43">
        <f>Tabelle136[[#This Row],[Original]]-Betrag</f>
        <v>1.2550515463917549</v>
      </c>
    </row>
    <row r="5" spans="1:3" x14ac:dyDescent="0.2">
      <c r="A5" s="44">
        <v>0.02</v>
      </c>
      <c r="B5" s="43">
        <f>Betrag/(100%-Tabelle136[[#This Row],[Skto%]])</f>
        <v>41.408163265306122</v>
      </c>
      <c r="C5" s="43">
        <f>Tabelle136[[#This Row],[Original]]-Betrag</f>
        <v>0.82816326530612372</v>
      </c>
    </row>
    <row r="6" spans="1:3" x14ac:dyDescent="0.2">
      <c r="A6" s="44">
        <v>0.01</v>
      </c>
      <c r="B6" s="43">
        <f>Betrag/(100%-Tabelle136[[#This Row],[Skto%]])</f>
        <v>40.98989898989899</v>
      </c>
      <c r="C6" s="43">
        <f>Tabelle136[[#This Row],[Original]]-Betrag</f>
        <v>0.40989898989899132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N15"/>
  <sheetViews>
    <sheetView workbookViewId="0">
      <selection activeCell="A4" sqref="A4"/>
    </sheetView>
  </sheetViews>
  <sheetFormatPr baseColWidth="10" defaultRowHeight="15" x14ac:dyDescent="0.25"/>
  <sheetData>
    <row r="1" spans="1:14" x14ac:dyDescent="0.25">
      <c r="A1" s="8" t="s">
        <v>271</v>
      </c>
      <c r="B1" s="8" t="s">
        <v>188</v>
      </c>
      <c r="C1" s="9" t="s">
        <v>377</v>
      </c>
      <c r="D1" s="8" t="s">
        <v>378</v>
      </c>
      <c r="E1" s="10" t="s">
        <v>379</v>
      </c>
      <c r="I1" s="8" t="s">
        <v>188</v>
      </c>
      <c r="J1" s="8" t="s">
        <v>189</v>
      </c>
      <c r="K1" s="8" t="s">
        <v>190</v>
      </c>
      <c r="L1" s="8" t="s">
        <v>191</v>
      </c>
    </row>
    <row r="2" spans="1:14" x14ac:dyDescent="0.25">
      <c r="A2" s="38">
        <v>305261</v>
      </c>
      <c r="B2" s="8">
        <v>579.15</v>
      </c>
      <c r="C2" s="9">
        <v>0.03</v>
      </c>
      <c r="D2" s="56">
        <f>Tabelle1332[[#This Row],[Betrag]]*Tabelle1332[[#This Row],[P_Skto]]</f>
        <v>17.374499999999998</v>
      </c>
      <c r="E2" s="10">
        <f>Tabelle1332[[#This Row],[Betrag]]*(100%-Tabelle1332[[#This Row],[P_Skto]])</f>
        <v>561.77549999999997</v>
      </c>
      <c r="I2" s="41">
        <v>741.96</v>
      </c>
      <c r="J2" s="41">
        <v>712.28</v>
      </c>
      <c r="K2" s="41">
        <f>Tabelle2137[Betrag]-Tabelle2137[Bezahlt]</f>
        <v>29.680000000000064</v>
      </c>
      <c r="L2" s="13">
        <f>Tabelle2137[Abzüge]/Tabelle2137[Betrag]</f>
        <v>4.0002156450482593E-2</v>
      </c>
      <c r="N2" s="49">
        <f>Tabelle2137[[#This Row],[Betrag]]-Tabelle2137[[#This Row],[Abzüge]]</f>
        <v>712.28</v>
      </c>
    </row>
    <row r="3" spans="1:14" x14ac:dyDescent="0.25">
      <c r="A3" s="38">
        <v>305523</v>
      </c>
      <c r="B3" s="11">
        <v>553.21</v>
      </c>
      <c r="C3" s="9">
        <v>0.03</v>
      </c>
      <c r="D3" s="56">
        <f>Tabelle1332[[#This Row],[Betrag]]*Tabelle1332[[#This Row],[P_Skto]]</f>
        <v>16.596299999999999</v>
      </c>
      <c r="E3" s="10">
        <f>Tabelle1332[[#This Row],[Betrag]]*(100%-Tabelle1332[[#This Row],[P_Skto]])</f>
        <v>536.61369999999999</v>
      </c>
      <c r="G3" s="57">
        <f>SUM(B2:B3)</f>
        <v>1132.3600000000001</v>
      </c>
      <c r="I3" s="41">
        <v>440.73</v>
      </c>
      <c r="J3" s="41">
        <v>423.1</v>
      </c>
      <c r="K3" s="41">
        <f>Tabelle2137[Betrag]-Tabelle2137[Bezahlt]</f>
        <v>17.629999999999995</v>
      </c>
      <c r="L3" s="13">
        <f>Tabelle2137[Abzüge]/Tabelle2137[Betrag]</f>
        <v>4.000181517028565E-2</v>
      </c>
      <c r="N3" s="49">
        <f>Tabelle2137[[#This Row],[Betrag]]-Tabelle2137[[#This Row],[Abzüge]]</f>
        <v>423.1</v>
      </c>
    </row>
    <row r="4" spans="1:14" x14ac:dyDescent="0.25">
      <c r="A4" s="38"/>
      <c r="B4" s="11">
        <v>-595</v>
      </c>
      <c r="C4" s="9"/>
      <c r="D4" s="56">
        <f>Tabelle1332[[#This Row],[Betrag]]*Tabelle1332[[#This Row],[P_Skto]]</f>
        <v>0</v>
      </c>
      <c r="E4" s="10">
        <f>Tabelle1332[[#This Row],[Betrag]]*(100%-Tabelle1332[[#This Row],[P_Skto]])</f>
        <v>-595</v>
      </c>
      <c r="N4">
        <f>SUM(N2:N3)</f>
        <v>1135.3800000000001</v>
      </c>
    </row>
    <row r="5" spans="1:14" x14ac:dyDescent="0.25">
      <c r="B5" s="11"/>
      <c r="C5" s="9"/>
      <c r="D5" s="37"/>
      <c r="E5" s="37">
        <f>SUBTOTAL(109,Tabelle1332[Betrag2])</f>
        <v>503.38920000000007</v>
      </c>
    </row>
    <row r="12" spans="1:14" x14ac:dyDescent="0.25">
      <c r="C12">
        <v>597.6</v>
      </c>
      <c r="D12" s="17">
        <v>0.19</v>
      </c>
      <c r="E12" s="58">
        <f>C12/C15</f>
        <v>0.95402298850574718</v>
      </c>
      <c r="G12" s="49">
        <f>$K$2*E12</f>
        <v>28.315402298850636</v>
      </c>
    </row>
    <row r="13" spans="1:14" x14ac:dyDescent="0.25">
      <c r="C13">
        <v>28.8</v>
      </c>
      <c r="D13" s="17">
        <v>7.0000000000000007E-2</v>
      </c>
      <c r="E13" s="58">
        <f>C13/C15</f>
        <v>4.5977011494252873E-2</v>
      </c>
      <c r="G13" s="49">
        <f>$K$2*E13</f>
        <v>1.3645977011494281</v>
      </c>
    </row>
    <row r="15" spans="1:14" x14ac:dyDescent="0.25">
      <c r="C15">
        <f>SUM(C12:C14)</f>
        <v>626.4</v>
      </c>
      <c r="G15">
        <f>SUM(G12:G14)</f>
        <v>29.680000000000064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O45"/>
  <sheetViews>
    <sheetView topLeftCell="A12" zoomScale="115" zoomScaleNormal="115" workbookViewId="0">
      <selection activeCell="E32" sqref="E32"/>
    </sheetView>
  </sheetViews>
  <sheetFormatPr baseColWidth="10" defaultRowHeight="15" x14ac:dyDescent="0.25"/>
  <cols>
    <col min="4" max="4" width="12.28515625" bestFit="1" customWidth="1"/>
    <col min="6" max="6" width="22.42578125" customWidth="1"/>
    <col min="7" max="7" width="18" customWidth="1"/>
    <col min="8" max="8" width="15" customWidth="1"/>
    <col min="9" max="9" width="22.42578125" customWidth="1"/>
    <col min="10" max="10" width="18" bestFit="1" customWidth="1"/>
  </cols>
  <sheetData>
    <row r="1" spans="1:15" hidden="1" x14ac:dyDescent="0.25">
      <c r="A1" t="s">
        <v>245</v>
      </c>
      <c r="B1" t="s">
        <v>251</v>
      </c>
      <c r="C1" t="s">
        <v>128</v>
      </c>
      <c r="D1" t="s">
        <v>247</v>
      </c>
      <c r="E1" t="s">
        <v>248</v>
      </c>
      <c r="F1" t="s">
        <v>249</v>
      </c>
      <c r="G1" t="s">
        <v>250</v>
      </c>
      <c r="J1" s="6" t="s">
        <v>48</v>
      </c>
      <c r="K1" t="s">
        <v>251</v>
      </c>
      <c r="L1" t="s">
        <v>47</v>
      </c>
    </row>
    <row r="2" spans="1:15" hidden="1" x14ac:dyDescent="0.25">
      <c r="A2">
        <v>-943</v>
      </c>
      <c r="B2" s="17">
        <v>0.19</v>
      </c>
      <c r="C2">
        <f>Tabelle27[Brutto]-(Tabelle27[Brutto]/(100%+Tabelle27[Ust_Pct]))</f>
        <v>-150.56302521008399</v>
      </c>
      <c r="D2">
        <f>Tabelle27[Brutto]/(100%+Tabelle27[Ust_Pct])</f>
        <v>-792.43697478991601</v>
      </c>
      <c r="E2">
        <f>Tabelle27[Netto]+Tabelle27[Ust]</f>
        <v>-943</v>
      </c>
      <c r="F2">
        <f>Tabelle27[Netto]*(100%+Tabelle27[Ust_Pct])</f>
        <v>-943</v>
      </c>
      <c r="J2" s="17" t="s">
        <v>251</v>
      </c>
      <c r="K2" s="18">
        <v>0.19</v>
      </c>
    </row>
    <row r="3" spans="1:15" hidden="1" x14ac:dyDescent="0.25">
      <c r="A3">
        <v>-500</v>
      </c>
      <c r="B3" s="17">
        <v>0.19</v>
      </c>
      <c r="C3">
        <f>Tabelle27[Brutto]-(Tabelle27[Brutto]/(100%+Tabelle27[Ust_Pct]))</f>
        <v>-79.831932773109202</v>
      </c>
      <c r="D3">
        <f>Tabelle27[Brutto]/(100%+Tabelle27[Ust_Pct])</f>
        <v>-420.1680672268908</v>
      </c>
      <c r="E3">
        <f>Tabelle27[Netto]+Tabelle27[Ust]</f>
        <v>-500</v>
      </c>
      <c r="F3">
        <f>Tabelle27[Netto]*(100%+Tabelle27[Ust_Pct])</f>
        <v>-500</v>
      </c>
      <c r="J3" s="17" t="s">
        <v>246</v>
      </c>
      <c r="K3" s="17">
        <v>7.0000000000000007E-2</v>
      </c>
    </row>
    <row r="4" spans="1:15" hidden="1" x14ac:dyDescent="0.25">
      <c r="A4">
        <v>-200</v>
      </c>
      <c r="B4" s="17">
        <v>0.19</v>
      </c>
      <c r="C4">
        <f>Tabelle27[Brutto]-(Tabelle27[Brutto]/(100%+Tabelle27[Ust_Pct]))</f>
        <v>-31.932773109243698</v>
      </c>
      <c r="D4">
        <f>Tabelle27[Brutto]/(100%+Tabelle27[Ust_Pct])</f>
        <v>-168.0672268907563</v>
      </c>
      <c r="E4">
        <f>Tabelle27[Netto]+Tabelle27[Ust]</f>
        <v>-200</v>
      </c>
      <c r="F4">
        <f>Tabelle27[Netto]*(100%+Tabelle27[Ust_Pct])</f>
        <v>-200</v>
      </c>
      <c r="J4" s="17" t="s">
        <v>246</v>
      </c>
      <c r="K4" s="17">
        <v>0</v>
      </c>
    </row>
    <row r="5" spans="1:15" hidden="1" x14ac:dyDescent="0.25">
      <c r="A5">
        <v>-100</v>
      </c>
      <c r="B5" s="17">
        <v>0</v>
      </c>
      <c r="C5">
        <f>Tabelle27[Brutto]-(Tabelle27[Brutto]/(100%+Tabelle27[Ust_Pct]))</f>
        <v>0</v>
      </c>
      <c r="D5">
        <f>Tabelle27[Brutto]/(100%+Tabelle27[Ust_Pct])</f>
        <v>-100</v>
      </c>
      <c r="E5">
        <f>Tabelle27[Netto]+Tabelle27[Ust]</f>
        <v>-100</v>
      </c>
      <c r="F5">
        <f>Tabelle27[Netto]*(100%+Tabelle27[Ust_Pct])</f>
        <v>-100</v>
      </c>
    </row>
    <row r="6" spans="1:15" hidden="1" x14ac:dyDescent="0.25">
      <c r="A6">
        <f>SUBTOTAL(109,Tabelle27[Brutto])</f>
        <v>0</v>
      </c>
      <c r="B6" s="17"/>
      <c r="C6">
        <f>SUBTOTAL(109,Tabelle27[Ust])</f>
        <v>0</v>
      </c>
      <c r="D6">
        <f>SUBTOTAL(109,Tabelle27[Netto])</f>
        <v>0</v>
      </c>
    </row>
    <row r="7" spans="1:15" hidden="1" x14ac:dyDescent="0.25"/>
    <row r="8" spans="1:15" hidden="1" x14ac:dyDescent="0.25">
      <c r="I8" t="s">
        <v>252</v>
      </c>
      <c r="J8" t="s">
        <v>251</v>
      </c>
      <c r="K8" s="6" t="s">
        <v>251</v>
      </c>
      <c r="L8" t="s">
        <v>251</v>
      </c>
      <c r="M8" s="6" t="s">
        <v>251</v>
      </c>
      <c r="N8" t="s">
        <v>251</v>
      </c>
    </row>
    <row r="9" spans="1:15" hidden="1" x14ac:dyDescent="0.25">
      <c r="I9" t="s">
        <v>253</v>
      </c>
      <c r="J9" s="17">
        <v>0.19</v>
      </c>
      <c r="K9" s="17">
        <v>0.19</v>
      </c>
      <c r="L9" s="17">
        <v>7.0000000000000007E-2</v>
      </c>
      <c r="M9" s="17">
        <v>7.0000000000000007E-2</v>
      </c>
      <c r="N9" s="17">
        <v>0</v>
      </c>
    </row>
    <row r="10" spans="1:15" hidden="1" x14ac:dyDescent="0.25">
      <c r="I10" s="6" t="s">
        <v>255</v>
      </c>
      <c r="J10" s="17" t="s">
        <v>245</v>
      </c>
      <c r="K10" s="17" t="s">
        <v>247</v>
      </c>
      <c r="L10" s="17" t="s">
        <v>245</v>
      </c>
      <c r="M10" s="17" t="s">
        <v>247</v>
      </c>
      <c r="N10" s="17" t="s">
        <v>245</v>
      </c>
      <c r="O10" s="17"/>
    </row>
    <row r="11" spans="1:15" hidden="1" x14ac:dyDescent="0.25">
      <c r="I11" t="s">
        <v>254</v>
      </c>
      <c r="J11" s="19">
        <f>DSUM(Tabelle27[#All],J10,J8:J9)</f>
        <v>-1643</v>
      </c>
      <c r="K11" s="19">
        <f>DSUM(Tabelle27[#All],K10,K8:K9)</f>
        <v>-1380.672268907563</v>
      </c>
      <c r="L11" s="19">
        <f>DSUM(Tabelle27[#All],L10,L8:L9)</f>
        <v>0</v>
      </c>
      <c r="M11" s="19">
        <f>DSUM(Tabelle27[#All],M10,M8:M9)</f>
        <v>0</v>
      </c>
      <c r="N11" s="19">
        <f>DSUM(Tabelle27[#All],N10,N8:N9)</f>
        <v>-100</v>
      </c>
      <c r="O11" s="19"/>
    </row>
    <row r="14" spans="1:15" ht="15.75" thickBot="1" x14ac:dyDescent="0.3"/>
    <row r="15" spans="1:15" x14ac:dyDescent="0.25">
      <c r="A15" t="s">
        <v>247</v>
      </c>
      <c r="B15" t="s">
        <v>251</v>
      </c>
      <c r="C15" t="s">
        <v>128</v>
      </c>
      <c r="D15" t="s">
        <v>245</v>
      </c>
      <c r="F15" s="21" t="s">
        <v>252</v>
      </c>
      <c r="G15" s="22" t="s">
        <v>251</v>
      </c>
      <c r="H15" s="23" t="s">
        <v>251</v>
      </c>
      <c r="I15" s="22" t="s">
        <v>251</v>
      </c>
      <c r="J15" s="23" t="s">
        <v>251</v>
      </c>
      <c r="K15" s="22" t="s">
        <v>251</v>
      </c>
      <c r="L15" s="23" t="s">
        <v>251</v>
      </c>
      <c r="M15" s="24" t="s">
        <v>251</v>
      </c>
    </row>
    <row r="16" spans="1:15" x14ac:dyDescent="0.25">
      <c r="A16" s="20">
        <v>1872</v>
      </c>
      <c r="B16" s="17">
        <v>0.19</v>
      </c>
      <c r="C16" s="20">
        <f>Tabelle29[[#This Row],[Netto]]*Tabelle29[[#This Row],[Ust_Pct]]</f>
        <v>355.68</v>
      </c>
      <c r="D16" s="20">
        <f>Tabelle29[[#This Row],[Netto]]*(100%+Tabelle29[[#This Row],[Ust_Pct]])</f>
        <v>2227.6799999999998</v>
      </c>
      <c r="F16" s="25" t="s">
        <v>253</v>
      </c>
      <c r="G16" s="26">
        <v>0.19</v>
      </c>
      <c r="H16" s="27">
        <v>0.19</v>
      </c>
      <c r="I16" s="26">
        <v>0.19</v>
      </c>
      <c r="J16" s="27">
        <v>7.0000000000000007E-2</v>
      </c>
      <c r="K16" s="26">
        <v>7.0000000000000007E-2</v>
      </c>
      <c r="L16" s="27">
        <v>7.0000000000000007E-2</v>
      </c>
      <c r="M16" s="28">
        <v>0</v>
      </c>
    </row>
    <row r="17" spans="1:13" x14ac:dyDescent="0.25">
      <c r="A17" s="20">
        <v>372.75</v>
      </c>
      <c r="B17" s="17">
        <v>7.0000000000000007E-2</v>
      </c>
      <c r="C17" s="20">
        <f>Tabelle29[[#This Row],[Netto]]*Tabelle29[[#This Row],[Ust_Pct]]</f>
        <v>26.092500000000001</v>
      </c>
      <c r="D17" s="20">
        <f>Tabelle29[[#This Row],[Netto]]*(100%+Tabelle29[[#This Row],[Ust_Pct]])</f>
        <v>398.84250000000003</v>
      </c>
      <c r="F17" s="25" t="s">
        <v>255</v>
      </c>
      <c r="G17" s="26" t="s">
        <v>245</v>
      </c>
      <c r="H17" s="27" t="s">
        <v>128</v>
      </c>
      <c r="I17" s="26" t="s">
        <v>247</v>
      </c>
      <c r="J17" s="27" t="s">
        <v>245</v>
      </c>
      <c r="K17" s="26" t="s">
        <v>128</v>
      </c>
      <c r="L17" s="27" t="s">
        <v>247</v>
      </c>
      <c r="M17" s="28" t="s">
        <v>245</v>
      </c>
    </row>
    <row r="18" spans="1:13" ht="15.75" thickBot="1" x14ac:dyDescent="0.3">
      <c r="A18" s="20"/>
      <c r="B18" s="17"/>
      <c r="C18" s="20"/>
      <c r="D18" s="20"/>
      <c r="F18" s="29" t="s">
        <v>254</v>
      </c>
      <c r="G18" s="30">
        <f>DSUM(Tabelle29[#All],G17,G15:G16)</f>
        <v>2227.6799999999998</v>
      </c>
      <c r="H18" s="31">
        <f>DSUM(Tabelle29[#All],H17,H15:H16)</f>
        <v>355.68</v>
      </c>
      <c r="I18" s="30">
        <f>DSUM(Tabelle29[#All],I17,I15:I16)</f>
        <v>1872</v>
      </c>
      <c r="J18" s="31">
        <f>DSUM(Tabelle29[#All],J17,J15:J16)</f>
        <v>398.84250000000003</v>
      </c>
      <c r="K18" s="30">
        <f>DSUM(Tabelle29[#All],K17,K15:K16)</f>
        <v>26.092500000000001</v>
      </c>
      <c r="L18" s="31">
        <f>DSUM(Tabelle29[#All],L17,L15:L16)</f>
        <v>372.75</v>
      </c>
      <c r="M18" s="32">
        <f>DSUM(Tabelle29[#All],M17,M15:M16)</f>
        <v>0</v>
      </c>
    </row>
    <row r="19" spans="1:13" x14ac:dyDescent="0.25">
      <c r="A19" s="20"/>
      <c r="B19" s="6"/>
      <c r="C19" s="20"/>
      <c r="D19" s="20">
        <f>SUBTOTAL(109,Tabelle29[Brutto])</f>
        <v>2626.5225</v>
      </c>
    </row>
    <row r="22" spans="1:13" x14ac:dyDescent="0.25">
      <c r="F22" s="33" t="s">
        <v>258</v>
      </c>
      <c r="G22" s="6" t="s">
        <v>259</v>
      </c>
      <c r="H22" s="6" t="s">
        <v>261</v>
      </c>
      <c r="I22" s="6" t="s">
        <v>260</v>
      </c>
    </row>
    <row r="23" spans="1:13" x14ac:dyDescent="0.25">
      <c r="A23" s="6" t="s">
        <v>271</v>
      </c>
      <c r="B23" s="6" t="s">
        <v>149</v>
      </c>
      <c r="C23" t="s">
        <v>188</v>
      </c>
      <c r="D23" t="s">
        <v>26</v>
      </c>
      <c r="F23" s="34">
        <v>0.19</v>
      </c>
      <c r="G23" s="19">
        <v>2227.6799999999998</v>
      </c>
      <c r="H23" s="20">
        <v>355.68</v>
      </c>
      <c r="I23" s="20">
        <v>1872</v>
      </c>
    </row>
    <row r="24" spans="1:13" x14ac:dyDescent="0.25">
      <c r="A24" s="5" t="s">
        <v>272</v>
      </c>
      <c r="B24" s="5">
        <v>72113</v>
      </c>
      <c r="C24" s="19">
        <v>304.05</v>
      </c>
      <c r="F24" s="34">
        <v>7.0000000000000007E-2</v>
      </c>
      <c r="G24" s="19">
        <v>398.84250000000003</v>
      </c>
      <c r="H24" s="20">
        <v>26.092500000000001</v>
      </c>
      <c r="I24" s="20">
        <v>372.75</v>
      </c>
    </row>
    <row r="25" spans="1:13" x14ac:dyDescent="0.25">
      <c r="A25" s="5" t="s">
        <v>273</v>
      </c>
      <c r="B25" s="5">
        <v>72113</v>
      </c>
      <c r="C25" s="19">
        <v>370.32</v>
      </c>
      <c r="F25" s="34" t="s">
        <v>276</v>
      </c>
      <c r="G25" s="19"/>
      <c r="H25" s="20"/>
      <c r="I25" s="20"/>
    </row>
    <row r="26" spans="1:13" x14ac:dyDescent="0.25">
      <c r="A26" s="5" t="s">
        <v>274</v>
      </c>
      <c r="B26" s="5">
        <v>72113</v>
      </c>
      <c r="C26" s="19">
        <v>275.79000000000002</v>
      </c>
      <c r="D26" s="6"/>
      <c r="F26" s="34" t="s">
        <v>257</v>
      </c>
      <c r="G26" s="19">
        <v>2626.5225</v>
      </c>
      <c r="H26" s="20">
        <v>381.77250000000004</v>
      </c>
      <c r="I26" s="20">
        <v>2244.75</v>
      </c>
    </row>
    <row r="27" spans="1:13" x14ac:dyDescent="0.25">
      <c r="A27" s="5" t="s">
        <v>275</v>
      </c>
      <c r="B27" s="5">
        <v>72123</v>
      </c>
      <c r="C27" s="19">
        <v>387.35</v>
      </c>
      <c r="D27" s="6"/>
    </row>
    <row r="33" spans="1:13" x14ac:dyDescent="0.25">
      <c r="F33" s="33" t="s">
        <v>258</v>
      </c>
      <c r="G33" t="s">
        <v>264</v>
      </c>
      <c r="I33" s="33" t="s">
        <v>258</v>
      </c>
      <c r="J33" t="s">
        <v>264</v>
      </c>
    </row>
    <row r="34" spans="1:13" x14ac:dyDescent="0.25">
      <c r="F34" s="35" t="s">
        <v>276</v>
      </c>
      <c r="G34" s="20">
        <v>1337.5100000000002</v>
      </c>
      <c r="I34" s="35">
        <v>72113</v>
      </c>
      <c r="J34" s="5">
        <v>950.16000000000008</v>
      </c>
    </row>
    <row r="35" spans="1:13" x14ac:dyDescent="0.25">
      <c r="F35" s="35" t="s">
        <v>257</v>
      </c>
      <c r="G35" s="20">
        <v>1337.5100000000002</v>
      </c>
      <c r="I35" s="35">
        <v>72123</v>
      </c>
      <c r="J35" s="5">
        <v>387.35</v>
      </c>
    </row>
    <row r="36" spans="1:13" x14ac:dyDescent="0.25">
      <c r="I36" s="35" t="s">
        <v>257</v>
      </c>
      <c r="J36" s="5">
        <v>1337.5100000000002</v>
      </c>
    </row>
    <row r="40" spans="1:13" ht="15.75" thickBot="1" x14ac:dyDescent="0.3"/>
    <row r="41" spans="1:13" x14ac:dyDescent="0.25">
      <c r="E41" s="6"/>
      <c r="F41" s="21" t="s">
        <v>252</v>
      </c>
      <c r="G41" s="22" t="s">
        <v>251</v>
      </c>
      <c r="H41" s="23" t="s">
        <v>251</v>
      </c>
      <c r="I41" s="22" t="s">
        <v>251</v>
      </c>
      <c r="J41" s="23" t="s">
        <v>251</v>
      </c>
      <c r="K41" s="22" t="s">
        <v>251</v>
      </c>
      <c r="L41" s="23" t="s">
        <v>251</v>
      </c>
      <c r="M41" s="24" t="s">
        <v>251</v>
      </c>
    </row>
    <row r="42" spans="1:13" x14ac:dyDescent="0.25">
      <c r="A42" s="6" t="s">
        <v>245</v>
      </c>
      <c r="B42" s="6" t="s">
        <v>251</v>
      </c>
      <c r="C42" s="6" t="s">
        <v>247</v>
      </c>
      <c r="D42" s="6" t="s">
        <v>128</v>
      </c>
      <c r="E42" s="6"/>
      <c r="F42" s="25" t="s">
        <v>253</v>
      </c>
      <c r="G42" s="26">
        <v>0.19</v>
      </c>
      <c r="H42" s="27">
        <v>0.19</v>
      </c>
      <c r="I42" s="26">
        <v>0.19</v>
      </c>
      <c r="J42" s="27">
        <v>7.0000000000000007E-2</v>
      </c>
      <c r="K42" s="26">
        <v>7.0000000000000007E-2</v>
      </c>
      <c r="L42" s="27">
        <v>7.0000000000000007E-2</v>
      </c>
      <c r="M42" s="28">
        <v>0</v>
      </c>
    </row>
    <row r="43" spans="1:13" x14ac:dyDescent="0.25">
      <c r="A43" s="20">
        <v>78.58</v>
      </c>
      <c r="B43" s="17">
        <v>7.0000000000000007E-2</v>
      </c>
      <c r="C43" s="20">
        <f>Tabelle2934[[#This Row],[Brutto]] / (100%+Tabelle2934[[#This Row],[Ust_Pct]])</f>
        <v>73.43925233644859</v>
      </c>
      <c r="D43" s="20">
        <f>Tabelle2934[[#This Row],[Brutto]] - Tabelle2934[[#This Row],[Netto]]</f>
        <v>5.1407476635514087</v>
      </c>
      <c r="E43" s="6"/>
      <c r="F43" s="25" t="s">
        <v>255</v>
      </c>
      <c r="G43" s="26" t="s">
        <v>245</v>
      </c>
      <c r="H43" s="27" t="s">
        <v>128</v>
      </c>
      <c r="I43" s="26" t="s">
        <v>247</v>
      </c>
      <c r="J43" s="27" t="s">
        <v>245</v>
      </c>
      <c r="K43" s="26" t="s">
        <v>128</v>
      </c>
      <c r="L43" s="27" t="s">
        <v>247</v>
      </c>
      <c r="M43" s="28" t="s">
        <v>245</v>
      </c>
    </row>
    <row r="44" spans="1:13" ht="15.75" thickBot="1" x14ac:dyDescent="0.3">
      <c r="A44" s="20">
        <v>100.95</v>
      </c>
      <c r="B44" s="17">
        <v>7.0000000000000007E-2</v>
      </c>
      <c r="C44" s="20">
        <f>Tabelle2934[[#This Row],[Brutto]] / (100%+Tabelle2934[[#This Row],[Ust_Pct]])</f>
        <v>94.345794392523359</v>
      </c>
      <c r="D44" s="20">
        <f>Tabelle2934[[#This Row],[Brutto]] - Tabelle2934[[#This Row],[Netto]]</f>
        <v>6.6042056074766435</v>
      </c>
      <c r="E44" s="6"/>
      <c r="F44" s="29" t="s">
        <v>254</v>
      </c>
      <c r="G44" s="30">
        <f>DSUM(Tabelle2934[#All],G43,G41:G42)</f>
        <v>10</v>
      </c>
      <c r="H44" s="31">
        <f>DSUM(Tabelle2934[#All],H43,H41:H42)</f>
        <v>1.5966386554621845</v>
      </c>
      <c r="I44" s="30">
        <f>DSUM(Tabelle2934[#All],I43,I41:I42)</f>
        <v>8.4033613445378155</v>
      </c>
      <c r="J44" s="31">
        <f>DSUM(Tabelle2934[#All],J43,J41:J42)</f>
        <v>179.53</v>
      </c>
      <c r="K44" s="30">
        <f>DSUM(Tabelle2934[#All],K43,K41:K42)</f>
        <v>11.744953271028052</v>
      </c>
      <c r="L44" s="31">
        <f>DSUM(Tabelle2934[#All],L43,L41:L42)</f>
        <v>167.78504672897196</v>
      </c>
      <c r="M44" s="32">
        <f>DSUM(Tabelle2934[#All],M43,M41:M42)</f>
        <v>0</v>
      </c>
    </row>
    <row r="45" spans="1:13" x14ac:dyDescent="0.25">
      <c r="A45" s="20">
        <v>10</v>
      </c>
      <c r="B45" s="17">
        <v>0.19</v>
      </c>
      <c r="C45" s="20">
        <f>Tabelle2934[[#This Row],[Brutto]] / (100%+Tabelle2934[[#This Row],[Ust_Pct]])</f>
        <v>8.4033613445378155</v>
      </c>
      <c r="D45" s="20">
        <f>Tabelle2934[[#This Row],[Brutto]] - Tabelle2934[[#This Row],[Netto]]</f>
        <v>1.5966386554621845</v>
      </c>
    </row>
  </sheetData>
  <pageMargins left="0.7" right="0.7" top="0.78740157499999996" bottom="0.78740157499999996" header="0.3" footer="0.3"/>
  <pageSetup paperSize="9" orientation="portrait" horizontalDpi="1200" verticalDpi="1200" r:id="rId4"/>
  <tableParts count="5"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60"/>
  <sheetViews>
    <sheetView zoomScaleNormal="100" workbookViewId="0">
      <selection activeCell="E13" sqref="E13"/>
    </sheetView>
  </sheetViews>
  <sheetFormatPr baseColWidth="10" defaultRowHeight="15" x14ac:dyDescent="0.25"/>
  <cols>
    <col min="1" max="1" width="59.140625" bestFit="1" customWidth="1"/>
    <col min="2" max="2" width="30.28515625" bestFit="1" customWidth="1"/>
    <col min="4" max="4" width="28.5703125" bestFit="1" customWidth="1"/>
    <col min="5" max="5" width="30.140625" customWidth="1"/>
    <col min="12" max="12" width="20.28515625" bestFit="1" customWidth="1"/>
    <col min="13" max="13" width="23.140625" bestFit="1" customWidth="1"/>
  </cols>
  <sheetData>
    <row r="1" spans="1:10" x14ac:dyDescent="0.25">
      <c r="A1" t="s">
        <v>0</v>
      </c>
      <c r="B1" t="s">
        <v>1</v>
      </c>
      <c r="D1" t="s">
        <v>12</v>
      </c>
      <c r="E1" t="s">
        <v>13</v>
      </c>
    </row>
    <row r="2" spans="1:10" x14ac:dyDescent="0.25">
      <c r="A2" t="s">
        <v>2</v>
      </c>
      <c r="B2" t="s">
        <v>3</v>
      </c>
      <c r="D2" t="s">
        <v>11</v>
      </c>
      <c r="E2" t="s">
        <v>10</v>
      </c>
    </row>
    <row r="3" spans="1:10" x14ac:dyDescent="0.25">
      <c r="A3" t="s">
        <v>4</v>
      </c>
      <c r="B3" t="s">
        <v>5</v>
      </c>
    </row>
    <row r="4" spans="1:10" x14ac:dyDescent="0.25">
      <c r="A4" t="s">
        <v>6</v>
      </c>
      <c r="B4" t="s">
        <v>7</v>
      </c>
      <c r="D4" t="s">
        <v>42</v>
      </c>
      <c r="E4" t="s">
        <v>26</v>
      </c>
      <c r="H4" t="s">
        <v>47</v>
      </c>
      <c r="I4" t="s">
        <v>48</v>
      </c>
      <c r="J4" t="s">
        <v>53</v>
      </c>
    </row>
    <row r="5" spans="1:10" x14ac:dyDescent="0.25">
      <c r="A5" t="s">
        <v>8</v>
      </c>
      <c r="B5" t="s">
        <v>9</v>
      </c>
      <c r="D5">
        <v>1570</v>
      </c>
      <c r="E5" t="s">
        <v>43</v>
      </c>
      <c r="H5">
        <v>1</v>
      </c>
      <c r="I5" s="1">
        <v>7.0000000000000007E-2</v>
      </c>
      <c r="J5" t="s">
        <v>54</v>
      </c>
    </row>
    <row r="6" spans="1:10" x14ac:dyDescent="0.25">
      <c r="A6" t="s">
        <v>14</v>
      </c>
      <c r="B6" t="s">
        <v>15</v>
      </c>
      <c r="D6">
        <v>1588</v>
      </c>
      <c r="E6" t="s">
        <v>32</v>
      </c>
      <c r="H6">
        <v>11</v>
      </c>
      <c r="I6" s="1">
        <v>7.0000000000000007E-2</v>
      </c>
      <c r="J6" t="s">
        <v>55</v>
      </c>
    </row>
    <row r="7" spans="1:10" x14ac:dyDescent="0.25">
      <c r="A7" t="s">
        <v>16</v>
      </c>
      <c r="B7" t="s">
        <v>15</v>
      </c>
      <c r="D7" s="6">
        <v>3850</v>
      </c>
      <c r="E7" s="6" t="s">
        <v>295</v>
      </c>
      <c r="H7">
        <v>12</v>
      </c>
      <c r="I7" s="1">
        <v>0.19</v>
      </c>
      <c r="J7" t="s">
        <v>55</v>
      </c>
    </row>
    <row r="8" spans="1:10" x14ac:dyDescent="0.25">
      <c r="A8" t="s">
        <v>17</v>
      </c>
      <c r="B8" t="s">
        <v>18</v>
      </c>
      <c r="D8">
        <v>3200</v>
      </c>
      <c r="E8" t="s">
        <v>44</v>
      </c>
      <c r="H8">
        <v>21</v>
      </c>
      <c r="I8" s="1">
        <v>0.19</v>
      </c>
      <c r="J8" t="s">
        <v>56</v>
      </c>
    </row>
    <row r="9" spans="1:10" x14ac:dyDescent="0.25">
      <c r="A9" t="s">
        <v>19</v>
      </c>
      <c r="B9" t="s">
        <v>20</v>
      </c>
      <c r="D9" s="6">
        <v>3426</v>
      </c>
      <c r="E9" s="6" t="s">
        <v>220</v>
      </c>
      <c r="H9">
        <v>90</v>
      </c>
      <c r="I9" s="1">
        <v>0</v>
      </c>
      <c r="J9" t="s">
        <v>57</v>
      </c>
    </row>
    <row r="10" spans="1:10" x14ac:dyDescent="0.25">
      <c r="A10" t="s">
        <v>21</v>
      </c>
      <c r="B10" t="s">
        <v>22</v>
      </c>
      <c r="D10">
        <v>4933</v>
      </c>
      <c r="E10" t="s">
        <v>49</v>
      </c>
      <c r="H10">
        <v>91</v>
      </c>
      <c r="I10" s="1">
        <v>0</v>
      </c>
      <c r="J10" t="s">
        <v>54</v>
      </c>
    </row>
    <row r="11" spans="1:10" x14ac:dyDescent="0.25">
      <c r="A11" t="s">
        <v>27</v>
      </c>
      <c r="B11" t="s">
        <v>28</v>
      </c>
      <c r="D11">
        <v>4500</v>
      </c>
      <c r="E11" t="s">
        <v>52</v>
      </c>
      <c r="H11">
        <v>97</v>
      </c>
      <c r="I11" s="1">
        <v>0</v>
      </c>
      <c r="J11" t="s">
        <v>58</v>
      </c>
    </row>
    <row r="12" spans="1:10" x14ac:dyDescent="0.25">
      <c r="A12" t="s">
        <v>209</v>
      </c>
      <c r="B12" t="s">
        <v>51</v>
      </c>
      <c r="D12">
        <v>4735</v>
      </c>
      <c r="E12" t="s">
        <v>61</v>
      </c>
      <c r="H12">
        <v>98</v>
      </c>
      <c r="I12" s="1">
        <v>0.19</v>
      </c>
      <c r="J12" t="s">
        <v>59</v>
      </c>
    </row>
    <row r="13" spans="1:10" x14ac:dyDescent="0.25">
      <c r="A13" t="s">
        <v>65</v>
      </c>
      <c r="B13" t="s">
        <v>64</v>
      </c>
      <c r="D13">
        <v>4736</v>
      </c>
      <c r="E13" t="s">
        <v>62</v>
      </c>
      <c r="H13">
        <v>99</v>
      </c>
      <c r="I13" s="1">
        <v>0.19</v>
      </c>
      <c r="J13" t="s">
        <v>60</v>
      </c>
    </row>
    <row r="14" spans="1:10" x14ac:dyDescent="0.25">
      <c r="A14" s="6" t="s">
        <v>237</v>
      </c>
      <c r="B14" s="6" t="s">
        <v>64</v>
      </c>
      <c r="D14">
        <v>4737</v>
      </c>
      <c r="E14" t="s">
        <v>69</v>
      </c>
    </row>
    <row r="15" spans="1:10" x14ac:dyDescent="0.25">
      <c r="A15" t="s">
        <v>66</v>
      </c>
      <c r="B15" t="s">
        <v>67</v>
      </c>
      <c r="D15">
        <v>4738</v>
      </c>
      <c r="E15" t="s">
        <v>70</v>
      </c>
    </row>
    <row r="16" spans="1:10" x14ac:dyDescent="0.25">
      <c r="A16" t="s">
        <v>73</v>
      </c>
      <c r="B16" t="s">
        <v>74</v>
      </c>
      <c r="D16">
        <v>4739</v>
      </c>
      <c r="E16" t="s">
        <v>71</v>
      </c>
    </row>
    <row r="17" spans="1:14" x14ac:dyDescent="0.25">
      <c r="A17" t="s">
        <v>75</v>
      </c>
      <c r="B17" t="s">
        <v>76</v>
      </c>
      <c r="D17">
        <v>4740</v>
      </c>
      <c r="E17" t="s">
        <v>72</v>
      </c>
    </row>
    <row r="18" spans="1:14" x14ac:dyDescent="0.25">
      <c r="A18" t="s">
        <v>77</v>
      </c>
      <c r="B18" t="s">
        <v>78</v>
      </c>
      <c r="D18">
        <v>1510</v>
      </c>
      <c r="E18" t="s">
        <v>256</v>
      </c>
    </row>
    <row r="19" spans="1:14" x14ac:dyDescent="0.25">
      <c r="A19" t="s">
        <v>88</v>
      </c>
      <c r="B19" t="s">
        <v>89</v>
      </c>
      <c r="H19" s="7" t="s">
        <v>188</v>
      </c>
    </row>
    <row r="20" spans="1:14" x14ac:dyDescent="0.25">
      <c r="A20" t="s">
        <v>90</v>
      </c>
      <c r="B20" t="s">
        <v>91</v>
      </c>
      <c r="H20" s="7">
        <v>110</v>
      </c>
    </row>
    <row r="21" spans="1:14" x14ac:dyDescent="0.25">
      <c r="A21" t="s">
        <v>92</v>
      </c>
      <c r="B21" t="s">
        <v>93</v>
      </c>
      <c r="H21" s="7">
        <v>135</v>
      </c>
    </row>
    <row r="22" spans="1:14" x14ac:dyDescent="0.25">
      <c r="A22" t="s">
        <v>95</v>
      </c>
      <c r="B22" t="s">
        <v>96</v>
      </c>
      <c r="H22" s="7">
        <f>SUBTOTAL(109,Tabelle20[Betrag])</f>
        <v>245</v>
      </c>
    </row>
    <row r="23" spans="1:14" x14ac:dyDescent="0.25">
      <c r="A23" t="s">
        <v>97</v>
      </c>
      <c r="B23" t="s">
        <v>98</v>
      </c>
      <c r="D23" t="s">
        <v>29</v>
      </c>
      <c r="E23" t="s">
        <v>30</v>
      </c>
      <c r="H23" s="7"/>
      <c r="L23" t="s">
        <v>29</v>
      </c>
      <c r="M23" t="s">
        <v>338</v>
      </c>
      <c r="N23" t="s">
        <v>365</v>
      </c>
    </row>
    <row r="24" spans="1:14" x14ac:dyDescent="0.25">
      <c r="A24" t="s">
        <v>99</v>
      </c>
      <c r="B24" t="s">
        <v>100</v>
      </c>
      <c r="D24" t="s">
        <v>35</v>
      </c>
      <c r="E24" t="s">
        <v>36</v>
      </c>
      <c r="L24" t="s">
        <v>339</v>
      </c>
      <c r="M24" t="s">
        <v>353</v>
      </c>
    </row>
    <row r="25" spans="1:14" x14ac:dyDescent="0.25">
      <c r="A25" t="s">
        <v>101</v>
      </c>
      <c r="B25" t="s">
        <v>102</v>
      </c>
      <c r="D25" s="6" t="s">
        <v>39</v>
      </c>
      <c r="E25" s="6" t="s">
        <v>40</v>
      </c>
      <c r="H25" t="s">
        <v>3</v>
      </c>
      <c r="L25" t="s">
        <v>340</v>
      </c>
      <c r="M25" t="s">
        <v>340</v>
      </c>
    </row>
    <row r="26" spans="1:14" x14ac:dyDescent="0.25">
      <c r="A26" t="s">
        <v>103</v>
      </c>
      <c r="B26" t="s">
        <v>104</v>
      </c>
      <c r="D26" s="6" t="s">
        <v>265</v>
      </c>
      <c r="E26" t="s">
        <v>266</v>
      </c>
      <c r="H26" s="6" t="s">
        <v>226</v>
      </c>
      <c r="I26" s="6" t="s">
        <v>26</v>
      </c>
      <c r="L26" t="s">
        <v>341</v>
      </c>
      <c r="M26" t="s">
        <v>354</v>
      </c>
      <c r="N26" t="s">
        <v>366</v>
      </c>
    </row>
    <row r="27" spans="1:14" x14ac:dyDescent="0.25">
      <c r="A27" t="s">
        <v>192</v>
      </c>
      <c r="B27" t="s">
        <v>193</v>
      </c>
      <c r="D27" t="s">
        <v>267</v>
      </c>
      <c r="E27" t="s">
        <v>268</v>
      </c>
      <c r="H27">
        <v>803522</v>
      </c>
      <c r="I27" t="s">
        <v>224</v>
      </c>
      <c r="L27" t="s">
        <v>342</v>
      </c>
      <c r="M27" t="s">
        <v>355</v>
      </c>
      <c r="N27" t="s">
        <v>366</v>
      </c>
    </row>
    <row r="28" spans="1:14" x14ac:dyDescent="0.25">
      <c r="A28" t="s">
        <v>210</v>
      </c>
      <c r="B28" t="s">
        <v>211</v>
      </c>
      <c r="D28" s="3" t="s">
        <v>31</v>
      </c>
      <c r="E28" s="3" t="s">
        <v>32</v>
      </c>
      <c r="H28">
        <v>800529</v>
      </c>
      <c r="I28" t="s">
        <v>225</v>
      </c>
      <c r="L28" t="s">
        <v>343</v>
      </c>
      <c r="M28" t="s">
        <v>356</v>
      </c>
    </row>
    <row r="29" spans="1:14" x14ac:dyDescent="0.25">
      <c r="A29" s="6" t="s">
        <v>222</v>
      </c>
      <c r="B29" s="6" t="s">
        <v>223</v>
      </c>
      <c r="D29" t="s">
        <v>293</v>
      </c>
      <c r="E29" t="s">
        <v>294</v>
      </c>
      <c r="L29" t="s">
        <v>344</v>
      </c>
      <c r="M29" t="s">
        <v>357</v>
      </c>
      <c r="N29" t="s">
        <v>367</v>
      </c>
    </row>
    <row r="30" spans="1:14" x14ac:dyDescent="0.25">
      <c r="A30" s="6" t="s">
        <v>283</v>
      </c>
      <c r="B30" s="6" t="s">
        <v>284</v>
      </c>
      <c r="D30" s="6" t="s">
        <v>331</v>
      </c>
      <c r="E30" s="6" t="s">
        <v>332</v>
      </c>
      <c r="L30" t="s">
        <v>345</v>
      </c>
      <c r="M30" t="s">
        <v>358</v>
      </c>
      <c r="N30" t="s">
        <v>368</v>
      </c>
    </row>
    <row r="31" spans="1:14" x14ac:dyDescent="0.25">
      <c r="A31" t="s">
        <v>48</v>
      </c>
      <c r="B31" t="s">
        <v>47</v>
      </c>
      <c r="D31" s="6" t="s">
        <v>333</v>
      </c>
      <c r="E31" s="6" t="s">
        <v>332</v>
      </c>
      <c r="L31" t="s">
        <v>346</v>
      </c>
      <c r="M31" t="s">
        <v>359</v>
      </c>
      <c r="N31" s="6" t="s">
        <v>368</v>
      </c>
    </row>
    <row r="32" spans="1:14" x14ac:dyDescent="0.25">
      <c r="A32">
        <v>71</v>
      </c>
      <c r="B32" t="s">
        <v>45</v>
      </c>
      <c r="D32" s="6" t="s">
        <v>216</v>
      </c>
      <c r="E32" s="6" t="s">
        <v>217</v>
      </c>
      <c r="L32" t="s">
        <v>347</v>
      </c>
      <c r="M32" t="s">
        <v>360</v>
      </c>
      <c r="N32" s="6" t="s">
        <v>368</v>
      </c>
    </row>
    <row r="33" spans="1:14" x14ac:dyDescent="0.25">
      <c r="A33">
        <v>72</v>
      </c>
      <c r="B33" t="s">
        <v>46</v>
      </c>
      <c r="D33" t="s">
        <v>218</v>
      </c>
      <c r="E33" t="s">
        <v>219</v>
      </c>
      <c r="L33" t="s">
        <v>348</v>
      </c>
      <c r="M33" t="s">
        <v>361</v>
      </c>
      <c r="N33" s="6" t="s">
        <v>368</v>
      </c>
    </row>
    <row r="34" spans="1:14" x14ac:dyDescent="0.25">
      <c r="A34">
        <v>73</v>
      </c>
      <c r="D34" s="6" t="s">
        <v>311</v>
      </c>
      <c r="E34" t="s">
        <v>224</v>
      </c>
      <c r="L34" t="s">
        <v>349</v>
      </c>
      <c r="M34" t="s">
        <v>357</v>
      </c>
      <c r="N34" s="6" t="s">
        <v>368</v>
      </c>
    </row>
    <row r="35" spans="1:14" x14ac:dyDescent="0.25">
      <c r="A35">
        <v>75</v>
      </c>
      <c r="B35" t="s">
        <v>63</v>
      </c>
      <c r="D35" s="6" t="s">
        <v>329</v>
      </c>
      <c r="E35" s="6" t="s">
        <v>330</v>
      </c>
      <c r="L35" t="s">
        <v>350</v>
      </c>
      <c r="M35" t="s">
        <v>362</v>
      </c>
      <c r="N35" s="6" t="s">
        <v>368</v>
      </c>
    </row>
    <row r="36" spans="1:14" x14ac:dyDescent="0.25">
      <c r="A36">
        <v>108</v>
      </c>
      <c r="B36" t="s">
        <v>130</v>
      </c>
      <c r="D36" s="6" t="s">
        <v>319</v>
      </c>
      <c r="E36" s="6" t="s">
        <v>320</v>
      </c>
      <c r="L36" t="s">
        <v>351</v>
      </c>
      <c r="M36" t="s">
        <v>363</v>
      </c>
      <c r="N36" t="s">
        <v>369</v>
      </c>
    </row>
    <row r="37" spans="1:14" x14ac:dyDescent="0.25">
      <c r="A37">
        <v>130</v>
      </c>
      <c r="B37" t="s">
        <v>221</v>
      </c>
      <c r="D37" s="6" t="s">
        <v>238</v>
      </c>
      <c r="E37" s="6" t="s">
        <v>239</v>
      </c>
      <c r="L37" t="s">
        <v>352</v>
      </c>
      <c r="M37" t="s">
        <v>364</v>
      </c>
    </row>
    <row r="38" spans="1:14" x14ac:dyDescent="0.25">
      <c r="D38" s="6" t="s">
        <v>321</v>
      </c>
      <c r="E38" s="6" t="s">
        <v>322</v>
      </c>
    </row>
    <row r="39" spans="1:14" x14ac:dyDescent="0.25">
      <c r="D39" s="6" t="s">
        <v>41</v>
      </c>
      <c r="E39" t="s">
        <v>50</v>
      </c>
    </row>
    <row r="40" spans="1:14" x14ac:dyDescent="0.25">
      <c r="D40" t="s">
        <v>308</v>
      </c>
      <c r="E40" t="s">
        <v>309</v>
      </c>
    </row>
    <row r="41" spans="1:14" x14ac:dyDescent="0.25">
      <c r="D41" t="s">
        <v>310</v>
      </c>
      <c r="E41" t="s">
        <v>312</v>
      </c>
    </row>
    <row r="42" spans="1:14" x14ac:dyDescent="0.25">
      <c r="D42" t="s">
        <v>300</v>
      </c>
      <c r="E42" t="s">
        <v>301</v>
      </c>
    </row>
    <row r="43" spans="1:14" x14ac:dyDescent="0.25">
      <c r="D43" t="s">
        <v>186</v>
      </c>
      <c r="E43" t="s">
        <v>187</v>
      </c>
    </row>
    <row r="44" spans="1:14" x14ac:dyDescent="0.25">
      <c r="D44" s="2" t="s">
        <v>33</v>
      </c>
      <c r="E44" t="s">
        <v>34</v>
      </c>
    </row>
    <row r="45" spans="1:14" x14ac:dyDescent="0.25">
      <c r="D45" t="s">
        <v>285</v>
      </c>
      <c r="E45" t="s">
        <v>286</v>
      </c>
    </row>
    <row r="46" spans="1:14" x14ac:dyDescent="0.25">
      <c r="D46" t="s">
        <v>302</v>
      </c>
      <c r="E46" t="s">
        <v>303</v>
      </c>
    </row>
    <row r="47" spans="1:14" x14ac:dyDescent="0.25">
      <c r="D47" t="s">
        <v>337</v>
      </c>
      <c r="E47" t="s">
        <v>336</v>
      </c>
    </row>
    <row r="48" spans="1:14" x14ac:dyDescent="0.25">
      <c r="D48" t="s">
        <v>269</v>
      </c>
      <c r="E48" t="s">
        <v>270</v>
      </c>
    </row>
    <row r="49" spans="4:5" x14ac:dyDescent="0.25">
      <c r="D49" t="s">
        <v>323</v>
      </c>
      <c r="E49" t="s">
        <v>324</v>
      </c>
    </row>
    <row r="50" spans="4:5" x14ac:dyDescent="0.25">
      <c r="D50" t="s">
        <v>280</v>
      </c>
      <c r="E50" t="s">
        <v>282</v>
      </c>
    </row>
    <row r="51" spans="4:5" x14ac:dyDescent="0.25">
      <c r="D51" t="s">
        <v>38</v>
      </c>
      <c r="E51" t="s">
        <v>37</v>
      </c>
    </row>
    <row r="52" spans="4:5" x14ac:dyDescent="0.25">
      <c r="D52" t="s">
        <v>184</v>
      </c>
      <c r="E52" t="s">
        <v>68</v>
      </c>
    </row>
    <row r="53" spans="4:5" x14ac:dyDescent="0.25">
      <c r="D53" t="s">
        <v>262</v>
      </c>
      <c r="E53" t="s">
        <v>263</v>
      </c>
    </row>
    <row r="54" spans="4:5" x14ac:dyDescent="0.25">
      <c r="D54" t="s">
        <v>317</v>
      </c>
      <c r="E54" t="s">
        <v>318</v>
      </c>
    </row>
    <row r="55" spans="4:5" x14ac:dyDescent="0.25">
      <c r="D55" t="s">
        <v>185</v>
      </c>
      <c r="E55" t="s">
        <v>68</v>
      </c>
    </row>
    <row r="56" spans="4:5" x14ac:dyDescent="0.25">
      <c r="D56" t="s">
        <v>279</v>
      </c>
      <c r="E56" t="s">
        <v>281</v>
      </c>
    </row>
    <row r="57" spans="4:5" x14ac:dyDescent="0.25">
      <c r="D57" t="s">
        <v>291</v>
      </c>
      <c r="E57" t="s">
        <v>292</v>
      </c>
    </row>
    <row r="58" spans="4:5" x14ac:dyDescent="0.25">
      <c r="D58" t="s">
        <v>334</v>
      </c>
      <c r="E58" t="s">
        <v>335</v>
      </c>
    </row>
    <row r="59" spans="4:5" x14ac:dyDescent="0.25">
      <c r="D59" t="s">
        <v>162</v>
      </c>
      <c r="E59" t="s">
        <v>163</v>
      </c>
    </row>
    <row r="60" spans="4:5" x14ac:dyDescent="0.25">
      <c r="D60" t="s">
        <v>384</v>
      </c>
      <c r="E60" t="s">
        <v>385</v>
      </c>
    </row>
  </sheetData>
  <pageMargins left="0.7" right="0.7" top="0.78740157499999996" bottom="0.78740157499999996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55"/>
  <sheetViews>
    <sheetView topLeftCell="F1" zoomScale="70" zoomScaleNormal="70" workbookViewId="0">
      <selection activeCell="P34" sqref="P34"/>
    </sheetView>
  </sheetViews>
  <sheetFormatPr baseColWidth="10" defaultRowHeight="15" x14ac:dyDescent="0.25"/>
  <cols>
    <col min="1" max="1" width="18.7109375" style="8" customWidth="1"/>
    <col min="2" max="2" width="26" style="8" bestFit="1" customWidth="1"/>
    <col min="3" max="4" width="11.42578125" style="8"/>
    <col min="5" max="5" width="26.42578125" style="8" bestFit="1" customWidth="1"/>
    <col min="6" max="6" width="22" style="8" bestFit="1" customWidth="1"/>
    <col min="7" max="7" width="11.42578125" style="8"/>
    <col min="8" max="8" width="27.85546875" style="8" bestFit="1" customWidth="1"/>
    <col min="9" max="9" width="11.42578125" style="8"/>
    <col min="10" max="10" width="14.28515625" style="8" bestFit="1" customWidth="1"/>
    <col min="11" max="12" width="11.42578125" style="8"/>
    <col min="13" max="13" width="14.42578125" style="8" customWidth="1"/>
    <col min="14" max="14" width="12.7109375" style="8" customWidth="1"/>
    <col min="15" max="15" width="15.7109375" style="8" customWidth="1"/>
    <col min="16" max="16384" width="11.42578125" style="8"/>
  </cols>
  <sheetData>
    <row r="1" spans="1:15" x14ac:dyDescent="0.25">
      <c r="A1" s="8" t="s">
        <v>106</v>
      </c>
      <c r="B1" s="8" t="s">
        <v>123</v>
      </c>
      <c r="C1" s="8" t="s">
        <v>128</v>
      </c>
      <c r="D1" s="8" t="s">
        <v>174</v>
      </c>
      <c r="E1" s="8" t="s">
        <v>127</v>
      </c>
      <c r="F1" s="8" t="s">
        <v>123</v>
      </c>
      <c r="G1" s="8" t="s">
        <v>82</v>
      </c>
      <c r="J1" s="8" t="s">
        <v>47</v>
      </c>
      <c r="K1" s="8" t="s">
        <v>48</v>
      </c>
      <c r="L1" s="39" t="s">
        <v>166</v>
      </c>
      <c r="M1" s="39" t="s">
        <v>169</v>
      </c>
      <c r="N1" s="39" t="s">
        <v>288</v>
      </c>
      <c r="O1" s="39" t="s">
        <v>289</v>
      </c>
    </row>
    <row r="2" spans="1:15" x14ac:dyDescent="0.25">
      <c r="A2" s="8">
        <v>4970</v>
      </c>
      <c r="B2" s="8" t="s">
        <v>287</v>
      </c>
      <c r="E2" s="8" t="s">
        <v>124</v>
      </c>
      <c r="F2" s="8" t="s">
        <v>125</v>
      </c>
      <c r="G2" s="8">
        <v>71321</v>
      </c>
      <c r="J2" s="8">
        <v>198</v>
      </c>
      <c r="L2" s="39">
        <v>517.32000000000005</v>
      </c>
      <c r="M2" s="39">
        <v>496.62</v>
      </c>
      <c r="N2" s="39">
        <f>Tabelle32[[#This Row],[Betr]]-Tabelle32[[#This Row],[Gesamt]]</f>
        <v>20.700000000000045</v>
      </c>
      <c r="O2" s="40">
        <f>Tabelle32[[#This Row],[Abzug]]/Tabelle32[[#This Row],[Betr]]</f>
        <v>4.0013917884481644E-2</v>
      </c>
    </row>
    <row r="3" spans="1:15" x14ac:dyDescent="0.25">
      <c r="A3" s="8">
        <v>1362</v>
      </c>
      <c r="B3" s="8" t="s">
        <v>131</v>
      </c>
      <c r="J3" s="8">
        <v>-204.6</v>
      </c>
      <c r="L3" s="39">
        <v>520.02</v>
      </c>
      <c r="M3" s="39">
        <v>499.21</v>
      </c>
      <c r="N3" s="39">
        <f>Tabelle32[[#This Row],[Betr]]-Tabelle32[[#This Row],[Gesamt]]</f>
        <v>20.810000000000002</v>
      </c>
      <c r="O3" s="40">
        <f>Tabelle32[[#This Row],[Abzug]]/Tabelle32[[#This Row],[Betr]]</f>
        <v>4.0017691627245111E-2</v>
      </c>
    </row>
    <row r="4" spans="1:15" x14ac:dyDescent="0.25">
      <c r="A4" s="8">
        <v>1364</v>
      </c>
      <c r="B4" s="8" t="s">
        <v>177</v>
      </c>
      <c r="E4" s="8" t="s">
        <v>47</v>
      </c>
      <c r="F4" s="9" t="s">
        <v>48</v>
      </c>
      <c r="G4" s="8" t="s">
        <v>126</v>
      </c>
      <c r="H4" s="10" t="s">
        <v>164</v>
      </c>
      <c r="J4" s="8">
        <v>-3</v>
      </c>
      <c r="L4" s="39">
        <v>425.39</v>
      </c>
      <c r="M4" s="39">
        <v>408.37</v>
      </c>
      <c r="N4" s="39">
        <f>Tabelle32[[#This Row],[Betr]]-Tabelle32[[#This Row],[Gesamt]]</f>
        <v>17.019999999999982</v>
      </c>
      <c r="O4" s="40">
        <f>Tabelle32[[#This Row],[Abzug]]/Tabelle32[[#This Row],[Betr]]</f>
        <v>4.0010343449540381E-2</v>
      </c>
    </row>
    <row r="5" spans="1:15" x14ac:dyDescent="0.25">
      <c r="A5" s="8">
        <v>1598</v>
      </c>
      <c r="B5" s="8" t="s">
        <v>122</v>
      </c>
      <c r="E5" s="11">
        <v>187.79</v>
      </c>
      <c r="F5" s="9">
        <v>0.03</v>
      </c>
      <c r="G5" s="12">
        <f>Tabelle13[[#This Row],[Spalte1]]*Tabelle13[[#This Row],[Spalte2]]</f>
        <v>5.6336999999999993</v>
      </c>
      <c r="H5" s="10">
        <f>Tabelle13[[#This Row],[Spalte1]]*(100%-Tabelle13[[#This Row],[Spalte2]])</f>
        <v>182.15629999999999</v>
      </c>
      <c r="J5" s="8">
        <f>SUBTOTAL(109,Tabelle15[Spalte1])</f>
        <v>-9.5999999999999943</v>
      </c>
      <c r="K5" s="8">
        <f>SUBTOTAL(109,Tabelle15[Spalte2])</f>
        <v>0</v>
      </c>
      <c r="L5" s="39">
        <f>SUBTOTAL(109,Tabelle32[Betr])</f>
        <v>1462.73</v>
      </c>
      <c r="M5" s="39">
        <f>SUBTOTAL(109,Tabelle32[Gesamt])</f>
        <v>1404.1999999999998</v>
      </c>
      <c r="N5" s="39">
        <f>SUBTOTAL(109,Tabelle32[Abzug])</f>
        <v>58.53000000000003</v>
      </c>
    </row>
    <row r="6" spans="1:15" x14ac:dyDescent="0.25">
      <c r="A6" s="8">
        <v>1593</v>
      </c>
      <c r="B6" s="8" t="s">
        <v>132</v>
      </c>
      <c r="C6" s="9">
        <v>0</v>
      </c>
      <c r="E6" s="11">
        <v>1534.38</v>
      </c>
      <c r="F6" s="9">
        <v>0.02</v>
      </c>
      <c r="G6" s="12">
        <f>Tabelle13[[#This Row],[Spalte1]]*Tabelle13[[#This Row],[Spalte2]]</f>
        <v>30.687600000000003</v>
      </c>
      <c r="H6" s="10">
        <f>Tabelle13[[#This Row],[Spalte1]]*(100%-Tabelle13[[#This Row],[Spalte2]])</f>
        <v>1503.6924000000001</v>
      </c>
    </row>
    <row r="7" spans="1:15" x14ac:dyDescent="0.25">
      <c r="A7" s="8">
        <v>1599</v>
      </c>
      <c r="B7" s="8" t="s">
        <v>133</v>
      </c>
      <c r="C7" s="9">
        <v>0</v>
      </c>
      <c r="E7" s="11">
        <v>289.35000000000002</v>
      </c>
      <c r="F7" s="9">
        <v>0.01</v>
      </c>
      <c r="G7" s="12">
        <f>Tabelle13[[#This Row],[Spalte1]]*Tabelle13[[#This Row],[Spalte2]]</f>
        <v>2.8935000000000004</v>
      </c>
      <c r="H7" s="10">
        <f>Tabelle13[[#This Row],[Spalte1]]*(100%-Tabelle13[[#This Row],[Spalte2]])</f>
        <v>286.45650000000001</v>
      </c>
    </row>
    <row r="8" spans="1:15" x14ac:dyDescent="0.25">
      <c r="A8" s="8" t="s">
        <v>205</v>
      </c>
      <c r="B8" s="8" t="s">
        <v>204</v>
      </c>
    </row>
    <row r="9" spans="1:15" x14ac:dyDescent="0.25">
      <c r="A9" s="8" t="s">
        <v>277</v>
      </c>
      <c r="B9" s="8" t="s">
        <v>278</v>
      </c>
      <c r="C9" s="9">
        <v>0</v>
      </c>
    </row>
    <row r="10" spans="1:15" x14ac:dyDescent="0.25">
      <c r="A10" s="8">
        <v>4360</v>
      </c>
      <c r="B10" s="8" t="s">
        <v>178</v>
      </c>
      <c r="C10" s="9"/>
    </row>
    <row r="11" spans="1:15" x14ac:dyDescent="0.25">
      <c r="A11" s="8">
        <v>8302</v>
      </c>
      <c r="B11" s="8" t="s">
        <v>129</v>
      </c>
      <c r="C11" s="9">
        <v>7.0000000000000007E-2</v>
      </c>
      <c r="E11" s="8" t="s">
        <v>134</v>
      </c>
    </row>
    <row r="12" spans="1:15" x14ac:dyDescent="0.25">
      <c r="A12" s="8">
        <v>8304</v>
      </c>
      <c r="B12" s="8" t="s">
        <v>129</v>
      </c>
      <c r="C12" s="9">
        <v>0.19</v>
      </c>
      <c r="E12" s="8" t="s">
        <v>127</v>
      </c>
      <c r="F12" s="8" t="s">
        <v>137</v>
      </c>
      <c r="G12" s="8" t="s">
        <v>87</v>
      </c>
      <c r="H12" s="8" t="s">
        <v>138</v>
      </c>
    </row>
    <row r="13" spans="1:15" x14ac:dyDescent="0.25">
      <c r="A13" s="8" t="s">
        <v>153</v>
      </c>
      <c r="B13" s="8" t="s">
        <v>154</v>
      </c>
      <c r="C13" s="9">
        <v>0</v>
      </c>
      <c r="E13" s="8" t="s">
        <v>143</v>
      </c>
      <c r="F13" s="8">
        <v>323494247</v>
      </c>
      <c r="G13" s="8" t="s">
        <v>144</v>
      </c>
      <c r="H13" s="8" t="s">
        <v>145</v>
      </c>
    </row>
    <row r="14" spans="1:15" x14ac:dyDescent="0.25">
      <c r="A14" s="8">
        <v>28100</v>
      </c>
      <c r="B14" s="8" t="s">
        <v>155</v>
      </c>
      <c r="E14" s="8" t="s">
        <v>142</v>
      </c>
      <c r="F14" s="8" t="s">
        <v>136</v>
      </c>
      <c r="G14" s="8">
        <v>1780</v>
      </c>
      <c r="H14" s="8" t="s">
        <v>135</v>
      </c>
    </row>
    <row r="15" spans="1:15" x14ac:dyDescent="0.25">
      <c r="A15" s="8">
        <v>649</v>
      </c>
      <c r="B15" s="8" t="s">
        <v>200</v>
      </c>
      <c r="E15" s="8" t="s">
        <v>139</v>
      </c>
      <c r="F15" s="8" t="s">
        <v>140</v>
      </c>
      <c r="G15" s="8">
        <v>1505</v>
      </c>
      <c r="H15" s="8" t="s">
        <v>141</v>
      </c>
    </row>
    <row r="16" spans="1:15" x14ac:dyDescent="0.25">
      <c r="A16" s="8">
        <v>655</v>
      </c>
      <c r="B16" s="8" t="s">
        <v>201</v>
      </c>
      <c r="E16" s="8" t="s">
        <v>146</v>
      </c>
      <c r="F16" s="8" t="s">
        <v>136</v>
      </c>
      <c r="G16" s="8" t="s">
        <v>152</v>
      </c>
      <c r="H16" s="8" t="s">
        <v>147</v>
      </c>
    </row>
    <row r="17" spans="1:21" x14ac:dyDescent="0.25">
      <c r="A17" s="8">
        <v>4910</v>
      </c>
      <c r="B17" s="8" t="s">
        <v>202</v>
      </c>
      <c r="C17" s="9">
        <v>0</v>
      </c>
      <c r="D17" s="8" t="s">
        <v>203</v>
      </c>
      <c r="J17" s="8" t="s">
        <v>188</v>
      </c>
      <c r="K17" s="8" t="s">
        <v>189</v>
      </c>
      <c r="L17" s="8" t="s">
        <v>190</v>
      </c>
      <c r="M17" s="8" t="s">
        <v>191</v>
      </c>
    </row>
    <row r="18" spans="1:21" x14ac:dyDescent="0.25">
      <c r="A18" s="8" t="s">
        <v>213</v>
      </c>
      <c r="B18" s="8" t="s">
        <v>212</v>
      </c>
      <c r="C18" s="9">
        <v>0</v>
      </c>
      <c r="J18" s="8">
        <v>410.24</v>
      </c>
      <c r="K18" s="8">
        <v>402.04</v>
      </c>
      <c r="L18" s="8">
        <f>Tabelle21[Betrag]-Tabelle21[Bezahlt]</f>
        <v>8.1999999999999886</v>
      </c>
      <c r="M18" s="13">
        <f>Tabelle21[Abzüge]/Tabelle21[Betrag]</f>
        <v>1.9988299531981252E-2</v>
      </c>
    </row>
    <row r="19" spans="1:21" x14ac:dyDescent="0.25">
      <c r="B19" s="8" t="s">
        <v>232</v>
      </c>
    </row>
    <row r="20" spans="1:21" x14ac:dyDescent="0.25">
      <c r="A20" s="8">
        <v>68019</v>
      </c>
      <c r="B20" s="8" t="s">
        <v>235</v>
      </c>
      <c r="E20" s="8" t="s">
        <v>150</v>
      </c>
      <c r="F20" s="8" t="s">
        <v>149</v>
      </c>
      <c r="G20" s="8" t="s">
        <v>106</v>
      </c>
      <c r="H20" s="8" t="s">
        <v>182</v>
      </c>
    </row>
    <row r="21" spans="1:21" x14ac:dyDescent="0.25">
      <c r="A21" s="8">
        <v>4970</v>
      </c>
      <c r="B21" s="8" t="s">
        <v>240</v>
      </c>
      <c r="E21" s="8">
        <v>5604148023</v>
      </c>
      <c r="F21" s="8" t="s">
        <v>148</v>
      </c>
      <c r="G21" s="8" t="s">
        <v>151</v>
      </c>
      <c r="J21" s="8" t="s">
        <v>123</v>
      </c>
      <c r="K21" s="8" t="s">
        <v>82</v>
      </c>
      <c r="L21" s="8" t="s">
        <v>167</v>
      </c>
      <c r="M21" s="8" t="s">
        <v>166</v>
      </c>
      <c r="N21" s="8" t="s">
        <v>296</v>
      </c>
      <c r="O21" s="8" t="s">
        <v>247</v>
      </c>
    </row>
    <row r="22" spans="1:21" x14ac:dyDescent="0.25">
      <c r="A22" s="8">
        <v>2110</v>
      </c>
      <c r="B22" s="8" t="s">
        <v>241</v>
      </c>
      <c r="E22" s="8" t="s">
        <v>181</v>
      </c>
      <c r="F22" s="8" t="s">
        <v>179</v>
      </c>
      <c r="G22" s="8" t="s">
        <v>180</v>
      </c>
      <c r="H22" s="8" t="s">
        <v>183</v>
      </c>
      <c r="J22" s="8">
        <v>290656</v>
      </c>
      <c r="K22" s="8">
        <v>28175</v>
      </c>
      <c r="L22" s="9">
        <v>0.03</v>
      </c>
      <c r="M22" s="41">
        <v>37.200000000000003</v>
      </c>
      <c r="N22" s="41">
        <f>Tabelle34[Betr]*Tabelle34[Skto%]</f>
        <v>1.1160000000000001</v>
      </c>
      <c r="O22" s="41">
        <f>Tabelle34[Betr]*(100%-Tabelle34[Skto%])</f>
        <v>36.084000000000003</v>
      </c>
    </row>
    <row r="23" spans="1:21" x14ac:dyDescent="0.25">
      <c r="A23" s="8">
        <v>4920</v>
      </c>
      <c r="B23" s="8" t="s">
        <v>242</v>
      </c>
      <c r="J23" s="45">
        <v>290769</v>
      </c>
      <c r="K23" s="45">
        <v>28176</v>
      </c>
      <c r="L23" s="46">
        <v>0.03</v>
      </c>
      <c r="M23" s="47">
        <v>168.76</v>
      </c>
      <c r="N23" s="47">
        <f>Tabelle34[Betr]*Tabelle34[Skto%]</f>
        <v>5.0627999999999993</v>
      </c>
      <c r="O23" s="47">
        <f>Tabelle34[Betr]*(100%-Tabelle34[Skto%])</f>
        <v>163.69719999999998</v>
      </c>
    </row>
    <row r="24" spans="1:21" ht="30" x14ac:dyDescent="0.25">
      <c r="A24" s="8">
        <v>4815</v>
      </c>
      <c r="B24" s="8" t="s">
        <v>243</v>
      </c>
      <c r="D24" s="16" t="s">
        <v>244</v>
      </c>
      <c r="F24" s="8" t="s">
        <v>170</v>
      </c>
      <c r="J24" s="8">
        <v>290766</v>
      </c>
      <c r="K24" s="8">
        <v>28178</v>
      </c>
      <c r="L24" s="9">
        <v>0.03</v>
      </c>
      <c r="M24" s="41">
        <v>168.82</v>
      </c>
      <c r="N24" s="41">
        <f>Tabelle34[Betr]*Tabelle34[Skto%]</f>
        <v>5.0645999999999995</v>
      </c>
      <c r="O24" s="41">
        <f>Tabelle34[Betr]*(100%-Tabelle34[Skto%])</f>
        <v>163.75539999999998</v>
      </c>
    </row>
    <row r="25" spans="1:21" x14ac:dyDescent="0.25">
      <c r="A25" s="8">
        <v>8731</v>
      </c>
      <c r="B25" s="8" t="s">
        <v>304</v>
      </c>
      <c r="C25" s="9">
        <v>7.0000000000000007E-2</v>
      </c>
      <c r="D25" s="16"/>
      <c r="E25" s="8" t="s">
        <v>82</v>
      </c>
      <c r="F25" s="8" t="s">
        <v>174</v>
      </c>
      <c r="G25" s="8" t="s">
        <v>176</v>
      </c>
      <c r="J25" s="8">
        <v>290707</v>
      </c>
      <c r="K25" s="8">
        <v>28177</v>
      </c>
      <c r="L25" s="9">
        <v>0.03</v>
      </c>
      <c r="M25" s="41">
        <v>82.95</v>
      </c>
      <c r="N25" s="41">
        <f>Tabelle34[Betr]*Tabelle34[Skto%]</f>
        <v>2.4885000000000002</v>
      </c>
      <c r="O25" s="41">
        <f>Tabelle34[Betr]*(100%-Tabelle34[Skto%])</f>
        <v>80.461500000000001</v>
      </c>
    </row>
    <row r="26" spans="1:21" x14ac:dyDescent="0.25">
      <c r="A26" s="8" t="s">
        <v>47</v>
      </c>
      <c r="B26" s="8" t="s">
        <v>208</v>
      </c>
      <c r="E26" s="8">
        <v>8720</v>
      </c>
      <c r="F26" s="8" t="s">
        <v>175</v>
      </c>
      <c r="G26" s="8" t="s">
        <v>171</v>
      </c>
      <c r="L26" s="9"/>
      <c r="M26" s="41"/>
      <c r="N26" s="41">
        <f>Tabelle34[Betr]*Tabelle34[Skto%]</f>
        <v>0</v>
      </c>
      <c r="O26" s="41">
        <f>Tabelle34[Betr]*(100%-Tabelle34[Skto%])</f>
        <v>0</v>
      </c>
    </row>
    <row r="27" spans="1:21" x14ac:dyDescent="0.25">
      <c r="A27" s="8" t="s">
        <v>206</v>
      </c>
      <c r="B27" s="8">
        <v>28100</v>
      </c>
      <c r="E27" s="8">
        <v>25960</v>
      </c>
      <c r="F27" s="8" t="s">
        <v>173</v>
      </c>
      <c r="G27" s="8" t="s">
        <v>172</v>
      </c>
      <c r="J27" s="8" t="s">
        <v>297</v>
      </c>
      <c r="M27" s="41">
        <f>SUBTOTAL(109,Tabelle34[Betr])</f>
        <v>457.72999999999996</v>
      </c>
      <c r="O27" s="41">
        <f>SUBTOTAL(109,Tabelle34[Netto])</f>
        <v>443.99809999999997</v>
      </c>
    </row>
    <row r="28" spans="1:21" x14ac:dyDescent="0.25">
      <c r="A28" s="8" t="s">
        <v>207</v>
      </c>
      <c r="B28" s="8">
        <v>10000</v>
      </c>
    </row>
    <row r="29" spans="1:21" x14ac:dyDescent="0.25">
      <c r="A29" s="8" t="s">
        <v>236</v>
      </c>
      <c r="B29" s="8">
        <v>16830</v>
      </c>
    </row>
    <row r="30" spans="1:21" x14ac:dyDescent="0.25">
      <c r="A30" s="8" t="s">
        <v>227</v>
      </c>
      <c r="B30" s="8" t="s">
        <v>231</v>
      </c>
      <c r="E30" s="8" t="s">
        <v>194</v>
      </c>
      <c r="J30" s="8" t="s">
        <v>307</v>
      </c>
      <c r="K30" s="8" t="s">
        <v>165</v>
      </c>
      <c r="L30" s="8" t="s">
        <v>166</v>
      </c>
      <c r="M30" s="8" t="s">
        <v>167</v>
      </c>
      <c r="N30" s="8" t="s">
        <v>168</v>
      </c>
      <c r="O30" s="8" t="s">
        <v>169</v>
      </c>
    </row>
    <row r="31" spans="1:21" x14ac:dyDescent="0.25">
      <c r="A31" s="8" t="s">
        <v>230</v>
      </c>
      <c r="B31" s="8" t="s">
        <v>174</v>
      </c>
      <c r="E31" s="8" t="s">
        <v>195</v>
      </c>
      <c r="F31" s="8" t="s">
        <v>174</v>
      </c>
      <c r="J31" s="52"/>
      <c r="K31" s="53">
        <v>306040</v>
      </c>
      <c r="L31" s="54">
        <v>307.52</v>
      </c>
      <c r="M31" s="55">
        <v>0.03</v>
      </c>
      <c r="N31" s="54">
        <f>Tabelle18[[#This Row],[Betr]]*Tabelle18[[#This Row],[Skto%]]</f>
        <v>9.2255999999999982</v>
      </c>
      <c r="O31" s="54">
        <f>Tabelle18[[#This Row],[Betr]]-Tabelle18[[#This Row],[Skto]]</f>
        <v>298.2944</v>
      </c>
    </row>
    <row r="32" spans="1:21" x14ac:dyDescent="0.25">
      <c r="A32" s="8">
        <v>55010315</v>
      </c>
      <c r="B32" s="8" t="s">
        <v>228</v>
      </c>
      <c r="E32" s="14" t="s">
        <v>196</v>
      </c>
      <c r="F32" s="8" t="s">
        <v>197</v>
      </c>
      <c r="J32" s="52"/>
      <c r="K32" s="53"/>
      <c r="L32" s="54"/>
      <c r="M32" s="55"/>
      <c r="N32" s="54">
        <f>Tabelle18[[#This Row],[Betr]]*Tabelle18[[#This Row],[Skto%]]</f>
        <v>0</v>
      </c>
      <c r="O32" s="54">
        <f>Tabelle18[[#This Row],[Betr]]-Tabelle18[[#This Row],[Skto]]</f>
        <v>0</v>
      </c>
      <c r="Q32" s="8">
        <v>-0.01</v>
      </c>
      <c r="T32" s="8">
        <v>33337</v>
      </c>
      <c r="U32" s="8">
        <v>28696.737539812344</v>
      </c>
    </row>
    <row r="33" spans="1:22" x14ac:dyDescent="0.25">
      <c r="A33" s="8">
        <v>91000628</v>
      </c>
      <c r="B33" s="8" t="s">
        <v>229</v>
      </c>
      <c r="E33" s="15" t="s">
        <v>198</v>
      </c>
      <c r="F33" s="8" t="s">
        <v>199</v>
      </c>
      <c r="J33" s="52"/>
      <c r="K33" s="53"/>
      <c r="L33" s="54"/>
      <c r="M33" s="55"/>
      <c r="N33" s="54">
        <f>Tabelle18[[#This Row],[Betr]]*Tabelle18[[#This Row],[Skto%]]</f>
        <v>0</v>
      </c>
      <c r="O33" s="54">
        <f>Tabelle18[[#This Row],[Betr]]-Tabelle18[[#This Row],[Skto]]</f>
        <v>0</v>
      </c>
      <c r="Q33" s="8">
        <v>-0.01</v>
      </c>
      <c r="U33" s="48">
        <v>50.22</v>
      </c>
    </row>
    <row r="34" spans="1:22" x14ac:dyDescent="0.25">
      <c r="E34" s="14" t="s">
        <v>233</v>
      </c>
      <c r="F34" s="8" t="s">
        <v>234</v>
      </c>
      <c r="J34" s="52"/>
      <c r="K34" s="53"/>
      <c r="L34" s="54"/>
      <c r="M34" s="55"/>
      <c r="N34" s="54">
        <f>Tabelle18[[#This Row],[Betr]]*Tabelle18[[#This Row],[Skto%]]</f>
        <v>0</v>
      </c>
      <c r="O34" s="54">
        <f>Tabelle18[[#This Row],[Betr]]-Tabelle18[[#This Row],[Skto]]</f>
        <v>0</v>
      </c>
      <c r="U34" s="8">
        <v>28746.957539812345</v>
      </c>
    </row>
    <row r="35" spans="1:22" x14ac:dyDescent="0.25">
      <c r="J35" s="52"/>
      <c r="K35" s="53"/>
      <c r="L35" s="54"/>
      <c r="M35" s="55"/>
      <c r="N35" s="54">
        <f>Tabelle18[[#This Row],[Betr]]*Tabelle18[[#This Row],[Skto%]]</f>
        <v>0</v>
      </c>
      <c r="O35" s="54">
        <f>Tabelle18[[#This Row],[Betr]]-Tabelle18[[#This Row],[Skto]]</f>
        <v>0</v>
      </c>
    </row>
    <row r="36" spans="1:22" x14ac:dyDescent="0.25">
      <c r="J36" s="52"/>
      <c r="K36" s="53"/>
      <c r="L36" s="54"/>
      <c r="M36" s="55"/>
      <c r="N36" s="54">
        <f>Tabelle18[[#This Row],[Betr]]*Tabelle18[[#This Row],[Skto%]]</f>
        <v>0</v>
      </c>
      <c r="O36" s="54">
        <f>Tabelle18[[#This Row],[Betr]]-Tabelle18[[#This Row],[Skto]]</f>
        <v>0</v>
      </c>
      <c r="Q36" s="9">
        <v>7.0000000000000007E-2</v>
      </c>
      <c r="R36" s="9">
        <v>0.19</v>
      </c>
      <c r="T36" s="8" t="s">
        <v>305</v>
      </c>
      <c r="U36" s="8" t="s">
        <v>306</v>
      </c>
    </row>
    <row r="37" spans="1:22" x14ac:dyDescent="0.25">
      <c r="J37" s="52"/>
      <c r="K37" s="53"/>
      <c r="L37" s="54"/>
      <c r="M37" s="55"/>
      <c r="N37" s="54">
        <f>Tabelle18[[#This Row],[Betr]]*Tabelle18[[#This Row],[Skto%]]</f>
        <v>0</v>
      </c>
      <c r="O37" s="54">
        <f>Tabelle18[[#This Row],[Betr]]-Tabelle18[[#This Row],[Skto]]</f>
        <v>0</v>
      </c>
      <c r="Q37" s="8">
        <v>510.36</v>
      </c>
      <c r="R37" s="8">
        <v>93.24</v>
      </c>
      <c r="S37" s="8">
        <v>603.6</v>
      </c>
      <c r="T37" s="8">
        <v>18.108000000000001</v>
      </c>
      <c r="U37" s="8">
        <v>3.4405200000000002</v>
      </c>
      <c r="V37" s="8">
        <v>21.54852</v>
      </c>
    </row>
    <row r="38" spans="1:22" x14ac:dyDescent="0.25">
      <c r="J38" s="52"/>
      <c r="K38" s="53"/>
      <c r="L38" s="54"/>
      <c r="M38" s="55"/>
      <c r="N38" s="54">
        <f>Tabelle18[[#This Row],[Betr]]*Tabelle18[[#This Row],[Skto%]]</f>
        <v>0</v>
      </c>
      <c r="O38" s="54">
        <f>Tabelle18[[#This Row],[Betr]]-Tabelle18[[#This Row],[Skto]]</f>
        <v>0</v>
      </c>
      <c r="Q38" s="8">
        <v>82.8</v>
      </c>
      <c r="S38" s="8">
        <v>82.8</v>
      </c>
      <c r="T38" s="8">
        <v>2.484</v>
      </c>
      <c r="U38" s="8">
        <v>0.47195999999999999</v>
      </c>
      <c r="V38" s="8">
        <v>2.9559600000000001</v>
      </c>
    </row>
    <row r="39" spans="1:22" x14ac:dyDescent="0.25">
      <c r="J39" s="52"/>
      <c r="K39" s="53"/>
      <c r="L39" s="54"/>
      <c r="M39" s="55"/>
      <c r="N39" s="54">
        <f>Tabelle18[[#This Row],[Betr]]*Tabelle18[[#This Row],[Skto%]]</f>
        <v>0</v>
      </c>
      <c r="O39" s="54">
        <f>Tabelle18[[#This Row],[Betr]]-Tabelle18[[#This Row],[Skto]]</f>
        <v>0</v>
      </c>
      <c r="Q39" s="8">
        <v>159.6</v>
      </c>
      <c r="S39" s="8">
        <v>159.6</v>
      </c>
      <c r="T39" s="8">
        <v>4.7879999999999994</v>
      </c>
      <c r="U39" s="8">
        <v>0.90971999999999986</v>
      </c>
      <c r="V39" s="8">
        <v>5.6977199999999995</v>
      </c>
    </row>
    <row r="40" spans="1:22" x14ac:dyDescent="0.25">
      <c r="J40" s="52"/>
      <c r="K40" s="53"/>
      <c r="L40" s="54"/>
      <c r="M40" s="55"/>
      <c r="N40" s="54">
        <f>Tabelle18[[#This Row],[Betr]]*Tabelle18[[#This Row],[Skto%]]</f>
        <v>0</v>
      </c>
      <c r="O40" s="54">
        <f>Tabelle18[[#This Row],[Betr]]-Tabelle18[[#This Row],[Skto]]</f>
        <v>0</v>
      </c>
    </row>
    <row r="41" spans="1:22" x14ac:dyDescent="0.25">
      <c r="J41" s="52"/>
      <c r="K41" s="53"/>
      <c r="L41" s="54"/>
      <c r="M41" s="55"/>
      <c r="N41" s="54">
        <f>Tabelle18[[#This Row],[Betr]]*Tabelle18[[#This Row],[Skto%]]</f>
        <v>0</v>
      </c>
      <c r="O41" s="54">
        <f>Tabelle18[[#This Row],[Betr]]-Tabelle18[[#This Row],[Skto]]</f>
        <v>0</v>
      </c>
    </row>
    <row r="42" spans="1:22" x14ac:dyDescent="0.25">
      <c r="J42" s="52"/>
      <c r="K42" s="53"/>
      <c r="L42" s="54"/>
      <c r="M42" s="55"/>
      <c r="N42" s="54">
        <f>Tabelle18[[#This Row],[Betr]]*Tabelle18[[#This Row],[Skto%]]</f>
        <v>0</v>
      </c>
      <c r="O42" s="54">
        <f>Tabelle18[[#This Row],[Betr]]-Tabelle18[[#This Row],[Skto]]</f>
        <v>0</v>
      </c>
    </row>
    <row r="43" spans="1:22" x14ac:dyDescent="0.25">
      <c r="J43" s="52"/>
      <c r="K43" s="53"/>
      <c r="L43" s="54"/>
      <c r="M43" s="55"/>
      <c r="N43" s="54">
        <f>Tabelle18[[#This Row],[Betr]]*Tabelle18[[#This Row],[Skto%]]</f>
        <v>0</v>
      </c>
      <c r="O43" s="54">
        <f>Tabelle18[[#This Row],[Betr]]-Tabelle18[[#This Row],[Skto]]</f>
        <v>0</v>
      </c>
    </row>
    <row r="44" spans="1:22" x14ac:dyDescent="0.25">
      <c r="J44" s="52"/>
      <c r="K44" s="53"/>
      <c r="L44" s="54"/>
      <c r="M44" s="55"/>
      <c r="N44" s="54">
        <f>Tabelle18[[#This Row],[Betr]]*Tabelle18[[#This Row],[Skto%]]</f>
        <v>0</v>
      </c>
      <c r="O44" s="54">
        <f>Tabelle18[[#This Row],[Betr]]-Tabelle18[[#This Row],[Skto]]</f>
        <v>0</v>
      </c>
    </row>
    <row r="45" spans="1:22" x14ac:dyDescent="0.25">
      <c r="J45" s="52"/>
      <c r="K45" s="53"/>
      <c r="L45" s="54"/>
      <c r="M45" s="55"/>
      <c r="N45" s="54">
        <f>Tabelle18[[#This Row],[Betr]]*Tabelle18[[#This Row],[Skto%]]</f>
        <v>0</v>
      </c>
      <c r="O45" s="54">
        <f>Tabelle18[[#This Row],[Betr]]-Tabelle18[[#This Row],[Skto]]</f>
        <v>0</v>
      </c>
    </row>
    <row r="46" spans="1:22" x14ac:dyDescent="0.25">
      <c r="J46" s="52"/>
      <c r="K46" s="53"/>
      <c r="L46" s="54"/>
      <c r="M46" s="55"/>
      <c r="N46" s="54">
        <f>Tabelle18[[#This Row],[Betr]]*Tabelle18[[#This Row],[Skto%]]</f>
        <v>0</v>
      </c>
      <c r="O46" s="54">
        <f>Tabelle18[[#This Row],[Betr]]-Tabelle18[[#This Row],[Skto]]</f>
        <v>0</v>
      </c>
    </row>
    <row r="47" spans="1:22" x14ac:dyDescent="0.25">
      <c r="J47" s="52"/>
      <c r="K47" s="53"/>
      <c r="L47" s="54"/>
      <c r="M47" s="55"/>
      <c r="N47" s="54">
        <f>Tabelle18[[#This Row],[Betr]]*Tabelle18[[#This Row],[Skto%]]</f>
        <v>0</v>
      </c>
      <c r="O47" s="54">
        <f>Tabelle18[[#This Row],[Betr]]-Tabelle18[[#This Row],[Skto]]</f>
        <v>0</v>
      </c>
    </row>
    <row r="48" spans="1:22" x14ac:dyDescent="0.25">
      <c r="J48" s="52"/>
      <c r="K48" s="53"/>
      <c r="L48" s="54"/>
      <c r="M48" s="55"/>
      <c r="N48" s="54">
        <f>Tabelle18[[#This Row],[Betr]]*Tabelle18[[#This Row],[Skto%]]</f>
        <v>0</v>
      </c>
      <c r="O48" s="54">
        <f>Tabelle18[[#This Row],[Betr]]-Tabelle18[[#This Row],[Skto]]</f>
        <v>0</v>
      </c>
    </row>
    <row r="49" spans="10:16" x14ac:dyDescent="0.25">
      <c r="J49" s="52"/>
      <c r="K49" s="53"/>
      <c r="L49" s="54"/>
      <c r="M49" s="55"/>
      <c r="N49" s="54">
        <f>Tabelle18[[#This Row],[Betr]]*Tabelle18[[#This Row],[Skto%]]</f>
        <v>0</v>
      </c>
      <c r="O49" s="54">
        <f>Tabelle18[[#This Row],[Betr]]-Tabelle18[[#This Row],[Skto]]</f>
        <v>0</v>
      </c>
    </row>
    <row r="50" spans="10:16" x14ac:dyDescent="0.25">
      <c r="L50" s="36">
        <f>SUBTOTAL(109,Tabelle18[Betr])</f>
        <v>307.52</v>
      </c>
      <c r="M50" s="36"/>
      <c r="N50" s="36">
        <f>SUBTOTAL(109,Tabelle18[Skto])</f>
        <v>9.2255999999999982</v>
      </c>
      <c r="O50" s="41">
        <f>SUBTOTAL(109,Tabelle18[Gesamt])</f>
        <v>298.2944</v>
      </c>
    </row>
    <row r="51" spans="10:16" x14ac:dyDescent="0.25">
      <c r="K51" s="8">
        <v>850.87</v>
      </c>
      <c r="L51" s="8">
        <v>1111.0899999999999</v>
      </c>
      <c r="M51" s="8">
        <f>K51/L51</f>
        <v>0.76579755015345297</v>
      </c>
    </row>
    <row r="55" spans="10:16" x14ac:dyDescent="0.25">
      <c r="O55" s="8">
        <v>990.25</v>
      </c>
      <c r="P55" s="8">
        <f>O55-Tabelle18[[#Totals],[Gesamt]]</f>
        <v>691.9556</v>
      </c>
    </row>
  </sheetData>
  <pageMargins left="0.7" right="0.7" top="0.78740157499999996" bottom="0.78740157499999996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P26"/>
  <sheetViews>
    <sheetView topLeftCell="D4" workbookViewId="0">
      <selection activeCell="J33" sqref="J33"/>
    </sheetView>
  </sheetViews>
  <sheetFormatPr baseColWidth="10" defaultRowHeight="15" x14ac:dyDescent="0.25"/>
  <cols>
    <col min="3" max="5" width="11.42578125" style="6"/>
    <col min="10" max="10" width="22.140625" customWidth="1"/>
    <col min="15" max="15" width="22.42578125" bestFit="1" customWidth="1"/>
    <col min="16" max="16" width="21.5703125" customWidth="1"/>
  </cols>
  <sheetData>
    <row r="1" spans="1:16" x14ac:dyDescent="0.25">
      <c r="A1" s="8" t="s">
        <v>271</v>
      </c>
      <c r="B1" s="8" t="s">
        <v>373</v>
      </c>
      <c r="C1" s="8" t="s">
        <v>166</v>
      </c>
      <c r="D1" s="8" t="s">
        <v>167</v>
      </c>
      <c r="E1" s="8" t="s">
        <v>375</v>
      </c>
      <c r="F1" s="8" t="s">
        <v>370</v>
      </c>
      <c r="G1" s="8" t="s">
        <v>371</v>
      </c>
      <c r="H1" s="15" t="s">
        <v>376</v>
      </c>
      <c r="I1" s="8" t="s">
        <v>189</v>
      </c>
      <c r="J1" s="8" t="s">
        <v>372</v>
      </c>
      <c r="K1" s="8" t="s">
        <v>374</v>
      </c>
      <c r="L1" s="8" t="s">
        <v>380</v>
      </c>
      <c r="M1" s="8" t="s">
        <v>383</v>
      </c>
      <c r="O1" s="33" t="s">
        <v>380</v>
      </c>
      <c r="P1" s="6" t="s">
        <v>382</v>
      </c>
    </row>
    <row r="2" spans="1:16" x14ac:dyDescent="0.25">
      <c r="A2" s="8">
        <v>305552</v>
      </c>
      <c r="B2" s="8">
        <v>1042671</v>
      </c>
      <c r="C2" s="41">
        <v>410.24</v>
      </c>
      <c r="D2" s="9">
        <v>0.02</v>
      </c>
      <c r="E2" s="41">
        <f>Tabelle40[[#This Row],[Betr]]*Tabelle40[[#This Row],[Skto%]]</f>
        <v>8.2048000000000005</v>
      </c>
      <c r="F2" s="51">
        <v>43258</v>
      </c>
      <c r="G2" s="8">
        <v>14</v>
      </c>
      <c r="H2" s="51">
        <f>Tabelle40[[#This Row],[Von]]+Tabelle40[[#This Row],[SKtoTage]]</f>
        <v>43272</v>
      </c>
      <c r="I2" s="51">
        <v>43280</v>
      </c>
      <c r="J2" s="8">
        <f>NETWORKDAYS(Tabelle40[[#This Row],[Von]],Tabelle40[[#This Row],[Bezahlt]])</f>
        <v>17</v>
      </c>
      <c r="K2">
        <f>Tabelle40[[#This Row],[Bezahlt workdays diff]]-Tabelle40[[#This Row],[SKtoTage]]</f>
        <v>3</v>
      </c>
      <c r="L2">
        <f>IF(Tabelle40[[#This Row],[Später(Tage)]]&gt;0,Tabelle40[[#This Row],[Später(Tage)]],"")</f>
        <v>3</v>
      </c>
      <c r="M2" s="49">
        <f>Tabelle40[[#This Row],[Betr]]-Tabelle40[[#This Row],[SktoBetr]]</f>
        <v>402.03520000000003</v>
      </c>
    </row>
    <row r="3" spans="1:16" x14ac:dyDescent="0.25">
      <c r="A3" s="8">
        <v>305685</v>
      </c>
      <c r="B3" s="8">
        <v>1004380</v>
      </c>
      <c r="C3" s="41">
        <v>443.13</v>
      </c>
      <c r="D3" s="9">
        <v>0.02</v>
      </c>
      <c r="E3" s="41">
        <f>Tabelle40[[#This Row],[Betr]]*Tabelle40[[#This Row],[Skto%]]</f>
        <v>8.8626000000000005</v>
      </c>
      <c r="F3" s="51">
        <v>43266</v>
      </c>
      <c r="G3" s="8">
        <v>8</v>
      </c>
      <c r="H3" s="51">
        <f>Tabelle40[[#This Row],[Von]]+Tabelle40[[#This Row],[SKtoTage]]</f>
        <v>43274</v>
      </c>
      <c r="I3" s="51">
        <v>43280</v>
      </c>
      <c r="J3" s="8">
        <f>NETWORKDAYS(Tabelle40[[#This Row],[Von]],Tabelle40[[#This Row],[Bezahlt]])</f>
        <v>11</v>
      </c>
      <c r="K3" s="6">
        <f>Tabelle40[[#This Row],[Bezahlt workdays diff]]-Tabelle40[[#This Row],[SKtoTage]]</f>
        <v>3</v>
      </c>
      <c r="L3">
        <f>IF(Tabelle40[[#This Row],[Später(Tage)]]&gt;0,Tabelle40[[#This Row],[Später(Tage)]],"")</f>
        <v>3</v>
      </c>
      <c r="M3" s="49">
        <f>Tabelle40[[#This Row],[Betr]]-Tabelle40[[#This Row],[SktoBetr]]</f>
        <v>434.26740000000001</v>
      </c>
      <c r="O3" s="33" t="s">
        <v>258</v>
      </c>
      <c r="P3" t="s">
        <v>381</v>
      </c>
    </row>
    <row r="4" spans="1:16" x14ac:dyDescent="0.25">
      <c r="A4" s="8">
        <v>305637</v>
      </c>
      <c r="B4" s="8">
        <v>1005910</v>
      </c>
      <c r="C4" s="41">
        <v>1232.6199999999999</v>
      </c>
      <c r="D4" s="9">
        <v>0.02</v>
      </c>
      <c r="E4" s="49">
        <f>Tabelle40[[#This Row],[Betr]]*Tabelle40[[#This Row],[Skto%]]</f>
        <v>24.6524</v>
      </c>
      <c r="F4" s="51">
        <v>43264</v>
      </c>
      <c r="G4" s="8">
        <v>14</v>
      </c>
      <c r="H4" s="51">
        <f>Tabelle40[[#This Row],[Von]]+Tabelle40[[#This Row],[SKtoTage]]</f>
        <v>43278</v>
      </c>
      <c r="I4" s="51">
        <v>43280</v>
      </c>
      <c r="J4" s="38">
        <f>NETWORKDAYS(Tabelle40[[#This Row],[Von]],Tabelle40[[#This Row],[Bezahlt]])</f>
        <v>13</v>
      </c>
      <c r="K4" s="5">
        <f>Tabelle40[[#This Row],[Bezahlt workdays diff]]-Tabelle40[[#This Row],[SKtoTage]]</f>
        <v>-1</v>
      </c>
      <c r="L4" t="str">
        <f>IF(Tabelle40[[#This Row],[Später(Tage)]]&gt;0,Tabelle40[[#This Row],[Später(Tage)]],"")</f>
        <v/>
      </c>
      <c r="M4" s="49">
        <f>Tabelle40[[#This Row],[Betr]]-Tabelle40[[#This Row],[SktoBetr]]</f>
        <v>1207.9675999999999</v>
      </c>
      <c r="O4" s="35">
        <v>1004380</v>
      </c>
      <c r="P4" s="5">
        <v>3</v>
      </c>
    </row>
    <row r="5" spans="1:16" x14ac:dyDescent="0.25">
      <c r="A5" s="8">
        <v>305806</v>
      </c>
      <c r="B5" s="8">
        <v>1005910</v>
      </c>
      <c r="C5" s="41">
        <v>1523.24</v>
      </c>
      <c r="D5" s="9">
        <v>0.02</v>
      </c>
      <c r="E5" s="49">
        <f>Tabelle40[[#This Row],[Betr]]*Tabelle40[[#This Row],[Skto%]]</f>
        <v>30.4648</v>
      </c>
      <c r="F5" s="51">
        <v>43277</v>
      </c>
      <c r="G5" s="8">
        <v>14</v>
      </c>
      <c r="H5" s="51">
        <f>Tabelle40[[#This Row],[Von]]+Tabelle40[[#This Row],[SKtoTage]]</f>
        <v>43291</v>
      </c>
      <c r="I5" s="51">
        <v>43294</v>
      </c>
      <c r="J5" s="38">
        <f>NETWORKDAYS(Tabelle40[[#This Row],[Von]],Tabelle40[[#This Row],[Bezahlt]])</f>
        <v>14</v>
      </c>
      <c r="K5" s="5">
        <f>Tabelle40[[#This Row],[Bezahlt workdays diff]]-Tabelle40[[#This Row],[SKtoTage]]</f>
        <v>0</v>
      </c>
      <c r="L5" t="str">
        <f>IF(Tabelle40[[#This Row],[Später(Tage)]]&gt;0,Tabelle40[[#This Row],[Später(Tage)]],"")</f>
        <v/>
      </c>
      <c r="M5" s="49">
        <f>Tabelle40[[#This Row],[Betr]]-Tabelle40[[#This Row],[SktoBetr]]</f>
        <v>1492.7752</v>
      </c>
      <c r="O5" s="59">
        <v>305685</v>
      </c>
      <c r="P5" s="5">
        <v>3</v>
      </c>
    </row>
    <row r="6" spans="1:16" x14ac:dyDescent="0.25">
      <c r="A6" s="8">
        <v>305826</v>
      </c>
      <c r="B6" s="8">
        <v>1050751</v>
      </c>
      <c r="C6" s="41">
        <v>95.14</v>
      </c>
      <c r="D6" s="9">
        <v>0.03</v>
      </c>
      <c r="E6" s="49">
        <f>Tabelle40[[#This Row],[Betr]]*Tabelle40[[#This Row],[Skto%]]</f>
        <v>2.8542000000000001</v>
      </c>
      <c r="F6" s="51">
        <v>43279</v>
      </c>
      <c r="G6" s="8">
        <v>14</v>
      </c>
      <c r="H6" s="51">
        <f>Tabelle40[[#This Row],[Von]]+Tabelle40[[#This Row],[SKtoTage]]</f>
        <v>43293</v>
      </c>
      <c r="I6" s="51">
        <v>43297</v>
      </c>
      <c r="J6" s="38">
        <f>NETWORKDAYS(Tabelle40[[#This Row],[Von]],Tabelle40[[#This Row],[Bezahlt]])</f>
        <v>13</v>
      </c>
      <c r="K6" s="5">
        <f>Tabelle40[[#This Row],[Bezahlt workdays diff]]-Tabelle40[[#This Row],[SKtoTage]]</f>
        <v>-1</v>
      </c>
      <c r="L6" t="str">
        <f>IF(Tabelle40[[#This Row],[Später(Tage)]]&gt;0,Tabelle40[[#This Row],[Später(Tage)]],"")</f>
        <v/>
      </c>
      <c r="M6" s="49">
        <f>Tabelle40[[#This Row],[Betr]]-Tabelle40[[#This Row],[SktoBetr]]</f>
        <v>92.285799999999995</v>
      </c>
      <c r="O6" s="35">
        <v>1042671</v>
      </c>
      <c r="P6" s="5">
        <v>3</v>
      </c>
    </row>
    <row r="7" spans="1:16" x14ac:dyDescent="0.25">
      <c r="A7" s="8">
        <v>305880</v>
      </c>
      <c r="B7" s="8">
        <v>1042340</v>
      </c>
      <c r="C7" s="41">
        <v>197.19</v>
      </c>
      <c r="D7" s="9">
        <v>0.02</v>
      </c>
      <c r="E7" s="49">
        <f>Tabelle40[[#This Row],[Betr]]*Tabelle40[[#This Row],[Skto%]]</f>
        <v>3.9438</v>
      </c>
      <c r="F7" s="51">
        <v>43284</v>
      </c>
      <c r="G7" s="8">
        <v>14</v>
      </c>
      <c r="H7" s="51">
        <f>Tabelle40[[#This Row],[Von]]+Tabelle40[[#This Row],[SKtoTage]]</f>
        <v>43298</v>
      </c>
      <c r="I7" s="51">
        <v>43297</v>
      </c>
      <c r="J7" s="38">
        <f>NETWORKDAYS(Tabelle40[[#This Row],[Von]],Tabelle40[[#This Row],[Bezahlt]])</f>
        <v>10</v>
      </c>
      <c r="K7" s="5">
        <f>Tabelle40[[#This Row],[Bezahlt workdays diff]]-Tabelle40[[#This Row],[SKtoTage]]</f>
        <v>-4</v>
      </c>
      <c r="L7" t="str">
        <f>IF(Tabelle40[[#This Row],[Später(Tage)]]&gt;0,Tabelle40[[#This Row],[Später(Tage)]],"")</f>
        <v/>
      </c>
      <c r="M7" s="49">
        <f>Tabelle40[[#This Row],[Betr]]-Tabelle40[[#This Row],[SktoBetr]]</f>
        <v>193.24619999999999</v>
      </c>
      <c r="O7" s="59">
        <v>305552</v>
      </c>
      <c r="P7" s="5">
        <v>3</v>
      </c>
    </row>
    <row r="8" spans="1:16" x14ac:dyDescent="0.25">
      <c r="A8" s="8">
        <v>305871</v>
      </c>
      <c r="B8" s="8">
        <v>1002521</v>
      </c>
      <c r="C8" s="41">
        <v>211.86</v>
      </c>
      <c r="D8" s="9">
        <v>0.03</v>
      </c>
      <c r="E8" s="49">
        <f>Tabelle40[[#This Row],[Betr]]*Tabelle40[[#This Row],[Skto%]]</f>
        <v>6.3558000000000003</v>
      </c>
      <c r="F8" s="51">
        <v>43283</v>
      </c>
      <c r="G8" s="8">
        <v>14</v>
      </c>
      <c r="H8" s="51">
        <f>Tabelle40[[#This Row],[Von]]+Tabelle40[[#This Row],[SKtoTage]]</f>
        <v>43297</v>
      </c>
      <c r="I8" s="51">
        <v>43298</v>
      </c>
      <c r="J8" s="38">
        <f>NETWORKDAYS(Tabelle40[[#This Row],[Von]],Tabelle40[[#This Row],[Bezahlt]])</f>
        <v>12</v>
      </c>
      <c r="K8" s="5">
        <f>Tabelle40[[#This Row],[Bezahlt workdays diff]]-Tabelle40[[#This Row],[SKtoTage]]</f>
        <v>-2</v>
      </c>
      <c r="L8" t="str">
        <f>IF(Tabelle40[[#This Row],[Später(Tage)]]&gt;0,Tabelle40[[#This Row],[Später(Tage)]],"")</f>
        <v/>
      </c>
      <c r="M8" s="49">
        <f>Tabelle40[[#This Row],[Betr]]-Tabelle40[[#This Row],[SktoBetr]]</f>
        <v>205.50420000000003</v>
      </c>
      <c r="O8" s="35">
        <v>1053130</v>
      </c>
      <c r="P8" s="5">
        <v>1</v>
      </c>
    </row>
    <row r="9" spans="1:16" x14ac:dyDescent="0.25">
      <c r="A9" s="8">
        <v>305872</v>
      </c>
      <c r="B9" s="8">
        <v>1002521</v>
      </c>
      <c r="C9" s="41">
        <v>143.04</v>
      </c>
      <c r="D9" s="9">
        <v>0.03</v>
      </c>
      <c r="E9" s="49">
        <f>Tabelle40[[#This Row],[Betr]]*Tabelle40[[#This Row],[Skto%]]</f>
        <v>4.2911999999999999</v>
      </c>
      <c r="F9" s="51">
        <v>43283</v>
      </c>
      <c r="G9" s="8">
        <v>14</v>
      </c>
      <c r="H9" s="51">
        <f>Tabelle40[[#This Row],[Von]]+Tabelle40[[#This Row],[SKtoTage]]</f>
        <v>43297</v>
      </c>
      <c r="I9" s="51">
        <v>43298</v>
      </c>
      <c r="J9" s="38">
        <f>NETWORKDAYS(Tabelle40[[#This Row],[Von]],Tabelle40[[#This Row],[Bezahlt]])</f>
        <v>12</v>
      </c>
      <c r="K9" s="5">
        <f>Tabelle40[[#This Row],[Bezahlt workdays diff]]-Tabelle40[[#This Row],[SKtoTage]]</f>
        <v>-2</v>
      </c>
      <c r="L9" t="str">
        <f>IF(Tabelle40[[#This Row],[Später(Tage)]]&gt;0,Tabelle40[[#This Row],[Später(Tage)]],"")</f>
        <v/>
      </c>
      <c r="M9" s="49">
        <f>Tabelle40[[#This Row],[Betr]]-Tabelle40[[#This Row],[SktoBetr]]</f>
        <v>138.74879999999999</v>
      </c>
      <c r="O9" s="59">
        <v>305824</v>
      </c>
      <c r="P9" s="5">
        <v>1</v>
      </c>
    </row>
    <row r="10" spans="1:16" x14ac:dyDescent="0.25">
      <c r="A10" s="8">
        <v>305824</v>
      </c>
      <c r="B10" s="8">
        <v>1053130</v>
      </c>
      <c r="C10" s="41">
        <v>638.16</v>
      </c>
      <c r="D10" s="9">
        <v>0.01</v>
      </c>
      <c r="E10" s="49">
        <f>Tabelle40[[#This Row],[Betr]]*Tabelle40[[#This Row],[Skto%]]</f>
        <v>6.3815999999999997</v>
      </c>
      <c r="F10" s="51">
        <v>43278</v>
      </c>
      <c r="G10" s="8">
        <v>14</v>
      </c>
      <c r="H10" s="51">
        <f>Tabelle40[[#This Row],[Von]]+Tabelle40[[#This Row],[SKtoTage]]</f>
        <v>43292</v>
      </c>
      <c r="I10" s="51">
        <v>43298</v>
      </c>
      <c r="J10" s="38">
        <f>NETWORKDAYS(Tabelle40[[#This Row],[Von]],Tabelle40[[#This Row],[Bezahlt]])</f>
        <v>15</v>
      </c>
      <c r="K10" s="5">
        <f>Tabelle40[[#This Row],[Bezahlt workdays diff]]-Tabelle40[[#This Row],[SKtoTage]]</f>
        <v>1</v>
      </c>
      <c r="L10">
        <f>IF(Tabelle40[[#This Row],[Später(Tage)]]&gt;0,Tabelle40[[#This Row],[Später(Tage)]],"")</f>
        <v>1</v>
      </c>
      <c r="M10" s="49">
        <f>Tabelle40[[#This Row],[Betr]]-Tabelle40[[#This Row],[SktoBetr]]</f>
        <v>631.77839999999992</v>
      </c>
      <c r="O10" s="35" t="s">
        <v>257</v>
      </c>
      <c r="P10" s="5">
        <v>7</v>
      </c>
    </row>
    <row r="11" spans="1:16" x14ac:dyDescent="0.25">
      <c r="A11" s="8">
        <v>305905</v>
      </c>
      <c r="B11" s="8">
        <v>1004050</v>
      </c>
      <c r="C11" s="41">
        <v>611.51</v>
      </c>
      <c r="D11" s="9">
        <v>0.02</v>
      </c>
      <c r="E11" s="49">
        <f>Tabelle40[[#This Row],[Betr]]*Tabelle40[[#This Row],[Skto%]]</f>
        <v>12.2302</v>
      </c>
      <c r="F11" s="51">
        <v>43285</v>
      </c>
      <c r="G11" s="8">
        <v>14</v>
      </c>
      <c r="H11" s="51">
        <f>Tabelle40[[#This Row],[Von]]+Tabelle40[[#This Row],[SKtoTage]]</f>
        <v>43299</v>
      </c>
      <c r="I11" s="51">
        <v>43299</v>
      </c>
      <c r="J11" s="38">
        <f>NETWORKDAYS(Tabelle40[[#This Row],[Von]],Tabelle40[[#This Row],[Bezahlt]])</f>
        <v>11</v>
      </c>
      <c r="K11" s="5">
        <f>Tabelle40[[#This Row],[Bezahlt workdays diff]]-Tabelle40[[#This Row],[SKtoTage]]</f>
        <v>-3</v>
      </c>
      <c r="L11" t="str">
        <f>IF(Tabelle40[[#This Row],[Später(Tage)]]&gt;0,Tabelle40[[#This Row],[Später(Tage)]],"")</f>
        <v/>
      </c>
      <c r="M11" s="49">
        <f>Tabelle40[[#This Row],[Betr]]-Tabelle40[[#This Row],[SktoBetr]]</f>
        <v>599.27980000000002</v>
      </c>
    </row>
    <row r="12" spans="1:16" x14ac:dyDescent="0.25">
      <c r="A12" s="8">
        <v>305913</v>
      </c>
      <c r="B12" s="8">
        <v>1002521</v>
      </c>
      <c r="C12" s="41">
        <v>110.51</v>
      </c>
      <c r="D12" s="9">
        <v>0.03</v>
      </c>
      <c r="E12" s="49">
        <f>Tabelle40[[#This Row],[Betr]]*Tabelle40[[#This Row],[Skto%]]</f>
        <v>3.3153000000000001</v>
      </c>
      <c r="F12" s="51">
        <v>43285</v>
      </c>
      <c r="G12" s="8">
        <v>14</v>
      </c>
      <c r="H12" s="51">
        <f>Tabelle40[[#This Row],[Von]]+Tabelle40[[#This Row],[SKtoTage]]</f>
        <v>43299</v>
      </c>
      <c r="I12" s="51">
        <v>43300</v>
      </c>
      <c r="J12" s="38">
        <f>NETWORKDAYS(Tabelle40[[#This Row],[Von]],Tabelle40[[#This Row],[Bezahlt]])</f>
        <v>12</v>
      </c>
      <c r="K12" s="5">
        <f>Tabelle40[[#This Row],[Bezahlt workdays diff]]-Tabelle40[[#This Row],[SKtoTage]]</f>
        <v>-2</v>
      </c>
      <c r="L12" t="str">
        <f>IF(Tabelle40[[#This Row],[Später(Tage)]]&gt;0,Tabelle40[[#This Row],[Später(Tage)]],"")</f>
        <v/>
      </c>
      <c r="M12" s="49">
        <f>Tabelle40[[#This Row],[Betr]]-Tabelle40[[#This Row],[SktoBetr]]</f>
        <v>107.19470000000001</v>
      </c>
    </row>
    <row r="13" spans="1:16" x14ac:dyDescent="0.25">
      <c r="A13" s="8">
        <v>306027</v>
      </c>
      <c r="B13" s="8">
        <v>1053090</v>
      </c>
      <c r="C13" s="41">
        <v>338.02</v>
      </c>
      <c r="D13" s="9">
        <v>0.01</v>
      </c>
      <c r="E13" s="49">
        <f>Tabelle40[[#This Row],[Betr]]*Tabelle40[[#This Row],[Skto%]]</f>
        <v>3.3801999999999999</v>
      </c>
      <c r="F13" s="51">
        <v>43294</v>
      </c>
      <c r="G13" s="8">
        <v>14</v>
      </c>
      <c r="H13" s="51">
        <f>Tabelle40[[#This Row],[Von]]+Tabelle40[[#This Row],[SKtoTage]]</f>
        <v>43308</v>
      </c>
      <c r="I13" s="51">
        <v>43304</v>
      </c>
      <c r="J13" s="38">
        <f>NETWORKDAYS(Tabelle40[[#This Row],[Von]],Tabelle40[[#This Row],[Bezahlt]])</f>
        <v>7</v>
      </c>
      <c r="K13" s="5">
        <f>Tabelle40[[#This Row],[Bezahlt workdays diff]]-Tabelle40[[#This Row],[SKtoTage]]</f>
        <v>-7</v>
      </c>
      <c r="L13" t="str">
        <f>IF(Tabelle40[[#This Row],[Später(Tage)]]&gt;0,Tabelle40[[#This Row],[Später(Tage)]],"")</f>
        <v/>
      </c>
      <c r="M13" s="49">
        <f>Tabelle40[[#This Row],[Betr]]-Tabelle40[[#This Row],[SktoBetr]]</f>
        <v>334.63979999999998</v>
      </c>
    </row>
    <row r="14" spans="1:16" x14ac:dyDescent="0.25">
      <c r="A14" s="8">
        <v>305960</v>
      </c>
      <c r="B14" s="8">
        <v>1053140</v>
      </c>
      <c r="C14" s="41">
        <v>484.2</v>
      </c>
      <c r="D14" s="9">
        <v>0.01</v>
      </c>
      <c r="E14" s="49">
        <f>Tabelle40[[#This Row],[Betr]]*Tabelle40[[#This Row],[Skto%]]</f>
        <v>4.8419999999999996</v>
      </c>
      <c r="F14" s="51">
        <v>43290</v>
      </c>
      <c r="G14" s="8">
        <v>14</v>
      </c>
      <c r="H14" s="51">
        <f>Tabelle40[[#This Row],[Von]]+Tabelle40[[#This Row],[SKtoTage]]</f>
        <v>43304</v>
      </c>
      <c r="I14" s="51">
        <v>43304</v>
      </c>
      <c r="J14" s="38">
        <f>NETWORKDAYS(Tabelle40[[#This Row],[Von]],Tabelle40[[#This Row],[Bezahlt]])</f>
        <v>11</v>
      </c>
      <c r="K14" s="5">
        <f>Tabelle40[[#This Row],[Bezahlt workdays diff]]-Tabelle40[[#This Row],[SKtoTage]]</f>
        <v>-3</v>
      </c>
      <c r="L14" s="5" t="str">
        <f>IF(Tabelle40[[#This Row],[Später(Tage)]]&gt;0,Tabelle40[[#This Row],[Später(Tage)]],"")</f>
        <v/>
      </c>
      <c r="M14" s="49">
        <f>Tabelle40[[#This Row],[Betr]]-Tabelle40[[#This Row],[SktoBetr]]</f>
        <v>479.358</v>
      </c>
    </row>
    <row r="15" spans="1:16" x14ac:dyDescent="0.25">
      <c r="A15" s="8">
        <v>305953</v>
      </c>
      <c r="B15" s="8">
        <v>1053130</v>
      </c>
      <c r="C15" s="41">
        <v>719.43</v>
      </c>
      <c r="D15" s="9">
        <v>0.01</v>
      </c>
      <c r="E15" s="49">
        <f>Tabelle40[[#This Row],[Betr]]*Tabelle40[[#This Row],[Skto%]]</f>
        <v>7.1942999999999993</v>
      </c>
      <c r="F15" s="51">
        <v>43290</v>
      </c>
      <c r="G15" s="8">
        <v>14</v>
      </c>
      <c r="H15" s="51">
        <f>Tabelle40[[#This Row],[Von]]+Tabelle40[[#This Row],[SKtoTage]]</f>
        <v>43304</v>
      </c>
      <c r="I15" s="51">
        <v>43304</v>
      </c>
      <c r="J15" s="38">
        <f>NETWORKDAYS(Tabelle40[[#This Row],[Von]],Tabelle40[[#This Row],[Bezahlt]])</f>
        <v>11</v>
      </c>
      <c r="K15" s="5">
        <f>Tabelle40[[#This Row],[Bezahlt workdays diff]]-Tabelle40[[#This Row],[SKtoTage]]</f>
        <v>-3</v>
      </c>
      <c r="L15" s="5" t="str">
        <f>IF(Tabelle40[[#This Row],[Später(Tage)]]&gt;0,Tabelle40[[#This Row],[Später(Tage)]],"")</f>
        <v/>
      </c>
      <c r="M15" s="49">
        <f>Tabelle40[[#This Row],[Betr]]-Tabelle40[[#This Row],[SktoBetr]]</f>
        <v>712.23569999999995</v>
      </c>
    </row>
    <row r="16" spans="1:16" x14ac:dyDescent="0.25">
      <c r="A16" s="8">
        <v>305940</v>
      </c>
      <c r="B16" s="8">
        <v>1005910</v>
      </c>
      <c r="C16" s="41">
        <v>1012.24</v>
      </c>
      <c r="D16" s="9">
        <v>0.02</v>
      </c>
      <c r="E16" s="49">
        <f>Tabelle40[[#This Row],[Betr]]*Tabelle40[[#This Row],[Skto%]]</f>
        <v>20.244800000000001</v>
      </c>
      <c r="F16" s="51">
        <v>43287</v>
      </c>
      <c r="G16" s="8">
        <v>14</v>
      </c>
      <c r="H16" s="51">
        <f>Tabelle40[[#This Row],[Von]]+Tabelle40[[#This Row],[SKtoTage]]</f>
        <v>43301</v>
      </c>
      <c r="I16" s="51">
        <v>43304</v>
      </c>
      <c r="J16" s="38">
        <f>NETWORKDAYS(Tabelle40[[#This Row],[Von]],Tabelle40[[#This Row],[Bezahlt]])</f>
        <v>12</v>
      </c>
      <c r="K16" s="5">
        <f>Tabelle40[[#This Row],[Bezahlt workdays diff]]-Tabelle40[[#This Row],[SKtoTage]]</f>
        <v>-2</v>
      </c>
      <c r="L16" s="5" t="str">
        <f>IF(Tabelle40[[#This Row],[Später(Tage)]]&gt;0,Tabelle40[[#This Row],[Später(Tage)]],"")</f>
        <v/>
      </c>
      <c r="M16" s="49">
        <f>Tabelle40[[#This Row],[Betr]]-Tabelle40[[#This Row],[SktoBetr]]</f>
        <v>991.99519999999995</v>
      </c>
    </row>
    <row r="17" spans="1:13" x14ac:dyDescent="0.25">
      <c r="A17" s="8">
        <v>306070</v>
      </c>
      <c r="B17" s="8">
        <v>1054301</v>
      </c>
      <c r="C17" s="41">
        <v>405.54</v>
      </c>
      <c r="D17" s="9">
        <v>0.01</v>
      </c>
      <c r="E17" s="49">
        <f>Tabelle40[[#This Row],[Betr]]*Tabelle40[[#This Row],[Skto%]]</f>
        <v>4.0554000000000006</v>
      </c>
      <c r="F17" s="51">
        <v>43299</v>
      </c>
      <c r="G17" s="8">
        <v>14</v>
      </c>
      <c r="H17" s="51">
        <f>Tabelle40[[#This Row],[Von]]+Tabelle40[[#This Row],[SKtoTage]]</f>
        <v>43313</v>
      </c>
      <c r="I17" s="51">
        <v>43305</v>
      </c>
      <c r="J17" s="38">
        <f>NETWORKDAYS(Tabelle40[[#This Row],[Von]],Tabelle40[[#This Row],[Bezahlt]])</f>
        <v>5</v>
      </c>
      <c r="K17" s="5">
        <f>Tabelle40[[#This Row],[Bezahlt workdays diff]]-Tabelle40[[#This Row],[SKtoTage]]</f>
        <v>-9</v>
      </c>
      <c r="L17" s="5" t="str">
        <f>IF(Tabelle40[[#This Row],[Später(Tage)]]&gt;0,Tabelle40[[#This Row],[Später(Tage)]],"")</f>
        <v/>
      </c>
      <c r="M17" s="49">
        <f>Tabelle40[[#This Row],[Betr]]-Tabelle40[[#This Row],[SktoBetr]]</f>
        <v>401.4846</v>
      </c>
    </row>
    <row r="18" spans="1:13" x14ac:dyDescent="0.25">
      <c r="A18" s="8">
        <v>305910</v>
      </c>
      <c r="B18" s="8">
        <v>1042671</v>
      </c>
      <c r="C18" s="41">
        <v>367.22</v>
      </c>
      <c r="D18" s="9">
        <v>0.02</v>
      </c>
      <c r="E18" s="49">
        <f>Tabelle40[[#This Row],[Betr]]*Tabelle40[[#This Row],[Skto%]]</f>
        <v>7.3444000000000003</v>
      </c>
      <c r="F18" s="51">
        <v>43285</v>
      </c>
      <c r="G18" s="8">
        <v>14</v>
      </c>
      <c r="H18" s="51">
        <f>Tabelle40[[#This Row],[Von]]+Tabelle40[[#This Row],[SKtoTage]]</f>
        <v>43299</v>
      </c>
      <c r="I18" s="51">
        <v>43305</v>
      </c>
      <c r="J18" s="38">
        <f>NETWORKDAYS(Tabelle40[[#This Row],[Von]],Tabelle40[[#This Row],[Bezahlt]])</f>
        <v>15</v>
      </c>
      <c r="K18" s="5">
        <f>Tabelle40[[#This Row],[Bezahlt workdays diff]]-Tabelle40[[#This Row],[SKtoTage]]</f>
        <v>1</v>
      </c>
      <c r="L18" s="5">
        <f>IF(Tabelle40[[#This Row],[Später(Tage)]]&gt;0,Tabelle40[[#This Row],[Später(Tage)]],"")</f>
        <v>1</v>
      </c>
      <c r="M18" s="49">
        <f>Tabelle40[[#This Row],[Betr]]-Tabelle40[[#This Row],[SktoBetr]]</f>
        <v>359.87560000000002</v>
      </c>
    </row>
    <row r="19" spans="1:13" x14ac:dyDescent="0.25">
      <c r="A19" s="8">
        <v>306077</v>
      </c>
      <c r="B19" s="8">
        <v>1042671</v>
      </c>
      <c r="C19" s="41">
        <v>410.24</v>
      </c>
      <c r="D19" s="9">
        <v>0.02</v>
      </c>
      <c r="E19" s="49">
        <f>Tabelle40[[#This Row],[Betr]]*Tabelle40[[#This Row],[Skto%]]</f>
        <v>8.2048000000000005</v>
      </c>
      <c r="F19" s="51">
        <v>43299</v>
      </c>
      <c r="G19" s="8">
        <v>14</v>
      </c>
      <c r="H19" s="51">
        <f>Tabelle40[[#This Row],[Von]]+Tabelle40[[#This Row],[SKtoTage]]</f>
        <v>43313</v>
      </c>
      <c r="I19" s="51">
        <v>43305</v>
      </c>
      <c r="J19" s="38">
        <f>NETWORKDAYS(Tabelle40[[#This Row],[Von]],Tabelle40[[#This Row],[Bezahlt]])</f>
        <v>5</v>
      </c>
      <c r="K19" s="5">
        <f>Tabelle40[[#This Row],[Bezahlt workdays diff]]-Tabelle40[[#This Row],[SKtoTage]]</f>
        <v>-9</v>
      </c>
      <c r="L19" s="5" t="str">
        <f>IF(Tabelle40[[#This Row],[Später(Tage)]]&gt;0,Tabelle40[[#This Row],[Später(Tage)]],"")</f>
        <v/>
      </c>
      <c r="M19" s="49">
        <f>Tabelle40[[#This Row],[Betr]]-Tabelle40[[#This Row],[SktoBetr]]</f>
        <v>402.03520000000003</v>
      </c>
    </row>
    <row r="20" spans="1:13" x14ac:dyDescent="0.25">
      <c r="A20" s="8">
        <v>306079</v>
      </c>
      <c r="B20" s="8">
        <v>1054401</v>
      </c>
      <c r="C20" s="41">
        <v>162.22</v>
      </c>
      <c r="D20" s="9">
        <v>0.01</v>
      </c>
      <c r="E20" s="49">
        <f>Tabelle40[[#This Row],[Betr]]*Tabelle40[[#This Row],[Skto%]]</f>
        <v>1.6222000000000001</v>
      </c>
      <c r="F20" s="51">
        <v>43299</v>
      </c>
      <c r="G20" s="8">
        <v>14</v>
      </c>
      <c r="H20" s="51">
        <f>Tabelle40[[#This Row],[Von]]+Tabelle40[[#This Row],[SKtoTage]]</f>
        <v>43313</v>
      </c>
      <c r="I20" s="51">
        <v>43311</v>
      </c>
      <c r="J20" s="38">
        <f>NETWORKDAYS(Tabelle40[[#This Row],[Von]],Tabelle40[[#This Row],[Bezahlt]])</f>
        <v>9</v>
      </c>
      <c r="K20" s="5">
        <f>Tabelle40[[#This Row],[Bezahlt workdays diff]]-Tabelle40[[#This Row],[SKtoTage]]</f>
        <v>-5</v>
      </c>
      <c r="L20" s="5" t="str">
        <f>IF(Tabelle40[[#This Row],[Später(Tage)]]&gt;0,Tabelle40[[#This Row],[Später(Tage)]],"")</f>
        <v/>
      </c>
      <c r="M20" s="49">
        <f>Tabelle40[[#This Row],[Betr]]-Tabelle40[[#This Row],[SktoBetr]]</f>
        <v>160.59780000000001</v>
      </c>
    </row>
    <row r="21" spans="1:13" x14ac:dyDescent="0.25">
      <c r="A21" s="8">
        <v>306031</v>
      </c>
      <c r="B21" s="38">
        <v>1042340</v>
      </c>
      <c r="C21" s="41">
        <v>319.64999999999998</v>
      </c>
      <c r="D21" s="9">
        <v>0.02</v>
      </c>
      <c r="E21" s="49">
        <f>Tabelle40[[#This Row],[Betr]]*Tabelle40[[#This Row],[Skto%]]</f>
        <v>6.3929999999999998</v>
      </c>
      <c r="F21" s="51">
        <v>43297</v>
      </c>
      <c r="G21" s="8">
        <v>14</v>
      </c>
      <c r="H21" s="51">
        <f>Tabelle40[[#This Row],[Von]]+Tabelle40[[#This Row],[SKtoTage]]</f>
        <v>43311</v>
      </c>
      <c r="I21" s="51">
        <v>43311</v>
      </c>
      <c r="J21" s="38">
        <f>NETWORKDAYS(Tabelle40[[#This Row],[Von]],Tabelle40[[#This Row],[Bezahlt]])</f>
        <v>11</v>
      </c>
      <c r="K21" s="5">
        <f>Tabelle40[[#This Row],[Bezahlt workdays diff]]-Tabelle40[[#This Row],[SKtoTage]]</f>
        <v>-3</v>
      </c>
      <c r="L21" s="5" t="str">
        <f>IF(Tabelle40[[#This Row],[Später(Tage)]]&gt;0,Tabelle40[[#This Row],[Später(Tage)]],"")</f>
        <v/>
      </c>
      <c r="M21" s="49">
        <f>Tabelle40[[#This Row],[Betr]]-Tabelle40[[#This Row],[SktoBetr]]</f>
        <v>313.25700000000001</v>
      </c>
    </row>
    <row r="22" spans="1:13" x14ac:dyDescent="0.25">
      <c r="A22" s="8">
        <v>306040</v>
      </c>
      <c r="B22" s="8">
        <v>1002581</v>
      </c>
      <c r="C22" s="41">
        <v>307.52</v>
      </c>
      <c r="D22" s="9">
        <v>0.03</v>
      </c>
      <c r="E22" s="49">
        <f>Tabelle40[[#This Row],[Betr]]*Tabelle40[[#This Row],[Skto%]]</f>
        <v>9.2255999999999982</v>
      </c>
      <c r="F22" s="51">
        <v>43297</v>
      </c>
      <c r="G22" s="8">
        <v>14</v>
      </c>
      <c r="H22" s="51">
        <f>Tabelle40[[#This Row],[Von]]+Tabelle40[[#This Row],[SKtoTage]]</f>
        <v>43311</v>
      </c>
      <c r="I22" s="51">
        <v>43312</v>
      </c>
      <c r="J22" s="38">
        <f>NETWORKDAYS(Tabelle40[[#This Row],[Von]],Tabelle40[[#This Row],[Bezahlt]])</f>
        <v>12</v>
      </c>
      <c r="K22" s="5">
        <f>Tabelle40[[#This Row],[Bezahlt workdays diff]]-Tabelle40[[#This Row],[SKtoTage]]</f>
        <v>-2</v>
      </c>
      <c r="L22" s="5" t="str">
        <f>IF(Tabelle40[[#This Row],[Später(Tage)]]&gt;0,Tabelle40[[#This Row],[Später(Tage)]],"")</f>
        <v/>
      </c>
      <c r="M22" s="49">
        <f>Tabelle40[[#This Row],[Betr]]-Tabelle40[[#This Row],[SktoBetr]]</f>
        <v>298.2944</v>
      </c>
    </row>
    <row r="23" spans="1:13" x14ac:dyDescent="0.25">
      <c r="A23" s="8">
        <v>306109</v>
      </c>
      <c r="B23" s="8">
        <v>1004730</v>
      </c>
      <c r="C23" s="41">
        <v>1502.89</v>
      </c>
      <c r="D23" s="9">
        <v>0.02</v>
      </c>
      <c r="E23" s="49">
        <f>Tabelle40[[#This Row],[Betr]]*Tabelle40[[#This Row],[Skto%]]</f>
        <v>30.057800000000004</v>
      </c>
      <c r="F23" s="51">
        <v>43301</v>
      </c>
      <c r="G23" s="8">
        <v>8</v>
      </c>
      <c r="H23" s="51">
        <f>Tabelle40[[#This Row],[Von]]+Tabelle40[[#This Row],[SKtoTage]]</f>
        <v>43309</v>
      </c>
      <c r="I23" s="51">
        <v>43312</v>
      </c>
      <c r="J23" s="38">
        <f>NETWORKDAYS(Tabelle40[[#This Row],[Von]],Tabelle40[[#This Row],[Bezahlt]])</f>
        <v>8</v>
      </c>
      <c r="K23" s="5">
        <f>Tabelle40[[#This Row],[Bezahlt workdays diff]]-Tabelle40[[#This Row],[SKtoTage]]</f>
        <v>0</v>
      </c>
      <c r="L23" s="5" t="str">
        <f>IF(Tabelle40[[#This Row],[Später(Tage)]]&gt;0,Tabelle40[[#This Row],[Später(Tage)]],"")</f>
        <v/>
      </c>
      <c r="M23" s="49">
        <f>Tabelle40[[#This Row],[Betr]]-Tabelle40[[#This Row],[SktoBetr]]</f>
        <v>1472.8322000000001</v>
      </c>
    </row>
    <row r="24" spans="1:13" x14ac:dyDescent="0.25">
      <c r="A24" s="8">
        <v>306048</v>
      </c>
      <c r="B24" s="8">
        <v>1050751</v>
      </c>
      <c r="C24" s="41">
        <v>102.85</v>
      </c>
      <c r="D24" s="9">
        <v>0.03</v>
      </c>
      <c r="E24" s="49">
        <f>Tabelle40[[#This Row],[Betr]]*Tabelle40[[#This Row],[Skto%]]</f>
        <v>3.0854999999999997</v>
      </c>
      <c r="F24" s="51">
        <v>43298</v>
      </c>
      <c r="G24" s="8">
        <v>14</v>
      </c>
      <c r="H24" s="51">
        <f>Tabelle40[[#This Row],[Von]]+Tabelle40[[#This Row],[SKtoTage]]</f>
        <v>43312</v>
      </c>
      <c r="I24" s="51">
        <v>43313</v>
      </c>
      <c r="J24" s="38">
        <f>NETWORKDAYS(Tabelle40[[#This Row],[Von]],Tabelle40[[#This Row],[Bezahlt]])</f>
        <v>12</v>
      </c>
      <c r="K24" s="5">
        <f>Tabelle40[[#This Row],[Bezahlt workdays diff]]-Tabelle40[[#This Row],[SKtoTage]]</f>
        <v>-2</v>
      </c>
      <c r="L24" s="5" t="str">
        <f>IF(Tabelle40[[#This Row],[Später(Tage)]]&gt;0,Tabelle40[[#This Row],[Später(Tage)]],"")</f>
        <v/>
      </c>
      <c r="M24" s="49">
        <f>Tabelle40[[#This Row],[Betr]]-Tabelle40[[#This Row],[SktoBetr]]</f>
        <v>99.764499999999998</v>
      </c>
    </row>
    <row r="25" spans="1:13" x14ac:dyDescent="0.25">
      <c r="A25" s="8">
        <v>306047</v>
      </c>
      <c r="B25" s="8">
        <v>1002521</v>
      </c>
      <c r="C25" s="41">
        <v>165.08</v>
      </c>
      <c r="D25" s="9">
        <v>0.03</v>
      </c>
      <c r="E25" s="49">
        <f>Tabelle40[[#This Row],[Betr]]*Tabelle40[[#This Row],[Skto%]]</f>
        <v>4.9523999999999999</v>
      </c>
      <c r="F25" s="51">
        <v>43298</v>
      </c>
      <c r="G25" s="8">
        <v>14</v>
      </c>
      <c r="H25" s="51">
        <f>Tabelle40[[#This Row],[Von]]+Tabelle40[[#This Row],[SKtoTage]]</f>
        <v>43312</v>
      </c>
      <c r="I25" s="51">
        <v>43313</v>
      </c>
      <c r="J25" s="38">
        <f>NETWORKDAYS(Tabelle40[[#This Row],[Von]],Tabelle40[[#This Row],[Bezahlt]])</f>
        <v>12</v>
      </c>
      <c r="K25" s="5">
        <f>Tabelle40[[#This Row],[Bezahlt workdays diff]]-Tabelle40[[#This Row],[SKtoTage]]</f>
        <v>-2</v>
      </c>
      <c r="L25" s="5" t="str">
        <f>IF(Tabelle40[[#This Row],[Später(Tage)]]&gt;0,Tabelle40[[#This Row],[Später(Tage)]],"")</f>
        <v/>
      </c>
      <c r="M25" s="49">
        <f>Tabelle40[[#This Row],[Betr]]-Tabelle40[[#This Row],[SktoBetr]]</f>
        <v>160.1276</v>
      </c>
    </row>
    <row r="26" spans="1:13" x14ac:dyDescent="0.25">
      <c r="A26" s="8">
        <v>306051</v>
      </c>
      <c r="B26" s="8">
        <v>1005910</v>
      </c>
      <c r="C26" s="41">
        <v>1527.36</v>
      </c>
      <c r="D26" s="9">
        <v>0.02</v>
      </c>
      <c r="E26" s="49">
        <f>Tabelle40[[#This Row],[Betr]]*Tabelle40[[#This Row],[Skto%]]</f>
        <v>30.5472</v>
      </c>
      <c r="F26" s="51">
        <v>43298</v>
      </c>
      <c r="G26" s="8">
        <v>14</v>
      </c>
      <c r="H26" s="51">
        <f>Tabelle40[[#This Row],[Von]]+Tabelle40[[#This Row],[SKtoTage]]</f>
        <v>43312</v>
      </c>
      <c r="I26" s="51">
        <v>43314</v>
      </c>
      <c r="J26" s="38">
        <f>NETWORKDAYS(Tabelle40[[#This Row],[Von]],Tabelle40[[#This Row],[Bezahlt]])</f>
        <v>13</v>
      </c>
      <c r="K26" s="5">
        <f>Tabelle40[[#This Row],[Bezahlt workdays diff]]-Tabelle40[[#This Row],[SKtoTage]]</f>
        <v>-1</v>
      </c>
      <c r="L26" s="5" t="str">
        <f>IF(Tabelle40[[#This Row],[Später(Tage)]]&gt;0,Tabelle40[[#This Row],[Später(Tage)]],"")</f>
        <v/>
      </c>
      <c r="M26" s="49">
        <f>Tabelle40[[#This Row],[Betr]]-Tabelle40[[#This Row],[SktoBetr]]</f>
        <v>1496.8127999999999</v>
      </c>
    </row>
  </sheetData>
  <pageMargins left="0.7" right="0.7" top="0.78740157499999996" bottom="0.78740157499999996" header="0.3" footer="0.3"/>
  <pageSetup paperSize="9" orientation="portrait" verticalDpi="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30"/>
  <sheetViews>
    <sheetView tabSelected="1" zoomScale="160" zoomScaleNormal="160" workbookViewId="0">
      <selection activeCell="I16" sqref="I16"/>
    </sheetView>
  </sheetViews>
  <sheetFormatPr baseColWidth="10" defaultRowHeight="15" x14ac:dyDescent="0.25"/>
  <cols>
    <col min="1" max="1" width="14.140625" bestFit="1" customWidth="1"/>
    <col min="4" max="4" width="26.5703125" bestFit="1" customWidth="1"/>
    <col min="7" max="7" width="26" bestFit="1" customWidth="1"/>
  </cols>
  <sheetData>
    <row r="1" spans="1:10" x14ac:dyDescent="0.25">
      <c r="A1" t="s">
        <v>23</v>
      </c>
      <c r="D1" t="s">
        <v>325</v>
      </c>
      <c r="E1" t="s">
        <v>328</v>
      </c>
    </row>
    <row r="2" spans="1:10" x14ac:dyDescent="0.25">
      <c r="D2" s="50" t="s">
        <v>326</v>
      </c>
      <c r="E2" t="s">
        <v>327</v>
      </c>
      <c r="F2" t="s">
        <v>215</v>
      </c>
    </row>
    <row r="3" spans="1:10" x14ac:dyDescent="0.25">
      <c r="A3" t="s">
        <v>24</v>
      </c>
      <c r="B3" t="s">
        <v>26</v>
      </c>
      <c r="F3" s="6" t="s">
        <v>106</v>
      </c>
      <c r="G3" s="6" t="s">
        <v>26</v>
      </c>
    </row>
    <row r="4" spans="1:10" x14ac:dyDescent="0.25">
      <c r="A4">
        <v>12268</v>
      </c>
      <c r="B4" t="s">
        <v>25</v>
      </c>
      <c r="F4">
        <v>4737</v>
      </c>
      <c r="G4" t="s">
        <v>214</v>
      </c>
    </row>
    <row r="5" spans="1:10" x14ac:dyDescent="0.25">
      <c r="A5">
        <v>11837</v>
      </c>
      <c r="B5" t="s">
        <v>25</v>
      </c>
    </row>
    <row r="6" spans="1:10" x14ac:dyDescent="0.25">
      <c r="F6" t="s">
        <v>86</v>
      </c>
      <c r="G6" t="s">
        <v>87</v>
      </c>
    </row>
    <row r="7" spans="1:10" x14ac:dyDescent="0.25">
      <c r="F7" t="s">
        <v>85</v>
      </c>
      <c r="G7">
        <v>4546</v>
      </c>
    </row>
    <row r="8" spans="1:10" x14ac:dyDescent="0.25">
      <c r="A8" s="6"/>
      <c r="B8" s="6"/>
      <c r="C8" s="6"/>
      <c r="D8" s="6"/>
      <c r="E8" s="6"/>
      <c r="F8" s="6"/>
      <c r="G8" s="6"/>
    </row>
    <row r="9" spans="1:10" x14ac:dyDescent="0.25">
      <c r="A9" s="6"/>
      <c r="B9" s="6"/>
      <c r="C9" s="6"/>
      <c r="D9" s="6"/>
      <c r="E9" s="6"/>
      <c r="F9" s="6"/>
      <c r="G9" s="6"/>
    </row>
    <row r="10" spans="1:10" x14ac:dyDescent="0.25">
      <c r="A10" s="6" t="s">
        <v>47</v>
      </c>
      <c r="B10" s="6" t="s">
        <v>82</v>
      </c>
      <c r="C10" s="6" t="s">
        <v>80</v>
      </c>
      <c r="D10" s="6" t="s">
        <v>116</v>
      </c>
      <c r="E10" s="6" t="s">
        <v>81</v>
      </c>
      <c r="F10" s="6" t="s">
        <v>94</v>
      </c>
      <c r="G10" s="6" t="s">
        <v>118</v>
      </c>
    </row>
    <row r="11" spans="1:10" x14ac:dyDescent="0.25">
      <c r="A11" s="2" t="s">
        <v>79</v>
      </c>
      <c r="B11" s="2">
        <v>70804</v>
      </c>
      <c r="C11" s="6">
        <v>3800</v>
      </c>
      <c r="D11" s="6" t="s">
        <v>121</v>
      </c>
      <c r="E11" s="6">
        <v>4735</v>
      </c>
      <c r="F11" s="6"/>
      <c r="G11" s="6" t="s">
        <v>313</v>
      </c>
    </row>
    <row r="12" spans="1:10" x14ac:dyDescent="0.25">
      <c r="A12" s="2"/>
      <c r="B12" s="2"/>
      <c r="C12" s="6"/>
      <c r="D12" s="6" t="s">
        <v>290</v>
      </c>
      <c r="E12" s="6"/>
      <c r="F12" s="6"/>
      <c r="G12" s="6"/>
    </row>
    <row r="13" spans="1:10" x14ac:dyDescent="0.25">
      <c r="A13" s="2" t="s">
        <v>83</v>
      </c>
      <c r="B13" s="2">
        <v>72002</v>
      </c>
      <c r="C13" s="6"/>
      <c r="D13" s="6"/>
      <c r="E13" s="6"/>
      <c r="F13" s="6">
        <v>4736</v>
      </c>
      <c r="G13" s="6" t="s">
        <v>119</v>
      </c>
      <c r="I13" s="4" t="s">
        <v>160</v>
      </c>
      <c r="J13" s="3" t="s">
        <v>161</v>
      </c>
    </row>
    <row r="14" spans="1:10" x14ac:dyDescent="0.25">
      <c r="A14" s="2" t="s">
        <v>314</v>
      </c>
      <c r="B14" s="2">
        <v>72803</v>
      </c>
      <c r="C14" s="6"/>
      <c r="D14" s="6"/>
      <c r="E14" s="6"/>
      <c r="F14" s="6">
        <v>4736</v>
      </c>
      <c r="G14" s="6" t="s">
        <v>315</v>
      </c>
      <c r="I14" s="4">
        <v>43437</v>
      </c>
      <c r="J14" s="5">
        <f>WEEKNUM(Tabelle118[[#This Row],[DATUM]],21)</f>
        <v>49</v>
      </c>
    </row>
    <row r="15" spans="1:10" x14ac:dyDescent="0.25">
      <c r="A15" s="2" t="s">
        <v>84</v>
      </c>
      <c r="B15" s="2"/>
      <c r="C15" s="6">
        <v>3810</v>
      </c>
      <c r="D15" s="6" t="s">
        <v>117</v>
      </c>
      <c r="E15" s="6"/>
      <c r="F15" s="6"/>
      <c r="G15" s="6" t="s">
        <v>120</v>
      </c>
      <c r="I15" s="4">
        <v>43447</v>
      </c>
      <c r="J15" s="5">
        <f>WEEKNUM(Tabelle118[[#This Row],[DATUM]],21)</f>
        <v>50</v>
      </c>
    </row>
    <row r="16" spans="1:10" x14ac:dyDescent="0.25">
      <c r="A16" s="2" t="s">
        <v>156</v>
      </c>
      <c r="B16" s="2">
        <v>74802</v>
      </c>
      <c r="C16" s="6"/>
      <c r="D16" s="6"/>
      <c r="E16" s="6"/>
      <c r="F16" s="6">
        <v>4738</v>
      </c>
      <c r="G16" s="6" t="s">
        <v>158</v>
      </c>
      <c r="I16" s="60"/>
    </row>
    <row r="17" spans="1:7" x14ac:dyDescent="0.25">
      <c r="A17" s="2" t="s">
        <v>159</v>
      </c>
      <c r="B17" s="2"/>
      <c r="C17" s="6"/>
      <c r="D17" s="6"/>
      <c r="F17" s="6">
        <v>4739</v>
      </c>
      <c r="G17" s="6" t="s">
        <v>157</v>
      </c>
    </row>
    <row r="18" spans="1:7" x14ac:dyDescent="0.25">
      <c r="A18" s="2"/>
      <c r="B18" s="2"/>
      <c r="C18" s="6"/>
      <c r="D18" s="6"/>
      <c r="E18" s="6"/>
      <c r="F18" s="6"/>
      <c r="G18" s="6"/>
    </row>
    <row r="19" spans="1:7" x14ac:dyDescent="0.25">
      <c r="A19" s="2"/>
      <c r="B19" s="2"/>
      <c r="C19" s="6"/>
      <c r="D19" s="6"/>
      <c r="E19" s="6"/>
      <c r="F19" s="6"/>
      <c r="G19" s="6"/>
    </row>
    <row r="20" spans="1:7" x14ac:dyDescent="0.25">
      <c r="A20" s="2"/>
      <c r="B20" s="2"/>
      <c r="C20" s="6"/>
      <c r="D20" s="6"/>
      <c r="E20" s="6"/>
      <c r="F20" s="6"/>
      <c r="G20" s="6"/>
    </row>
    <row r="21" spans="1:7" x14ac:dyDescent="0.25">
      <c r="A21" s="2"/>
      <c r="B21" s="2"/>
      <c r="C21" s="6"/>
      <c r="D21" s="6"/>
      <c r="E21" s="6"/>
      <c r="F21" s="6"/>
      <c r="G21" s="6"/>
    </row>
    <row r="22" spans="1:7" x14ac:dyDescent="0.25">
      <c r="A22" s="2"/>
      <c r="B22" s="2"/>
      <c r="C22" s="6"/>
      <c r="D22" s="6"/>
      <c r="E22" s="6"/>
      <c r="F22" s="6"/>
      <c r="G22" s="6"/>
    </row>
    <row r="23" spans="1:7" x14ac:dyDescent="0.25">
      <c r="A23" s="2" t="s">
        <v>316</v>
      </c>
    </row>
    <row r="24" spans="1:7" x14ac:dyDescent="0.25">
      <c r="A24" t="s">
        <v>47</v>
      </c>
      <c r="B24" t="s">
        <v>82</v>
      </c>
      <c r="C24" t="s">
        <v>80</v>
      </c>
      <c r="D24" t="s">
        <v>116</v>
      </c>
      <c r="E24" t="s">
        <v>81</v>
      </c>
      <c r="F24" t="s">
        <v>94</v>
      </c>
      <c r="G24" t="s">
        <v>118</v>
      </c>
    </row>
    <row r="25" spans="1:7" x14ac:dyDescent="0.25">
      <c r="A25" s="2" t="s">
        <v>79</v>
      </c>
      <c r="B25" s="2">
        <v>70400</v>
      </c>
      <c r="C25">
        <v>3811</v>
      </c>
      <c r="D25" t="s">
        <v>121</v>
      </c>
      <c r="E25">
        <v>4730</v>
      </c>
      <c r="G25" t="s">
        <v>120</v>
      </c>
    </row>
    <row r="26" spans="1:7" x14ac:dyDescent="0.25">
      <c r="A26" s="2"/>
      <c r="B26" s="2"/>
      <c r="C26" s="6"/>
      <c r="D26" s="6" t="s">
        <v>290</v>
      </c>
      <c r="E26" s="6"/>
      <c r="F26" s="6"/>
      <c r="G26" s="6"/>
    </row>
    <row r="27" spans="1:7" x14ac:dyDescent="0.25">
      <c r="A27" s="2" t="s">
        <v>83</v>
      </c>
      <c r="B27" s="2">
        <v>70722</v>
      </c>
      <c r="F27">
        <v>4740</v>
      </c>
      <c r="G27" t="s">
        <v>119</v>
      </c>
    </row>
    <row r="28" spans="1:7" x14ac:dyDescent="0.25">
      <c r="A28" s="2" t="s">
        <v>84</v>
      </c>
      <c r="B28" s="2">
        <v>70459</v>
      </c>
      <c r="C28">
        <v>3810</v>
      </c>
      <c r="D28" t="s">
        <v>117</v>
      </c>
      <c r="E28">
        <v>4738</v>
      </c>
      <c r="G28" t="s">
        <v>120</v>
      </c>
    </row>
    <row r="29" spans="1:7" x14ac:dyDescent="0.25">
      <c r="A29" s="2" t="s">
        <v>156</v>
      </c>
      <c r="B29" s="2">
        <v>71390</v>
      </c>
      <c r="E29">
        <v>4736</v>
      </c>
      <c r="G29" t="s">
        <v>158</v>
      </c>
    </row>
    <row r="30" spans="1:7" x14ac:dyDescent="0.25">
      <c r="A30" s="2" t="s">
        <v>159</v>
      </c>
      <c r="B30" s="2">
        <v>71390</v>
      </c>
      <c r="C30" s="3"/>
      <c r="D30" s="3"/>
      <c r="E30" s="3">
        <v>4735</v>
      </c>
      <c r="F30" s="3"/>
      <c r="G30" s="3" t="s">
        <v>157</v>
      </c>
    </row>
  </sheetData>
  <pageMargins left="0.7" right="0.7" top="0.78740157499999996" bottom="0.78740157499999996" header="0.3" footer="0.3"/>
  <pageSetup paperSize="9" orientation="landscape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10"/>
  <sheetViews>
    <sheetView zoomScale="220" zoomScaleNormal="220" workbookViewId="0">
      <selection activeCell="A5" sqref="A5"/>
    </sheetView>
  </sheetViews>
  <sheetFormatPr baseColWidth="10" defaultRowHeight="15" x14ac:dyDescent="0.25"/>
  <cols>
    <col min="1" max="1" width="11.85546875" customWidth="1"/>
  </cols>
  <sheetData>
    <row r="1" spans="1:2" x14ac:dyDescent="0.25">
      <c r="A1" t="s">
        <v>105</v>
      </c>
      <c r="B1" t="s">
        <v>106</v>
      </c>
    </row>
    <row r="2" spans="1:2" x14ac:dyDescent="0.25">
      <c r="A2" t="s">
        <v>108</v>
      </c>
      <c r="B2">
        <v>4531</v>
      </c>
    </row>
    <row r="3" spans="1:2" x14ac:dyDescent="0.25">
      <c r="A3" t="s">
        <v>109</v>
      </c>
      <c r="B3">
        <v>4534</v>
      </c>
    </row>
    <row r="4" spans="1:2" x14ac:dyDescent="0.25">
      <c r="A4" t="s">
        <v>107</v>
      </c>
      <c r="B4">
        <v>4530</v>
      </c>
    </row>
    <row r="5" spans="1:2" x14ac:dyDescent="0.25">
      <c r="A5" t="s">
        <v>110</v>
      </c>
      <c r="B5">
        <v>4530</v>
      </c>
    </row>
    <row r="6" spans="1:2" x14ac:dyDescent="0.25">
      <c r="A6" t="s">
        <v>115</v>
      </c>
      <c r="B6">
        <v>4530</v>
      </c>
    </row>
    <row r="7" spans="1:2" x14ac:dyDescent="0.25">
      <c r="A7" t="s">
        <v>114</v>
      </c>
      <c r="B7">
        <v>4530</v>
      </c>
    </row>
    <row r="8" spans="1:2" x14ac:dyDescent="0.25">
      <c r="A8" t="s">
        <v>113</v>
      </c>
      <c r="B8">
        <v>4530</v>
      </c>
    </row>
    <row r="9" spans="1:2" x14ac:dyDescent="0.25">
      <c r="A9" t="s">
        <v>111</v>
      </c>
      <c r="B9">
        <v>4530</v>
      </c>
    </row>
    <row r="10" spans="1:2" x14ac:dyDescent="0.25">
      <c r="A10" t="s">
        <v>112</v>
      </c>
      <c r="B10">
        <v>4530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2</vt:i4>
      </vt:variant>
    </vt:vector>
  </HeadingPairs>
  <TitlesOfParts>
    <vt:vector size="10" baseType="lpstr">
      <vt:lpstr>Calc Skto BETR</vt:lpstr>
      <vt:lpstr>VielerRG</vt:lpstr>
      <vt:lpstr>Simplecalc</vt:lpstr>
      <vt:lpstr>Normal</vt:lpstr>
      <vt:lpstr>GKto für Bank</vt:lpstr>
      <vt:lpstr>Skto Tages</vt:lpstr>
      <vt:lpstr>GKto L RG</vt:lpstr>
      <vt:lpstr>GKto für Wagen</vt:lpstr>
      <vt:lpstr>Betrag</vt:lpstr>
      <vt:lpstr>'GKto L RG'!Druckbereich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Dahn Park</dc:creator>
  <cp:lastModifiedBy>Dahn Park</cp:lastModifiedBy>
  <cp:lastPrinted>2017-08-02T11:27:52Z</cp:lastPrinted>
  <dcterms:created xsi:type="dcterms:W3CDTF">2016-06-02T07:06:51Z</dcterms:created>
  <dcterms:modified xsi:type="dcterms:W3CDTF">2018-12-19T16:07:04Z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43d4f614-09fd-422b-a81b-d4715a2e5abc</vt:lpwstr>
  </property>
</Properties>
</file>