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drawings/drawing1.xml" ContentType="application/vnd.openxmlformats-officedocument.drawing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webextensions/webextension1.xml" ContentType="application/vnd.ms-office.webextension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53222"/>
  <mc:AlternateContent xmlns:mc="http://schemas.openxmlformats.org/markup-compatibility/2006">
    <mc:Choice Requires="x15">
      <x15ac:absPath xmlns:x15ac="http://schemas.microsoft.com/office/spreadsheetml/2010/11/ac" url="C:\Users\A.Roennburg\Documents\GH_GitManaged\"/>
    </mc:Choice>
  </mc:AlternateContent>
  <bookViews>
    <workbookView xWindow="0" yWindow="0" windowWidth="7740" windowHeight="6300" firstSheet="2" activeTab="4"/>
  </bookViews>
  <sheets>
    <sheet name="Calc Skto BETR" sheetId="7" r:id="rId1"/>
    <sheet name="VielerRG" sheetId="6" r:id="rId2"/>
    <sheet name="Simplecalc" sheetId="5" r:id="rId3"/>
    <sheet name="Normal" sheetId="1" r:id="rId4"/>
    <sheet name="GKto für Bank" sheetId="4" r:id="rId5"/>
    <sheet name="GKto L RG" sheetId="2" r:id="rId6"/>
    <sheet name="GKto für Wagen" sheetId="3" r:id="rId7"/>
  </sheets>
  <definedNames>
    <definedName name="Betrag">'Calc Skto BETR'!$B$1</definedName>
    <definedName name="_xlnm.Print_Area" localSheetId="5">Tabelle8[#All]</definedName>
  </definedNames>
  <calcPr calcId="152511"/>
  <pivotCaches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4" l="1"/>
  <c r="N33" i="4"/>
  <c r="M34" i="4"/>
  <c r="N34" i="4"/>
  <c r="M35" i="4"/>
  <c r="N35" i="4"/>
  <c r="M36" i="4"/>
  <c r="N36" i="4"/>
  <c r="M37" i="4"/>
  <c r="N37" i="4"/>
  <c r="M38" i="4"/>
  <c r="N38" i="4"/>
  <c r="M39" i="4" l="1"/>
  <c r="N39" i="4"/>
  <c r="M32" i="4"/>
  <c r="N32" i="4"/>
  <c r="M31" i="4" l="1"/>
  <c r="N31" i="4"/>
  <c r="M43" i="4" l="1"/>
  <c r="N26" i="4" l="1"/>
  <c r="O26" i="4"/>
  <c r="N25" i="4"/>
  <c r="O25" i="4"/>
  <c r="N24" i="4"/>
  <c r="O24" i="4"/>
  <c r="K40" i="4" l="1"/>
  <c r="B4" i="7" l="1"/>
  <c r="C4" i="7" s="1"/>
  <c r="B5" i="7"/>
  <c r="C5" i="7" s="1"/>
  <c r="B6" i="7"/>
  <c r="C6" i="7" s="1"/>
  <c r="M27" i="4" l="1"/>
  <c r="N23" i="4" l="1"/>
  <c r="O23" i="4"/>
  <c r="O22" i="4"/>
  <c r="N22" i="4"/>
  <c r="O27" i="4" l="1"/>
  <c r="M40" i="4"/>
  <c r="N40" i="4"/>
  <c r="K5" i="4" l="1"/>
  <c r="C43" i="5" l="1"/>
  <c r="D43" i="5" s="1"/>
  <c r="C44" i="5"/>
  <c r="D44" i="5" s="1"/>
  <c r="C45" i="5"/>
  <c r="D45" i="5" s="1"/>
  <c r="M44" i="5"/>
  <c r="J44" i="5"/>
  <c r="G44" i="5"/>
  <c r="K44" i="5" l="1"/>
  <c r="I44" i="5"/>
  <c r="H44" i="5"/>
  <c r="L44" i="5"/>
  <c r="N2" i="4"/>
  <c r="O2" i="4" s="1"/>
  <c r="N3" i="4"/>
  <c r="O3" i="4" s="1"/>
  <c r="N4" i="4"/>
  <c r="O4" i="4" s="1"/>
  <c r="M5" i="4"/>
  <c r="L5" i="4"/>
  <c r="N5" i="4" l="1"/>
  <c r="D9" i="6" l="1"/>
  <c r="E9" i="6"/>
  <c r="D3" i="6"/>
  <c r="E3" i="6"/>
  <c r="D14" i="6"/>
  <c r="E14" i="6"/>
  <c r="D7" i="6"/>
  <c r="E7" i="6"/>
  <c r="D8" i="6"/>
  <c r="E8" i="6"/>
  <c r="D5" i="6"/>
  <c r="E5" i="6"/>
  <c r="D11" i="6"/>
  <c r="E11" i="6"/>
  <c r="D6" i="6"/>
  <c r="E6" i="6"/>
  <c r="D10" i="6"/>
  <c r="E10" i="6"/>
  <c r="D4" i="6"/>
  <c r="E4" i="6"/>
  <c r="D12" i="6"/>
  <c r="E12" i="6"/>
  <c r="D2" i="6"/>
  <c r="E2" i="6"/>
  <c r="D13" i="6"/>
  <c r="E13" i="6"/>
  <c r="E19" i="6" l="1"/>
  <c r="L18" i="5"/>
  <c r="I18" i="5"/>
  <c r="C17" i="5"/>
  <c r="D17" i="5"/>
  <c r="M18" i="5"/>
  <c r="D16" i="5"/>
  <c r="C16" i="5"/>
  <c r="H18" i="5" s="1"/>
  <c r="M11" i="5"/>
  <c r="L11" i="5"/>
  <c r="N11" i="5"/>
  <c r="J11" i="5"/>
  <c r="A6" i="5"/>
  <c r="C5" i="5"/>
  <c r="D5" i="5"/>
  <c r="F5" i="5" s="1"/>
  <c r="C4" i="5"/>
  <c r="D4" i="5"/>
  <c r="F4" i="5" s="1"/>
  <c r="C3" i="5"/>
  <c r="D3" i="5"/>
  <c r="C2" i="5"/>
  <c r="D2" i="5"/>
  <c r="F2" i="5" s="1"/>
  <c r="D19" i="5" l="1"/>
  <c r="J18" i="5"/>
  <c r="K18" i="5"/>
  <c r="G18" i="5"/>
  <c r="K11" i="5"/>
  <c r="D6" i="5"/>
  <c r="C6" i="5"/>
  <c r="E5" i="5"/>
  <c r="E3" i="5"/>
  <c r="E4" i="5"/>
  <c r="F3" i="5"/>
  <c r="E2" i="5"/>
  <c r="J5" i="4" l="1"/>
  <c r="H22" i="1" l="1"/>
  <c r="L18" i="4" l="1"/>
  <c r="M18" i="4" s="1"/>
  <c r="G5" i="4" l="1"/>
  <c r="G6" i="4"/>
  <c r="G7" i="4"/>
  <c r="J15" i="2" l="1"/>
  <c r="J14" i="2"/>
  <c r="H7" i="4" l="1"/>
  <c r="H6" i="4" l="1"/>
  <c r="H5" i="4"/>
</calcChain>
</file>

<file path=xl/sharedStrings.xml><?xml version="1.0" encoding="utf-8"?>
<sst xmlns="http://schemas.openxmlformats.org/spreadsheetml/2006/main" count="421" uniqueCount="306">
  <si>
    <t>FullName</t>
  </si>
  <si>
    <t>HOBA Name</t>
  </si>
  <si>
    <t>Semoulerie DE Bellevue</t>
  </si>
  <si>
    <t>Panzani</t>
  </si>
  <si>
    <t>Tartufi Alfonso Fortunati</t>
  </si>
  <si>
    <t>Fortunati</t>
  </si>
  <si>
    <t>Firma Heinz Stender</t>
  </si>
  <si>
    <t>Stender Gewürze</t>
  </si>
  <si>
    <t>Henry Lamotte Food</t>
  </si>
  <si>
    <t>Lamotte</t>
  </si>
  <si>
    <t>Edeka</t>
  </si>
  <si>
    <t>Mios</t>
  </si>
  <si>
    <t>Heiß</t>
  </si>
  <si>
    <t>Unter</t>
  </si>
  <si>
    <t>D&amp;D Italia SpA</t>
  </si>
  <si>
    <t>D'Amico</t>
  </si>
  <si>
    <t>Damico</t>
  </si>
  <si>
    <t>FOOD-SERVIC E Deiters &amp; Florin</t>
  </si>
  <si>
    <t>Deiters</t>
  </si>
  <si>
    <t>Bernhard Schell</t>
  </si>
  <si>
    <t>Schell</t>
  </si>
  <si>
    <t>CONSERVAS EL ARENAL S.L.</t>
  </si>
  <si>
    <t>EL ARENAL</t>
  </si>
  <si>
    <t>Massafra</t>
  </si>
  <si>
    <t>Art.Nr</t>
  </si>
  <si>
    <t>Wine</t>
  </si>
  <si>
    <t>Bez</t>
  </si>
  <si>
    <t>Aegean foods gmbH Frischfisch</t>
  </si>
  <si>
    <t>Aegean Foods GmbH</t>
  </si>
  <si>
    <t>Words</t>
  </si>
  <si>
    <t>Means(Text)</t>
  </si>
  <si>
    <t>EINFUHRUMSATZTEUER</t>
  </si>
  <si>
    <t>EUST</t>
  </si>
  <si>
    <t>Salsa Tartufata vaso</t>
  </si>
  <si>
    <t>Trüffelsauce</t>
  </si>
  <si>
    <t>Burro e Tartufo Estivo in vaso</t>
  </si>
  <si>
    <t>Trüffelbutter</t>
  </si>
  <si>
    <t>TrüffelSscheiben</t>
  </si>
  <si>
    <t>Tartufo Estivo a fettine</t>
  </si>
  <si>
    <t>Condim.Arom. Al T.B.bott.Ml</t>
  </si>
  <si>
    <t>Trüffelöl(Condiment Truffle Aroma)</t>
  </si>
  <si>
    <t>NK</t>
  </si>
  <si>
    <t>G.Konto</t>
  </si>
  <si>
    <t>VoST</t>
  </si>
  <si>
    <t>WE Ausland</t>
  </si>
  <si>
    <t xml:space="preserve">/71 Gandules W35841 </t>
  </si>
  <si>
    <t>/72 Indel Food W35845</t>
  </si>
  <si>
    <t>Spalte1</t>
  </si>
  <si>
    <t>Spalte2</t>
  </si>
  <si>
    <t>Chep Paletten</t>
  </si>
  <si>
    <t>Bank Nebenkosten für Überweisung, Nicht buchung</t>
  </si>
  <si>
    <t>Westarp Entsorgung</t>
  </si>
  <si>
    <t>Auto?</t>
  </si>
  <si>
    <t>Info</t>
  </si>
  <si>
    <t>Inland</t>
  </si>
  <si>
    <t>EG-Erwerb</t>
  </si>
  <si>
    <t>Inalnd</t>
  </si>
  <si>
    <t>Ausland</t>
  </si>
  <si>
    <t>Lief. EG</t>
  </si>
  <si>
    <t>Fracht+MIAG aus Drittland</t>
  </si>
  <si>
    <t>Fracht aus EG</t>
  </si>
  <si>
    <t>Fracht Frische Nudeln</t>
  </si>
  <si>
    <t>div. Ausgangfracht</t>
  </si>
  <si>
    <t>/75 ADU FOOD W35854</t>
  </si>
  <si>
    <t>Candel, Manuel Mateo S.L.</t>
  </si>
  <si>
    <t>Manuel Mateo Candel. S.L</t>
  </si>
  <si>
    <t>Tressini</t>
  </si>
  <si>
    <t>Tress</t>
  </si>
  <si>
    <t>Fr. Trüffel</t>
  </si>
  <si>
    <t>Ausgangfracht MARKANT</t>
  </si>
  <si>
    <t>Ausgangfracht DHL Freight</t>
  </si>
  <si>
    <t>Ausgangfracht Kaufland Logistik</t>
  </si>
  <si>
    <t>Ausgangfracht LM GLS</t>
  </si>
  <si>
    <t>Luigi Lazzaris &amp; Figlio</t>
  </si>
  <si>
    <t>Lazzaris</t>
  </si>
  <si>
    <t>Familienkelterei Possmann</t>
  </si>
  <si>
    <t>Possmann</t>
  </si>
  <si>
    <t>Herman Kuijper</t>
  </si>
  <si>
    <t>Kuijper</t>
  </si>
  <si>
    <t>DACHSER</t>
  </si>
  <si>
    <t>EINGANG</t>
  </si>
  <si>
    <t>AUSGANG(Fracht)</t>
  </si>
  <si>
    <t>KtoNr</t>
  </si>
  <si>
    <t>GLS</t>
  </si>
  <si>
    <t>DHL</t>
  </si>
  <si>
    <t>H821</t>
  </si>
  <si>
    <t>Modell</t>
  </si>
  <si>
    <t>G.Kto</t>
  </si>
  <si>
    <t>Euler Hermes</t>
  </si>
  <si>
    <t>Hermes</t>
  </si>
  <si>
    <t>Werner Hedtrich</t>
  </si>
  <si>
    <t>Hedtrich Steuerberater</t>
  </si>
  <si>
    <t>Autohaus Luft</t>
  </si>
  <si>
    <t>Luft Autohaus</t>
  </si>
  <si>
    <t>Ausgang</t>
  </si>
  <si>
    <t>engelbert strauss</t>
  </si>
  <si>
    <t>Strauss, Engelbert</t>
  </si>
  <si>
    <t>GSM Wegner</t>
  </si>
  <si>
    <t>Wegner</t>
  </si>
  <si>
    <t>C.Schröter</t>
  </si>
  <si>
    <t>Schröter Papierwarenfabr. gmbH</t>
  </si>
  <si>
    <t>P.PLAGAKI</t>
  </si>
  <si>
    <t>Plagaki Politimi</t>
  </si>
  <si>
    <t>Jos Poell</t>
  </si>
  <si>
    <t>Poell,Jos</t>
  </si>
  <si>
    <t>Model NR</t>
  </si>
  <si>
    <t>Gkto</t>
  </si>
  <si>
    <t>HG GH123</t>
  </si>
  <si>
    <t>HG H 180</t>
  </si>
  <si>
    <t>HG H 390</t>
  </si>
  <si>
    <t>WAGEN 1</t>
  </si>
  <si>
    <t>WAGEN 6</t>
  </si>
  <si>
    <t>WAGEN 7</t>
  </si>
  <si>
    <t>WAGEN 4</t>
  </si>
  <si>
    <t>WAGEN 3</t>
  </si>
  <si>
    <t>WAGEN 2</t>
  </si>
  <si>
    <t>Text Eingang</t>
  </si>
  <si>
    <t>[Absender]</t>
  </si>
  <si>
    <t>Text Ausgang</t>
  </si>
  <si>
    <t>Pakete KW #</t>
  </si>
  <si>
    <t>Fracht KW #</t>
  </si>
  <si>
    <t>[Absender] #.#.##</t>
  </si>
  <si>
    <t>Coface</t>
  </si>
  <si>
    <t>Name</t>
  </si>
  <si>
    <t>SCHECK E.V</t>
  </si>
  <si>
    <t>Markant</t>
  </si>
  <si>
    <t>Spalte3</t>
  </si>
  <si>
    <t>Verwendungszweck</t>
  </si>
  <si>
    <t>Ust</t>
  </si>
  <si>
    <t>Lager VK</t>
  </si>
  <si>
    <t>/108 ADU FOOD W35990</t>
  </si>
  <si>
    <t>Markant Verrgkto</t>
  </si>
  <si>
    <t>Edeka Verrgskto</t>
  </si>
  <si>
    <t>REWE Verrgskto</t>
  </si>
  <si>
    <t>FINANZ AMT BAD HOMBURG</t>
  </si>
  <si>
    <t>GH GmbH Ust-VA Q#/JJ</t>
  </si>
  <si>
    <t>003/234/94247</t>
  </si>
  <si>
    <t>ST Nr</t>
  </si>
  <si>
    <t>TEXT2</t>
  </si>
  <si>
    <t>GRUNDST</t>
  </si>
  <si>
    <t>003 326 30045</t>
  </si>
  <si>
    <t>GrdStGem Ust-VA MM/JJ</t>
  </si>
  <si>
    <t>UMS.ST, SOLL&lt;+&gt;</t>
  </si>
  <si>
    <t>UMS.ST, HABEN&lt;-&gt;</t>
  </si>
  <si>
    <t>179#</t>
  </si>
  <si>
    <t>GH GmbH Ust-VA (JJJJ|MM/JJ)</t>
  </si>
  <si>
    <t>LOHNST</t>
  </si>
  <si>
    <t>MM/JJ</t>
  </si>
  <si>
    <t>Tannus Zeitung</t>
  </si>
  <si>
    <t>Kreditor</t>
  </si>
  <si>
    <t>Unser KD NR</t>
  </si>
  <si>
    <t>4940T7%</t>
  </si>
  <si>
    <t>1741T</t>
  </si>
  <si>
    <t>1740T0%</t>
  </si>
  <si>
    <t>Ambrosi, Brigitte</t>
  </si>
  <si>
    <t>Gategummi Sammel Kto</t>
  </si>
  <si>
    <t>NAGEL</t>
  </si>
  <si>
    <t>Pasta [Empänger] T.M.JJ</t>
  </si>
  <si>
    <t>Retouren [Empänger] T.M.JJ</t>
  </si>
  <si>
    <r>
      <t xml:space="preserve"> </t>
    </r>
    <r>
      <rPr>
        <b/>
        <sz val="11"/>
        <color theme="1"/>
        <rFont val="Microsoft Sans Serif"/>
        <family val="2"/>
      </rPr>
      <t>Ͱ</t>
    </r>
    <r>
      <rPr>
        <b/>
        <sz val="11"/>
        <color theme="1"/>
        <rFont val="Calibri"/>
        <family val="2"/>
        <scheme val="minor"/>
      </rPr>
      <t>NAGEL  - Pasta</t>
    </r>
  </si>
  <si>
    <t>DATUM</t>
  </si>
  <si>
    <t>KW</t>
  </si>
  <si>
    <t>WKZ</t>
  </si>
  <si>
    <t>Werbenkostenzuschuss</t>
  </si>
  <si>
    <t>Spalte32</t>
  </si>
  <si>
    <t>RG</t>
  </si>
  <si>
    <t>Betr</t>
  </si>
  <si>
    <t>Skto%</t>
  </si>
  <si>
    <t>Skto</t>
  </si>
  <si>
    <t>Gesamt</t>
  </si>
  <si>
    <t>PNS HK</t>
  </si>
  <si>
    <t>Klein Erlösschmälerung Drittland</t>
  </si>
  <si>
    <t>Groß Erlöss</t>
  </si>
  <si>
    <t>[RG Nr]*</t>
  </si>
  <si>
    <t>Text</t>
  </si>
  <si>
    <t>[Bez] [RG.Nr] [Kreditor]</t>
  </si>
  <si>
    <t>Kto Bez</t>
  </si>
  <si>
    <t>Lastschrift</t>
  </si>
  <si>
    <t>Versicherungen</t>
  </si>
  <si>
    <t>Allianz</t>
  </si>
  <si>
    <t>4360T0%</t>
  </si>
  <si>
    <t>AS-0187201308</t>
  </si>
  <si>
    <t>TEXT</t>
  </si>
  <si>
    <t>Allianz Gebäudevers Caputh 2016</t>
  </si>
  <si>
    <t>Tartufo Estivo fresco al naturale</t>
  </si>
  <si>
    <t>Tartufo Estivo intero fresco</t>
  </si>
  <si>
    <t>Sale al Tartufo vaso</t>
  </si>
  <si>
    <t>Trüffel Salz</t>
  </si>
  <si>
    <t>Betrag</t>
  </si>
  <si>
    <t>Bezahlt</t>
  </si>
  <si>
    <t>Abzüge</t>
  </si>
  <si>
    <t>Prozent</t>
  </si>
  <si>
    <t>Marktplatz Zwickau</t>
  </si>
  <si>
    <t>Kultour Z. GmbH</t>
  </si>
  <si>
    <t>BEK</t>
  </si>
  <si>
    <t>PersonalNummer</t>
  </si>
  <si>
    <t>00118</t>
  </si>
  <si>
    <t>Glöckner, T</t>
  </si>
  <si>
    <t>00238</t>
  </si>
  <si>
    <t>Chaabaene</t>
  </si>
  <si>
    <t>Darlehen CoBa # 626 257 020</t>
  </si>
  <si>
    <t>Darlehen CoBa # 626 257 021</t>
  </si>
  <si>
    <t>Frankiermachine</t>
  </si>
  <si>
    <t>Porto</t>
  </si>
  <si>
    <t>Miag Verrchnungskonto</t>
  </si>
  <si>
    <t>1592T</t>
  </si>
  <si>
    <t>Gategourmet</t>
  </si>
  <si>
    <t>Zentrag</t>
  </si>
  <si>
    <t>Sammel Kto</t>
  </si>
  <si>
    <t>Helmut Westarp</t>
  </si>
  <si>
    <t>dfv Mediengruppe</t>
  </si>
  <si>
    <t>Deutscher Fachverlag</t>
  </si>
  <si>
    <t>Kfz-St</t>
  </si>
  <si>
    <t>980T</t>
  </si>
  <si>
    <t>MARKANT</t>
  </si>
  <si>
    <t xml:space="preserve"> Belastung vom Sandra</t>
  </si>
  <si>
    <t>formaggio pecorino al tartufo bianchetto</t>
  </si>
  <si>
    <t>Pecorino-Käse auf dem weißen Trüffel</t>
  </si>
  <si>
    <t>formaggio vaccino al Tartufo bianco</t>
  </si>
  <si>
    <t>Kuh Käse mit weißem Trüffel</t>
  </si>
  <si>
    <t>EG Weine 19%</t>
  </si>
  <si>
    <t>/130 Dragani W36094</t>
  </si>
  <si>
    <t>Mibusa food</t>
  </si>
  <si>
    <t>mika am market</t>
  </si>
  <si>
    <t>Couscous</t>
  </si>
  <si>
    <t>Polenta</t>
  </si>
  <si>
    <t>PD Code</t>
  </si>
  <si>
    <t>BankGeb</t>
  </si>
  <si>
    <t>TS Geb Q#/JJ</t>
  </si>
  <si>
    <t>TS aus Coface Geb Q#/JJ</t>
  </si>
  <si>
    <t>Konto Nr</t>
  </si>
  <si>
    <t>4970T0%</t>
  </si>
  <si>
    <t>adobe</t>
  </si>
  <si>
    <t>00114</t>
  </si>
  <si>
    <t>Pinker</t>
  </si>
  <si>
    <t>LORHO FROMAGER AFFINEUR</t>
  </si>
  <si>
    <t>Frische Paradies</t>
  </si>
  <si>
    <t>CONSERVAS VEGETALES</t>
  </si>
  <si>
    <t>Miele e Tartufo</t>
  </si>
  <si>
    <t>Trüffel Honig</t>
  </si>
  <si>
    <t>Konto Entgelt</t>
  </si>
  <si>
    <t>Konto Zinsen</t>
  </si>
  <si>
    <t>MMV Leasing</t>
  </si>
  <si>
    <t>Leasplan Deutschland GmbH</t>
  </si>
  <si>
    <t>Leas H180
Leas H390</t>
  </si>
  <si>
    <t>Brutto</t>
  </si>
  <si>
    <t>Ust%</t>
  </si>
  <si>
    <t>Netto</t>
  </si>
  <si>
    <t>Brutto2</t>
  </si>
  <si>
    <t>Brutto3</t>
  </si>
  <si>
    <t>Ust2</t>
  </si>
  <si>
    <t>Ust_Pct</t>
  </si>
  <si>
    <t>SuchenBegriff</t>
  </si>
  <si>
    <t>Value</t>
  </si>
  <si>
    <t>dSum</t>
  </si>
  <si>
    <t>Field</t>
  </si>
  <si>
    <t>Kaution</t>
  </si>
  <si>
    <t>Gesamtergebnis</t>
  </si>
  <si>
    <t>Zeilenbeschriftungen</t>
  </si>
  <si>
    <t>Summe von Brutto</t>
  </si>
  <si>
    <t>Summe von Netto</t>
  </si>
  <si>
    <t>Summe von Ust</t>
  </si>
  <si>
    <t>Tartufo estivo in paté</t>
  </si>
  <si>
    <t>Sommertrüffel Pastete/Pate</t>
  </si>
  <si>
    <t>Summe von Betrag</t>
  </si>
  <si>
    <t>Crema di Porcini Tartufati</t>
  </si>
  <si>
    <t>Trüffelcreme</t>
  </si>
  <si>
    <t>Crema e pezzettoni di Porcini vaso</t>
  </si>
  <si>
    <t>Steinpilzcreme m.Stücken</t>
  </si>
  <si>
    <t>Sugo di Pomodoro e Tartufo</t>
  </si>
  <si>
    <t>Sugo di pomodoro</t>
  </si>
  <si>
    <t>RGNr</t>
  </si>
  <si>
    <t>R24239</t>
  </si>
  <si>
    <t>R24240</t>
  </si>
  <si>
    <t>R24241</t>
  </si>
  <si>
    <t>R24305</t>
  </si>
  <si>
    <t>(Leer)</t>
  </si>
  <si>
    <t>2515T</t>
  </si>
  <si>
    <t>Bundesagentur für Arbeit</t>
  </si>
  <si>
    <t>tartufo uncinato fresco.</t>
  </si>
  <si>
    <t>tartufo bianco pregiato intero fresco.</t>
  </si>
  <si>
    <t>Trüffel Uncinato</t>
  </si>
  <si>
    <t>Weiß Trüffel</t>
  </si>
  <si>
    <t>Etablissements Clément Faugier Marrons Glacés de I'Ardéche</t>
  </si>
  <si>
    <t>Faugier Clément - Privas</t>
  </si>
  <si>
    <t>Spalte4</t>
  </si>
  <si>
    <t>Salsicce di cinghiale al Tartufo Estivo</t>
  </si>
  <si>
    <t>Trüffelwurst</t>
  </si>
  <si>
    <t>Provision - Zinsen für bank "Kosten Geldverkehr"</t>
  </si>
  <si>
    <t>Abzug</t>
  </si>
  <si>
    <t>Abzug PCT</t>
  </si>
  <si>
    <t>[Absender1]/[Absender2]/…</t>
  </si>
  <si>
    <t>VGRE VGRE FRB.</t>
  </si>
  <si>
    <t>Himbeeressig</t>
  </si>
  <si>
    <t>Epice a foie gras</t>
  </si>
  <si>
    <t>Gänselebergewürz</t>
  </si>
  <si>
    <t>Zollabgeben</t>
  </si>
  <si>
    <t>Abzuge</t>
  </si>
  <si>
    <t>Ergebnis</t>
  </si>
  <si>
    <t>Skto Abzug</t>
  </si>
  <si>
    <t>Original</t>
  </si>
  <si>
    <t>salame di Cinghiale al Tartufo</t>
  </si>
  <si>
    <t>Wildschwein Wurst mit Trüffel</t>
  </si>
  <si>
    <t>Salsicce di maiale al Tartufo</t>
  </si>
  <si>
    <t>Schweinswürste mit Trüffeln</t>
  </si>
  <si>
    <t>Skonti 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</si>
</sst>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  <numFmt numFmtId="165" formatCode="#,##0.0000\ _€;[Red]\-#,##0.0000\ _€"/>
    <numFmt numFmtId="166" formatCode="0.00_ ;[Red]\-0.00\ "/>
    <numFmt numFmtId="167" formatCode="0.0000%"/>
    <numFmt numFmtId="168" formatCode="#,##0.00_ ;[Red]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Inconsolat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icrosoft Sans Serif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/>
    <xf numFmtId="2" fontId="0" fillId="0" borderId="0" xfId="0" applyNumberFormat="1"/>
    <xf numFmtId="0" fontId="0" fillId="0" borderId="0" xfId="0" applyFill="1"/>
    <xf numFmtId="9" fontId="0" fillId="0" borderId="0" xfId="0" applyNumberFormat="1" applyFill="1"/>
    <xf numFmtId="44" fontId="0" fillId="0" borderId="0" xfId="2" applyFont="1" applyFill="1"/>
    <xf numFmtId="2" fontId="0" fillId="0" borderId="0" xfId="0" applyNumberFormat="1" applyFill="1"/>
    <xf numFmtId="44" fontId="5" fillId="0" borderId="0" xfId="2" applyFont="1" applyFill="1"/>
    <xf numFmtId="10" fontId="0" fillId="0" borderId="0" xfId="1" applyNumberFormat="1" applyFont="1" applyFill="1"/>
    <xf numFmtId="49" fontId="0" fillId="0" borderId="0" xfId="0" applyNumberFormat="1" applyFill="1"/>
    <xf numFmtId="0" fontId="0" fillId="0" borderId="0" xfId="0" quotePrefix="1" applyFill="1"/>
    <xf numFmtId="0" fontId="0" fillId="0" borderId="0" xfId="0" applyFill="1" applyAlignment="1">
      <alignment wrapText="1"/>
    </xf>
    <xf numFmtId="9" fontId="0" fillId="0" borderId="0" xfId="0" applyNumberFormat="1"/>
    <xf numFmtId="9" fontId="0" fillId="0" borderId="0" xfId="0" quotePrefix="1" applyNumberFormat="1"/>
    <xf numFmtId="164" fontId="0" fillId="0" borderId="0" xfId="0" applyNumberFormat="1"/>
    <xf numFmtId="8" fontId="0" fillId="0" borderId="0" xfId="0" applyNumberFormat="1"/>
    <xf numFmtId="0" fontId="0" fillId="2" borderId="1" xfId="0" applyFill="1" applyBorder="1"/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2" borderId="4" xfId="0" applyFill="1" applyBorder="1"/>
    <xf numFmtId="9" fontId="0" fillId="0" borderId="5" xfId="0" applyNumberFormat="1" applyBorder="1"/>
    <xf numFmtId="9" fontId="0" fillId="3" borderId="5" xfId="0" applyNumberFormat="1" applyFill="1" applyBorder="1"/>
    <xf numFmtId="9" fontId="0" fillId="0" borderId="6" xfId="0" applyNumberFormat="1" applyBorder="1"/>
    <xf numFmtId="0" fontId="0" fillId="2" borderId="7" xfId="0" applyFill="1" applyBorder="1"/>
    <xf numFmtId="8" fontId="0" fillId="0" borderId="8" xfId="0" applyNumberFormat="1" applyBorder="1"/>
    <xf numFmtId="8" fontId="0" fillId="3" borderId="8" xfId="0" applyNumberFormat="1" applyFill="1" applyBorder="1"/>
    <xf numFmtId="8" fontId="0" fillId="0" borderId="9" xfId="0" applyNumberFormat="1" applyBorder="1"/>
    <xf numFmtId="0" fontId="0" fillId="0" borderId="0" xfId="0" pivotButton="1"/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0" fontId="0" fillId="0" borderId="0" xfId="0" applyNumberFormat="1" applyFill="1"/>
    <xf numFmtId="165" fontId="0" fillId="0" borderId="0" xfId="0" applyNumberFormat="1" applyFill="1"/>
    <xf numFmtId="44" fontId="0" fillId="0" borderId="0" xfId="0" applyNumberFormat="1" applyFont="1" applyFill="1"/>
    <xf numFmtId="0" fontId="0" fillId="0" borderId="0" xfId="0" applyNumberFormat="1" applyFill="1"/>
    <xf numFmtId="166" fontId="0" fillId="0" borderId="0" xfId="0" applyNumberFormat="1" applyFill="1"/>
    <xf numFmtId="167" fontId="0" fillId="0" borderId="0" xfId="1" applyNumberFormat="1" applyFont="1" applyFill="1"/>
    <xf numFmtId="168" fontId="0" fillId="0" borderId="0" xfId="0" applyNumberFormat="1" applyFill="1"/>
    <xf numFmtId="0" fontId="1" fillId="0" borderId="0" xfId="3"/>
    <xf numFmtId="2" fontId="1" fillId="0" borderId="0" xfId="3" applyNumberFormat="1"/>
    <xf numFmtId="9" fontId="1" fillId="0" borderId="0" xfId="3" applyNumberFormat="1"/>
    <xf numFmtId="0" fontId="6" fillId="0" borderId="0" xfId="0" applyFont="1" applyFill="1"/>
    <xf numFmtId="9" fontId="6" fillId="0" borderId="0" xfId="0" applyNumberFormat="1" applyFont="1" applyFill="1"/>
    <xf numFmtId="168" fontId="6" fillId="0" borderId="0" xfId="0" applyNumberFormat="1" applyFont="1" applyFill="1"/>
  </cellXfs>
  <cellStyles count="4">
    <cellStyle name="Prozent" xfId="1" builtinId="5"/>
    <cellStyle name="Standard" xfId="0" builtinId="0"/>
    <cellStyle name="Standard 2" xfId="3"/>
    <cellStyle name="Währung 2" xfId="2"/>
  </cellStyles>
  <dxfs count="144">
    <dxf>
      <numFmt numFmtId="165" formatCode="#,##0.0000\ _€;[Red]\-#,##0.0000\ _€"/>
      <fill>
        <patternFill patternType="none">
          <fgColor indexed="64"/>
          <bgColor indexed="65"/>
        </patternFill>
      </fill>
    </dxf>
    <dxf>
      <numFmt numFmtId="8" formatCode="#,##0.00\ _€;[Red]\-#,##0.00\ _€"/>
      <fill>
        <patternFill patternType="none">
          <fgColor indexed="64"/>
          <bgColor indexed="65"/>
        </patternFill>
      </fill>
    </dxf>
    <dxf>
      <numFmt numFmtId="8" formatCode="#,##0.00\ _€;[Red]\-#,##0.00\ _€"/>
      <fill>
        <patternFill patternType="none">
          <fgColor indexed="64"/>
          <bgColor indexed="65"/>
        </patternFill>
      </fill>
    </dxf>
    <dxf>
      <numFmt numFmtId="8" formatCode="#,##0.00\ _€;[Red]\-#,##0.00\ _€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19" formatCode="dd/mm/yyyy"/>
    </dxf>
    <dxf>
      <font>
        <b/>
      </font>
    </dxf>
    <dxf>
      <font>
        <b/>
      </font>
    </dxf>
    <dxf>
      <numFmt numFmtId="168" formatCode="#,##0.00_ ;[Red]\-#,##0.00\ "/>
      <fill>
        <patternFill patternType="none">
          <fgColor indexed="64"/>
          <bgColor indexed="65"/>
        </patternFill>
      </fill>
    </dxf>
    <dxf>
      <numFmt numFmtId="168" formatCode="#,##0.00_ ;[Red]\-#,##0.00\ 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8" formatCode="#,##0.00_ ;[Red]\-#,##0.00\ "/>
      <fill>
        <patternFill patternType="none">
          <fgColor indexed="64"/>
          <bgColor indexed="65"/>
        </patternFill>
      </fill>
    </dxf>
    <dxf>
      <numFmt numFmtId="168" formatCode="#,##0.00_ ;[Red]\-#,##0.00\ "/>
      <fill>
        <patternFill patternType="none">
          <fgColor indexed="64"/>
          <bgColor indexed="65"/>
        </patternFill>
      </fill>
    </dxf>
    <dxf>
      <numFmt numFmtId="168" formatCode="#,##0.00_ ;[Red]\-#,##0.00\ 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7" formatCode="0.0000%"/>
      <fill>
        <patternFill patternType="none">
          <fgColor indexed="64"/>
          <bgColor indexed="65"/>
        </patternFill>
      </fill>
    </dxf>
    <dxf>
      <numFmt numFmtId="166" formatCode="0.00_ ;[Red]\-0.00\ "/>
      <fill>
        <patternFill patternType="none">
          <fgColor indexed="64"/>
          <bgColor indexed="65"/>
        </patternFill>
      </fill>
    </dxf>
    <dxf>
      <numFmt numFmtId="166" formatCode="0.00_ ;[Red]\-0.00\ "/>
      <fill>
        <patternFill patternType="none">
          <fgColor indexed="64"/>
          <bgColor indexed="65"/>
        </patternFill>
      </fill>
    </dxf>
    <dxf>
      <numFmt numFmtId="166" formatCode="0.00_ ;[Red]\-0.00\ "/>
      <fill>
        <patternFill patternType="none">
          <fgColor indexed="64"/>
          <bgColor indexed="65"/>
        </patternFill>
      </fill>
    </dxf>
    <dxf>
      <numFmt numFmtId="166" formatCode="0.00_ ;[Red]\-0.00\ "/>
      <fill>
        <patternFill patternType="none">
          <fgColor indexed="64"/>
          <bgColor indexed="65"/>
        </patternFill>
      </fill>
    </dxf>
    <dxf>
      <numFmt numFmtId="166" formatCode="0.00_ ;[Red]\-0.00\ "/>
      <fill>
        <patternFill patternType="none">
          <fgColor indexed="64"/>
          <bgColor indexed="65"/>
        </patternFill>
      </fill>
    </dxf>
    <dxf>
      <numFmt numFmtId="166" formatCode="0.00_ ;[Red]\-0.00\ "/>
      <fill>
        <patternFill patternType="none">
          <fgColor indexed="64"/>
          <bgColor indexed="65"/>
        </patternFill>
      </fill>
    </dxf>
    <dxf>
      <numFmt numFmtId="166" formatCode="0.00_ ;[Red]\-0.00\ "/>
    </dxf>
    <dxf>
      <numFmt numFmtId="166" formatCode="0.00_ ;[Red]\-0.00\ "/>
      <fill>
        <patternFill patternType="none">
          <fgColor indexed="64"/>
          <bgColor indexed="65"/>
        </patternFill>
      </fill>
    </dxf>
    <dxf>
      <numFmt numFmtId="166" formatCode="0.00_ ;[Red]\-0.00\ 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8" formatCode="#,##0.00\ _€;[Red]\-#,##0.00\ _€"/>
      <fill>
        <patternFill patternType="none">
          <fgColor indexed="64"/>
          <bgColor indexed="65"/>
        </patternFill>
      </fill>
    </dxf>
    <dxf>
      <numFmt numFmtId="8" formatCode="#,##0.00\ _€;[Red]\-#,##0.00\ _€"/>
      <fill>
        <patternFill patternType="none">
          <fgColor indexed="64"/>
          <bgColor indexed="65"/>
        </patternFill>
      </fill>
    </dxf>
    <dxf>
      <numFmt numFmtId="13" formatCode="0%"/>
      <fill>
        <patternFill patternType="none">
          <fgColor indexed="64"/>
          <bgColor indexed="65"/>
        </patternFill>
      </fill>
    </dxf>
    <dxf>
      <numFmt numFmtId="8" formatCode="#,##0.00\ _€;[Red]\-#,##0.00\ _€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</dxf>
    <dxf>
      <numFmt numFmtId="13" formatCode="0%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64" formatCode="#,##0.00\ &quot;€&quot;"/>
    </dxf>
    <dxf>
      <numFmt numFmtId="0" formatCode="General"/>
    </dxf>
    <dxf>
      <numFmt numFmtId="0" formatCode="General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</dxf>
    <dxf>
      <numFmt numFmtId="13" formatCode="0%"/>
      <fill>
        <patternFill patternType="none">
          <fgColor indexed="64"/>
          <bgColor indexed="65"/>
        </patternFill>
      </fill>
    </dxf>
    <dxf>
      <numFmt numFmtId="13" formatCode="0%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13" formatCode="0%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3"/>
      <tableStyleElement type="headerRow" dxfId="1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95250</xdr:rowOff>
    </xdr:from>
    <xdr:to>
      <xdr:col>11</xdr:col>
      <xdr:colOff>219075</xdr:colOff>
      <xdr:row>11</xdr:row>
      <xdr:rowOff>9525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pp 1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pp 1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hn Park" refreshedDate="42710.462204629628" createdVersion="5" refreshedVersion="5" minRefreshableVersion="3" recordCount="4">
  <cacheSource type="worksheet">
    <worksheetSource name="Tabelle30"/>
  </cacheSource>
  <cacheFields count="4">
    <cacheField name="RGNr" numFmtId="0">
      <sharedItems/>
    </cacheField>
    <cacheField name="Kreditor" numFmtId="0">
      <sharedItems containsSemiMixedTypes="0" containsString="0" containsNumber="1" containsInteger="1" minValue="72113" maxValue="72123" count="2">
        <n v="72113"/>
        <n v="72123"/>
      </sharedItems>
    </cacheField>
    <cacheField name="Betrag" numFmtId="164">
      <sharedItems containsSemiMixedTypes="0" containsString="0" containsNumber="1" minValue="275.79000000000002" maxValue="387.35"/>
    </cacheField>
    <cacheField name="Bez" numFmtId="0">
      <sharedItems containsNonDate="0" containsBlank="1" count="4">
        <m/>
        <s v="Versand" u="1"/>
        <s v="WE EG7" u="1"/>
        <s v="Trüffe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hn Park" refreshedDate="42710.462204976851" createdVersion="5" refreshedVersion="5" minRefreshableVersion="3" recordCount="2">
  <cacheSource type="worksheet">
    <worksheetSource name="Tabelle29"/>
  </cacheSource>
  <cacheFields count="4">
    <cacheField name="Netto" numFmtId="8">
      <sharedItems containsSemiMixedTypes="0" containsString="0" containsNumber="1" minValue="462.03" maxValue="538.73"/>
    </cacheField>
    <cacheField name="Ust_Pct" numFmtId="9">
      <sharedItems containsSemiMixedTypes="0" containsString="0" containsNumber="1" minValue="0" maxValue="0.19" count="3">
        <n v="0.19"/>
        <n v="0" u="1"/>
        <n v="7.0000000000000007E-2" u="1"/>
      </sharedItems>
    </cacheField>
    <cacheField name="Ust" numFmtId="8">
      <sharedItems containsSemiMixedTypes="0" containsString="0" containsNumber="1" minValue="87.785699999999991" maxValue="102.3587"/>
    </cacheField>
    <cacheField name="Brutto" numFmtId="8">
      <sharedItems containsSemiMixedTypes="0" containsString="0" containsNumber="1" minValue="549.81569999999999" maxValue="641.0887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s v="R24239"/>
    <x v="0"/>
    <n v="304.05"/>
    <x v="0"/>
  </r>
  <r>
    <s v="R24240"/>
    <x v="0"/>
    <n v="370.32"/>
    <x v="0"/>
  </r>
  <r>
    <s v="R24241"/>
    <x v="0"/>
    <n v="275.79000000000002"/>
    <x v="0"/>
  </r>
  <r>
    <s v="R24305"/>
    <x v="1"/>
    <n v="387.3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n v="538.73"/>
    <x v="0"/>
    <n v="102.3587"/>
    <n v="641.08870000000002"/>
  </r>
  <r>
    <n v="462.03"/>
    <x v="0"/>
    <n v="87.785699999999991"/>
    <n v="549.8156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F33:G35" firstHeaderRow="1" firstDataRow="1" firstDataCol="1"/>
  <pivotFields count="4">
    <pivotField showAll="0" defaultSubtotal="0"/>
    <pivotField showAll="0" defaultSubtotal="0"/>
    <pivotField dataField="1" showAll="0"/>
    <pivotField axis="axisRow" showAll="0">
      <items count="5">
        <item m="1" x="3"/>
        <item m="1" x="2"/>
        <item m="1" x="1"/>
        <item x="0"/>
        <item t="default"/>
      </items>
    </pivotField>
  </pivotFields>
  <rowFields count="1">
    <field x="3"/>
  </rowFields>
  <rowItems count="2">
    <i>
      <x v="3"/>
    </i>
    <i t="grand">
      <x/>
    </i>
  </rowItems>
  <colItems count="1">
    <i/>
  </colItems>
  <dataFields count="1">
    <dataField name="Summe von Betrag" fld="2" baseField="1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F22:I24" firstHeaderRow="0" firstDataRow="1" firstDataCol="1"/>
  <pivotFields count="4">
    <pivotField dataField="1" numFmtId="8" showAll="0"/>
    <pivotField axis="axisRow" numFmtId="9" showAll="0">
      <items count="4">
        <item m="1" x="1"/>
        <item x="0"/>
        <item m="1" x="2"/>
        <item t="default"/>
      </items>
    </pivotField>
    <pivotField dataField="1" numFmtId="8" showAll="0"/>
    <pivotField dataField="1" numFmtId="8" showAll="0"/>
  </pivotFields>
  <rowFields count="1">
    <field x="1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me von Brutto" fld="3" baseField="1" baseItem="2" numFmtId="164"/>
    <dataField name="Summe von Ust" fld="2" baseField="1" baseItem="1" numFmtId="8"/>
    <dataField name="Summe von Netto" fld="0" baseField="1" baseItem="1" numFmtId="8"/>
  </dataFields>
  <formats count="3">
    <format dxfId="127">
      <pivotArea collapsedLevelsAreSubtotals="1" fieldPosition="0">
        <references count="2">
          <reference field="4294967294" count="2" selected="0">
            <x v="1"/>
            <x v="2"/>
          </reference>
          <reference field="1" count="0"/>
        </references>
      </pivotArea>
    </format>
    <format dxfId="126">
      <pivotArea outline="0" fieldPosition="0">
        <references count="1">
          <reference field="4294967294" count="1">
            <x v="1"/>
          </reference>
        </references>
      </pivotArea>
    </format>
    <format dxfId="125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I33:J36" firstHeaderRow="1" firstDataRow="1" firstDataCol="1"/>
  <pivotFields count="4">
    <pivotField showAll="0" defaultSubtotal="0"/>
    <pivotField axis="axisRow" showAll="0" defaultSubtotal="0">
      <items count="2">
        <item x="0"/>
        <item x="1"/>
      </items>
    </pivotField>
    <pivotField dataField="1" numFmtId="164"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me von Betra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5" name="Tabelle136" displayName="Tabelle136" ref="A3:C6" totalsRowShown="0">
  <autoFilter ref="A3:C6"/>
  <tableColumns count="3">
    <tableColumn id="1" name="Skto%" dataDxfId="141"/>
    <tableColumn id="2" name="Original" dataDxfId="140">
      <calculatedColumnFormula>Betrag/(100%-Tabelle136[[#This Row],[Skto%]])</calculatedColumnFormula>
    </tableColumn>
    <tableColumn id="3" name="Skto Abzug" dataDxfId="139">
      <calculatedColumnFormula>Tabelle136[[#This Row],[Original]]-Betrag</calculatedColumnFormula>
    </tableColumn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id="5" name="Tabelle5" displayName="Tabelle5" ref="D23:E47" totalsRowShown="0">
  <autoFilter ref="D23:E47"/>
  <tableColumns count="2">
    <tableColumn id="1" name="Words"/>
    <tableColumn id="2" name="Means(Text)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4" name="Tabelle4" displayName="Tabelle4" ref="D4:E18" totalsRowShown="0">
  <autoFilter ref="D4:E18"/>
  <tableColumns count="2">
    <tableColumn id="1" name="G.Konto"/>
    <tableColumn id="2" name="Bez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6" name="Tabelle6" displayName="Tabelle6" ref="A31:B37" totalsRowShown="0">
  <autoFilter ref="A31:B37"/>
  <tableColumns count="2">
    <tableColumn id="2" name="Spalte2"/>
    <tableColumn id="1" name="Spalte1"/>
  </tableColumns>
  <tableStyleInfo name="TableStyleDark9" showFirstColumn="0" showLastColumn="0" showRowStripes="1" showColumnStripes="0"/>
</table>
</file>

<file path=xl/tables/table13.xml><?xml version="1.0" encoding="utf-8"?>
<table xmlns="http://schemas.openxmlformats.org/spreadsheetml/2006/main" id="7" name="Tabelle7" displayName="Tabelle7" ref="H4:J13" totalsRowShown="0">
  <autoFilter ref="H4:J13"/>
  <tableColumns count="3">
    <tableColumn id="1" name="Spalte1"/>
    <tableColumn id="2" name="Spalte2" dataDxfId="105" dataCellStyle="Prozent"/>
    <tableColumn id="3" name="Info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id="20" name="Tabelle20" displayName="Tabelle20" ref="H19:H22" totalsRowCount="1" headerRowDxfId="104" dataDxfId="103">
  <autoFilter ref="H19:H21"/>
  <tableColumns count="1">
    <tableColumn id="1" name="Betrag" totalsRowFunction="sum" dataDxfId="102" totalsRowDxfId="101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id="25" name="Tabelle25" displayName="Tabelle25" ref="H26:I28" totalsRowShown="0">
  <autoFilter ref="H26:I28"/>
  <tableColumns count="2">
    <tableColumn id="1" name="PD Code"/>
    <tableColumn id="2" name="Bez"/>
  </tableColumns>
  <tableStyleInfo name="TableStyleMedium20" showFirstColumn="0" showLastColumn="0" showRowStripes="1" showColumnStripes="0"/>
</table>
</file>

<file path=xl/tables/table16.xml><?xml version="1.0" encoding="utf-8"?>
<table xmlns="http://schemas.openxmlformats.org/spreadsheetml/2006/main" id="11" name="Tabelle11" displayName="Tabelle11" ref="A1:D25" totalsRowShown="0" headerRowDxfId="100" dataDxfId="99">
  <autoFilter ref="A1:D25"/>
  <tableColumns count="4">
    <tableColumn id="1" name="Gkto" dataDxfId="98"/>
    <tableColumn id="2" name="Name" dataDxfId="97"/>
    <tableColumn id="3" name="Ust" dataDxfId="96"/>
    <tableColumn id="4" name="Text" dataDxfId="95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id="12" name="Tabelle12" displayName="Tabelle12" ref="E1:G2" totalsRowShown="0" headerRowDxfId="94" dataDxfId="93">
  <autoFilter ref="E1:G2"/>
  <tableColumns count="3">
    <tableColumn id="1" name="Verwendungszweck" dataDxfId="92"/>
    <tableColumn id="2" name="Name" dataDxfId="91"/>
    <tableColumn id="3" name="KtoNr" dataDxfId="90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3" name="Tabelle13" displayName="Tabelle13" ref="E4:H7" totalsRowShown="0" headerRowDxfId="89" dataDxfId="88">
  <autoFilter ref="E4:H7"/>
  <tableColumns count="4">
    <tableColumn id="1" name="Spalte1" dataDxfId="87"/>
    <tableColumn id="2" name="Spalte2" dataDxfId="86"/>
    <tableColumn id="3" name="Spalte3" dataDxfId="85" dataCellStyle="Währung 2">
      <calculatedColumnFormula>Tabelle13[[#This Row],[Spalte1]]*Tabelle13[[#This Row],[Spalte2]]</calculatedColumnFormula>
    </tableColumn>
    <tableColumn id="4" name="Spalte32" dataDxfId="84" dataCellStyle="Währung 2">
      <calculatedColumnFormula>Tabelle13[[#This Row],[Spalte1]]*(100%-Tabelle13[[#This Row],[Spalte2]])</calculatedColumnFormula>
    </tableColumn>
  </tableColumns>
  <tableStyleInfo name="TableStyleLight18" showFirstColumn="0" showLastColumn="0" showRowStripes="1" showColumnStripes="0"/>
</table>
</file>

<file path=xl/tables/table19.xml><?xml version="1.0" encoding="utf-8"?>
<table xmlns="http://schemas.openxmlformats.org/spreadsheetml/2006/main" id="14" name="Tabelle14" displayName="Tabelle14" ref="E12:H16" totalsRowShown="0" headerRowDxfId="83" dataDxfId="82">
  <autoFilter ref="E12:H16"/>
  <tableColumns count="4">
    <tableColumn id="1" name="Verwendungszweck" dataDxfId="81"/>
    <tableColumn id="2" name="ST Nr" dataDxfId="80"/>
    <tableColumn id="3" name="G.Kto" dataDxfId="79"/>
    <tableColumn id="4" name="TEXT2" dataDxfId="78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31" name="Tabelle1332" displayName="Tabelle1332" ref="A1:E19" totalsRowCount="1" headerRowDxfId="138" dataDxfId="137">
  <autoFilter ref="A1:E18"/>
  <sortState ref="A2:E18">
    <sortCondition ref="E1:E18"/>
  </sortState>
  <tableColumns count="5">
    <tableColumn id="5" name="Spalte4" dataDxfId="136"/>
    <tableColumn id="1" name="Spalte1" dataDxfId="135" totalsRowDxfId="134"/>
    <tableColumn id="2" name="Spalte2" dataDxfId="133" totalsRowDxfId="132"/>
    <tableColumn id="3" name="Spalte3" dataDxfId="131" totalsRowDxfId="130" dataCellStyle="Währung 2">
      <calculatedColumnFormula>Tabelle1332[[#This Row],[Spalte1]]*Tabelle1332[[#This Row],[Spalte2]]</calculatedColumnFormula>
    </tableColumn>
    <tableColumn id="4" name="Spalte32" totalsRowFunction="sum" dataDxfId="129" totalsRowDxfId="128" dataCellStyle="Währung 2">
      <calculatedColumnFormula>Tabelle1332[[#This Row],[Spalte1]]*(100%-Tabelle1332[[#This Row],[Spalte2]])</calculatedColumnFormula>
    </tableColumn>
  </tableColumns>
  <tableStyleInfo name="TableStyleLight18" showFirstColumn="0" showLastColumn="0" showRowStripes="1" showColumnStripes="0"/>
</table>
</file>

<file path=xl/tables/table20.xml><?xml version="1.0" encoding="utf-8"?>
<table xmlns="http://schemas.openxmlformats.org/spreadsheetml/2006/main" id="15" name="Tabelle15" displayName="Tabelle15" ref="J1:K5" totalsRowCount="1" headerRowDxfId="77" dataDxfId="76" totalsRowDxfId="75">
  <autoFilter ref="J1:K4"/>
  <tableColumns count="2">
    <tableColumn id="1" name="Spalte1" totalsRowFunction="sum" dataDxfId="74" totalsRowDxfId="73"/>
    <tableColumn id="2" name="Spalte2" totalsRowFunction="sum" dataDxfId="72" totalsRowDxfId="71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16" name="Tabelle16" displayName="Tabelle16" ref="E20:H22" totalsRowShown="0" headerRowDxfId="70" dataDxfId="69">
  <autoFilter ref="E20:H22"/>
  <tableColumns count="4">
    <tableColumn id="1" name="Unser KD NR" dataDxfId="68"/>
    <tableColumn id="2" name="Kreditor" dataDxfId="67"/>
    <tableColumn id="3" name="Gkto" dataDxfId="66"/>
    <tableColumn id="4" name="TEXT" dataDxfId="65"/>
  </tableColumns>
  <tableStyleInfo name="TableStyleMedium21" showFirstColumn="0" showLastColumn="0" showRowStripes="1" showColumnStripes="0"/>
</table>
</file>

<file path=xl/tables/table22.xml><?xml version="1.0" encoding="utf-8"?>
<table xmlns="http://schemas.openxmlformats.org/spreadsheetml/2006/main" id="18" name="Tabelle18" displayName="Tabelle18" ref="J30:N40" totalsRowCount="1" headerRowDxfId="64" dataDxfId="63" totalsRowDxfId="62">
  <autoFilter ref="J30:N39"/>
  <tableColumns count="5">
    <tableColumn id="1" name="RG" dataDxfId="61" totalsRowDxfId="4"/>
    <tableColumn id="2" name="Betr" totalsRowFunction="sum" dataDxfId="60" totalsRowDxfId="3"/>
    <tableColumn id="3" name="Skto%" dataDxfId="59" totalsRowDxfId="2"/>
    <tableColumn id="4" name="Skto" totalsRowFunction="sum" dataDxfId="58" totalsRowDxfId="1">
      <calculatedColumnFormula>Tabelle18[[#This Row],[Betr]]*Tabelle18[[#This Row],[Skto%]]</calculatedColumnFormula>
    </tableColumn>
    <tableColumn id="5" name="Gesamt" totalsRowFunction="sum" dataDxfId="57" totalsRowDxfId="0">
      <calculatedColumnFormula>Tabelle18[[#This Row],[Betr]]*(100%-Tabelle18[[#This Row],[Skto%]])</calculatedColumnFormula>
    </tableColumn>
  </tableColumns>
  <tableStyleInfo name="TableStyleLight11" showFirstColumn="0" showLastColumn="0" showRowStripes="1" showColumnStripes="0"/>
</table>
</file>

<file path=xl/tables/table23.xml><?xml version="1.0" encoding="utf-8"?>
<table xmlns="http://schemas.openxmlformats.org/spreadsheetml/2006/main" id="19" name="Tabelle19" displayName="Tabelle19" ref="E25:G27" totalsRowShown="0" headerRowDxfId="56" dataDxfId="55">
  <autoFilter ref="E25:G27"/>
  <tableColumns count="3">
    <tableColumn id="2" name="KtoNr" dataDxfId="54"/>
    <tableColumn id="3" name="Text" dataDxfId="53"/>
    <tableColumn id="4" name="Kto Bez" dataDxfId="52"/>
  </tableColumns>
  <tableStyleInfo name="TableStyleMedium3" showFirstColumn="0" showLastColumn="0" showRowStripes="1" showColumnStripes="0"/>
</table>
</file>

<file path=xl/tables/table24.xml><?xml version="1.0" encoding="utf-8"?>
<table xmlns="http://schemas.openxmlformats.org/spreadsheetml/2006/main" id="21" name="Tabelle21" displayName="Tabelle21" ref="J17:M18" totalsRowShown="0" headerRowDxfId="51" dataDxfId="50">
  <autoFilter ref="J17:M18"/>
  <tableColumns count="4">
    <tableColumn id="1" name="Betrag" dataDxfId="49"/>
    <tableColumn id="2" name="Bezahlt" dataDxfId="48"/>
    <tableColumn id="3" name="Abzüge" dataDxfId="47">
      <calculatedColumnFormula>Tabelle21[Betrag]-Tabelle21[Bezahlt]</calculatedColumnFormula>
    </tableColumn>
    <tableColumn id="4" name="Prozent" dataDxfId="46" dataCellStyle="Prozent">
      <calculatedColumnFormula>Tabelle21[Abzüge]/Tabelle21[Betrag]</calculatedColumnFormula>
    </tableColumn>
  </tableColumns>
  <tableStyleInfo name="TableStyleLight10" showFirstColumn="0" showLastColumn="0" showRowStripes="1" showColumnStripes="0"/>
</table>
</file>

<file path=xl/tables/table25.xml><?xml version="1.0" encoding="utf-8"?>
<table xmlns="http://schemas.openxmlformats.org/spreadsheetml/2006/main" id="22" name="Tabelle22" displayName="Tabelle22" ref="E31:F34" totalsRowShown="0" headerRowDxfId="45" dataDxfId="44">
  <autoFilter ref="E31:F34"/>
  <tableColumns count="2">
    <tableColumn id="1" name="PersonalNummer" dataDxfId="43"/>
    <tableColumn id="2" name="Text" dataDxfId="42"/>
  </tableColumns>
  <tableStyleInfo name="TableStyleMedium11" showFirstColumn="0" showLastColumn="0" showRowStripes="1" showColumnStripes="0"/>
</table>
</file>

<file path=xl/tables/table26.xml><?xml version="1.0" encoding="utf-8"?>
<table xmlns="http://schemas.openxmlformats.org/spreadsheetml/2006/main" id="23" name="Tabelle23" displayName="Tabelle23" ref="A26:B29" totalsRowShown="0" headerRowDxfId="41" dataDxfId="40">
  <autoFilter ref="A26:B29"/>
  <tableColumns count="2">
    <tableColumn id="1" name="Spalte1" dataDxfId="39"/>
    <tableColumn id="2" name="Sammel Kto" dataDxfId="38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id="26" name="Tabelle26" displayName="Tabelle26" ref="A31:B33" totalsRowShown="0" headerRowDxfId="37" dataDxfId="36">
  <autoFilter ref="A31:B33"/>
  <tableColumns count="2">
    <tableColumn id="1" name="Konto Nr" dataDxfId="35"/>
    <tableColumn id="2" name="Text" dataDxfId="34"/>
  </tableColumns>
  <tableStyleInfo name="TableStyleMedium19" showFirstColumn="0" showLastColumn="0" showRowStripes="1" showColumnStripes="0"/>
</table>
</file>

<file path=xl/tables/table28.xml><?xml version="1.0" encoding="utf-8"?>
<table xmlns="http://schemas.openxmlformats.org/spreadsheetml/2006/main" id="32" name="Tabelle32" displayName="Tabelle32" ref="L1:O5" totalsRowCount="1" headerRowDxfId="33" dataDxfId="32" totalsRowDxfId="31">
  <autoFilter ref="L1:O4"/>
  <tableColumns count="4">
    <tableColumn id="1" name="Betr" totalsRowFunction="sum" dataDxfId="30" totalsRowDxfId="29"/>
    <tableColumn id="2" name="Gesamt" totalsRowFunction="sum" dataDxfId="28" totalsRowDxfId="27"/>
    <tableColumn id="3" name="Abzug" totalsRowFunction="sum" dataDxfId="26" totalsRowDxfId="25">
      <calculatedColumnFormula>Tabelle32[[#This Row],[Betr]]-Tabelle32[[#This Row],[Gesamt]]</calculatedColumnFormula>
    </tableColumn>
    <tableColumn id="4" name="Abzug PCT" dataDxfId="24" totalsRowDxfId="23" dataCellStyle="Prozent">
      <calculatedColumnFormula>Tabelle32[[#This Row],[Abzug]]/Tabelle32[[#This Row],[Betr]]</calculatedColumnFormula>
    </tableColumn>
  </tableColumns>
  <tableStyleInfo name="TableStyleMedium17" showFirstColumn="0" showLastColumn="0" showRowStripes="1" showColumnStripes="0"/>
</table>
</file>

<file path=xl/tables/table29.xml><?xml version="1.0" encoding="utf-8"?>
<table xmlns="http://schemas.openxmlformats.org/spreadsheetml/2006/main" id="34" name="Tabelle34" displayName="Tabelle34" ref="J21:O27" totalsRowCount="1" headerRowDxfId="22" dataDxfId="21">
  <autoFilter ref="J21:O26"/>
  <tableColumns count="6">
    <tableColumn id="1" name="Name" totalsRowLabel="Ergebnis" dataDxfId="20" totalsRowDxfId="19"/>
    <tableColumn id="6" name="KtoNr" dataDxfId="18" totalsRowDxfId="17"/>
    <tableColumn id="2" name="Skto%" dataDxfId="16" totalsRowDxfId="15"/>
    <tableColumn id="3" name="Betr" totalsRowFunction="sum" dataDxfId="14" totalsRowDxfId="13"/>
    <tableColumn id="4" name="Abzuge" dataDxfId="12" totalsRowDxfId="11">
      <calculatedColumnFormula>Tabelle34[Betr]*Tabelle34[Skto%]</calculatedColumnFormula>
    </tableColumn>
    <tableColumn id="5" name="Netto" totalsRowFunction="sum" dataDxfId="10" totalsRowDxfId="9">
      <calculatedColumnFormula>Tabelle34[Betr]*(100%-Tabelle34[Skto%])</calculatedColumn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27" name="Tabelle27" displayName="Tabelle27" ref="A1:G6" totalsRowCount="1">
  <autoFilter ref="A1:G5"/>
  <tableColumns count="7">
    <tableColumn id="1" name="Brutto" totalsRowFunction="sum"/>
    <tableColumn id="2" name="Ust_Pct" dataDxfId="124" totalsRowDxfId="123"/>
    <tableColumn id="3" name="Ust" totalsRowFunction="sum">
      <calculatedColumnFormula>Tabelle27[Brutto]-(Tabelle27[Brutto]/(100%+Tabelle27[Ust_Pct]))</calculatedColumnFormula>
    </tableColumn>
    <tableColumn id="4" name="Netto" totalsRowFunction="sum">
      <calculatedColumnFormula>Tabelle27[Brutto]/(100%+Tabelle27[Ust_Pct])</calculatedColumnFormula>
    </tableColumn>
    <tableColumn id="5" name="Brutto2">
      <calculatedColumnFormula>Tabelle27[Netto]+Tabelle27[Ust]</calculatedColumnFormula>
    </tableColumn>
    <tableColumn id="6" name="Brutto3">
      <calculatedColumnFormula>Tabelle27[Netto]*(100%+Tabelle27[Ust_Pct])</calculatedColumnFormula>
    </tableColumn>
    <tableColumn id="7" name="Ust2"/>
  </tableColumns>
  <tableStyleInfo name="TableStyleMedium18" showFirstColumn="0" showLastColumn="0" showRowStripes="1" showColumnStripes="0"/>
</table>
</file>

<file path=xl/tables/table30.xml><?xml version="1.0" encoding="utf-8"?>
<table xmlns="http://schemas.openxmlformats.org/spreadsheetml/2006/main" id="1" name="Tabelle1" displayName="Tabelle1" ref="A3:B7" totalsRowShown="0">
  <autoFilter ref="A3:B7"/>
  <tableColumns count="2">
    <tableColumn id="1" name="Art.Nr"/>
    <tableColumn id="2" name="Bez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id="8" name="Tabelle8" displayName="Tabelle8" ref="A9:G15" totalsRowShown="0">
  <autoFilter ref="A9:G15"/>
  <tableColumns count="7">
    <tableColumn id="1" name="Spalte1" dataDxfId="8"/>
    <tableColumn id="2" name="KtoNr" dataDxfId="7"/>
    <tableColumn id="3" name="EINGANG"/>
    <tableColumn id="8" name="Text Eingang"/>
    <tableColumn id="4" name="AUSGANG(Fracht)"/>
    <tableColumn id="5" name="Ausgang"/>
    <tableColumn id="9" name="Text Ausgang"/>
  </tableColumns>
  <tableStyleInfo name="TableStyleMedium5" showFirstColumn="0" showLastColumn="0" showRowStripes="1" showColumnStripes="0"/>
</table>
</file>

<file path=xl/tables/table32.xml><?xml version="1.0" encoding="utf-8"?>
<table xmlns="http://schemas.openxmlformats.org/spreadsheetml/2006/main" id="9" name="Tabelle9" displayName="Tabelle9" ref="F6:G7" totalsRowShown="0">
  <autoFilter ref="F6:G7"/>
  <tableColumns count="2">
    <tableColumn id="1" name="Modell"/>
    <tableColumn id="2" name="G.Kto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id="17" name="Tabelle118" displayName="Tabelle118" ref="I13:J15" totalsRowShown="0">
  <autoFilter ref="I13:J15"/>
  <sortState ref="I14:J35">
    <sortCondition ref="I1:I15"/>
  </sortState>
  <tableColumns count="2">
    <tableColumn id="1" name="DATUM" dataDxfId="6"/>
    <tableColumn id="2" name="KW" dataDxfId="5">
      <calculatedColumnFormula>WEEKNUM(Tabelle118[[#This Row],[DATUM]],21)</calculatedColumnFormula>
    </tableColumn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id="24" name="Tabelle24" displayName="Tabelle24" ref="F3:G4" totalsRowShown="0">
  <autoFilter ref="F3:G4"/>
  <tableColumns count="2">
    <tableColumn id="1" name="Gkto"/>
    <tableColumn id="2" name="Bez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id="10" name="Tabelle10" displayName="Tabelle10" ref="A1:B11" totalsRowShown="0">
  <autoFilter ref="A1:B11"/>
  <tableColumns count="2">
    <tableColumn id="1" name="Model NR"/>
    <tableColumn id="2" name="Gkt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8" name="Tabelle28" displayName="Tabelle28" ref="J1:L4" totalsRowShown="0">
  <autoFilter ref="J1:L4"/>
  <tableColumns count="3">
    <tableColumn id="3" name="Spalte2" dataDxfId="122"/>
    <tableColumn id="1" name="Ust_Pct" dataDxfId="121"/>
    <tableColumn id="2" name="Spalte1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29" name="Tabelle29" displayName="Tabelle29" ref="A15:D19" totalsRowCount="1">
  <autoFilter ref="A15:D18"/>
  <tableColumns count="4">
    <tableColumn id="1" name="Netto" dataDxfId="120" totalsRowDxfId="119"/>
    <tableColumn id="2" name="Ust_Pct"/>
    <tableColumn id="3" name="Ust" dataDxfId="118" totalsRowDxfId="117">
      <calculatedColumnFormula>Tabelle29[[#This Row],[Netto]]*Tabelle29[[#This Row],[Ust_Pct]]</calculatedColumnFormula>
    </tableColumn>
    <tableColumn id="4" name="Brutto" totalsRowFunction="sum" dataDxfId="116" totalsRowDxfId="115">
      <calculatedColumnFormula>Tabelle29[[#This Row],[Netto]]*(100%+Tabelle29[[#This Row],[Ust_Pct]])</calculatedColumnFormula>
    </tableColumn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id="30" name="Tabelle30" displayName="Tabelle30" ref="A23:D27" totalsRowShown="0">
  <autoFilter ref="A23:D27"/>
  <tableColumns count="4">
    <tableColumn id="4" name="RGNr" dataDxfId="114"/>
    <tableColumn id="3" name="Kreditor" dataDxfId="113"/>
    <tableColumn id="1" name="Betrag" dataDxfId="112"/>
    <tableColumn id="2" name="Bez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3" name="Tabelle2934" displayName="Tabelle2934" ref="A42:D45">
  <autoFilter ref="A42:D45"/>
  <tableColumns count="4">
    <tableColumn id="1" name="Brutto" dataDxfId="111" totalsRowDxfId="110"/>
    <tableColumn id="2" name="Ust_Pct"/>
    <tableColumn id="4" name="Netto" totalsRowFunction="sum" dataDxfId="109" totalsRowDxfId="108">
      <calculatedColumnFormula>Tabelle2934[[#This Row],[Brutto]] / (100%+Tabelle2934[[#This Row],[Ust_Pct]])</calculatedColumnFormula>
    </tableColumn>
    <tableColumn id="3" name="Ust" dataDxfId="107" totalsRowDxfId="106">
      <calculatedColumnFormula>Tabelle2934[[#This Row],[Brutto]] - Tabelle2934[[#This Row],[Netto]]</calculatedColumnFormula>
    </tableColumn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id="2" name="Tabelle2" displayName="Tabelle2" ref="A1:B30" totalsRowShown="0">
  <autoFilter ref="A1:B30"/>
  <tableColumns count="2">
    <tableColumn id="1" name="FullName"/>
    <tableColumn id="2" name="HOBA Nam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3" name="Tabelle3" displayName="Tabelle3" ref="D1:E2" totalsRowShown="0">
  <autoFilter ref="D1:E2"/>
  <tableColumns count="2">
    <tableColumn id="1" name="Heiß"/>
    <tableColumn id="2" name="Unter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76AFD4BA-C055-4AC9-B48D-2B9E310A3960}">
  <we:reference id="wa104379895" version="1.0.0.0" store="de-DE" storeType="OMEX"/>
  <we:alternateReferences>
    <we:reference id="WA104379895" version="1.0.0.0" store="WA104379895" storeType="OMEX"/>
  </we:alternateReferences>
  <we:properties/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5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printerSettings" Target="../printerSettings/printerSettings2.bin"/><Relationship Id="rId9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13" Type="http://schemas.openxmlformats.org/officeDocument/2006/relationships/table" Target="../tables/table27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5" Type="http://schemas.openxmlformats.org/officeDocument/2006/relationships/table" Target="../tables/table2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Relationship Id="rId14" Type="http://schemas.openxmlformats.org/officeDocument/2006/relationships/table" Target="../tables/table2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7" Type="http://schemas.openxmlformats.org/officeDocument/2006/relationships/table" Target="../tables/table3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33.xml"/><Relationship Id="rId5" Type="http://schemas.openxmlformats.org/officeDocument/2006/relationships/table" Target="../tables/table32.xml"/><Relationship Id="rId4" Type="http://schemas.openxmlformats.org/officeDocument/2006/relationships/table" Target="../tables/table3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C6"/>
  <sheetViews>
    <sheetView workbookViewId="0">
      <selection activeCell="B14" sqref="B14"/>
    </sheetView>
  </sheetViews>
  <sheetFormatPr baseColWidth="10" defaultRowHeight="14.25" x14ac:dyDescent="0.2"/>
  <cols>
    <col min="1" max="2" width="11.42578125" style="43"/>
    <col min="3" max="3" width="14.5703125" style="43" customWidth="1"/>
    <col min="4" max="16384" width="11.42578125" style="43"/>
  </cols>
  <sheetData>
    <row r="1" spans="1:3" x14ac:dyDescent="0.2">
      <c r="A1" s="43" t="s">
        <v>188</v>
      </c>
      <c r="B1" s="43">
        <v>40.58</v>
      </c>
    </row>
    <row r="3" spans="1:3" x14ac:dyDescent="0.2">
      <c r="A3" s="43" t="s">
        <v>167</v>
      </c>
      <c r="B3" s="43" t="s">
        <v>300</v>
      </c>
      <c r="C3" s="43" t="s">
        <v>299</v>
      </c>
    </row>
    <row r="4" spans="1:3" x14ac:dyDescent="0.2">
      <c r="A4" s="45">
        <v>0.03</v>
      </c>
      <c r="B4" s="44">
        <f>Betrag/(100%-Tabelle136[[#This Row],[Skto%]])</f>
        <v>41.835051546391753</v>
      </c>
      <c r="C4" s="44">
        <f>Tabelle136[[#This Row],[Original]]-Betrag</f>
        <v>1.2550515463917549</v>
      </c>
    </row>
    <row r="5" spans="1:3" x14ac:dyDescent="0.2">
      <c r="A5" s="45">
        <v>0.02</v>
      </c>
      <c r="B5" s="44">
        <f>Betrag/(100%-Tabelle136[[#This Row],[Skto%]])</f>
        <v>41.408163265306122</v>
      </c>
      <c r="C5" s="44">
        <f>Tabelle136[[#This Row],[Original]]-Betrag</f>
        <v>0.82816326530612372</v>
      </c>
    </row>
    <row r="6" spans="1:3" x14ac:dyDescent="0.2">
      <c r="A6" s="45">
        <v>0.01</v>
      </c>
      <c r="B6" s="44">
        <f>Betrag/(100%-Tabelle136[[#This Row],[Skto%]])</f>
        <v>40.98989898989899</v>
      </c>
      <c r="C6" s="44">
        <f>Tabelle136[[#This Row],[Original]]-Betrag</f>
        <v>0.40989898989899132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19"/>
  <sheetViews>
    <sheetView workbookViewId="0">
      <selection activeCell="I26" sqref="I26"/>
    </sheetView>
  </sheetViews>
  <sheetFormatPr baseColWidth="10" defaultRowHeight="15" x14ac:dyDescent="0.25"/>
  <sheetData>
    <row r="1" spans="1:5" x14ac:dyDescent="0.25">
      <c r="A1" s="8" t="s">
        <v>285</v>
      </c>
      <c r="B1" s="8" t="s">
        <v>47</v>
      </c>
      <c r="C1" s="9" t="s">
        <v>48</v>
      </c>
      <c r="D1" s="8" t="s">
        <v>126</v>
      </c>
      <c r="E1" s="10" t="s">
        <v>164</v>
      </c>
    </row>
    <row r="2" spans="1:5" x14ac:dyDescent="0.25">
      <c r="A2" s="39">
        <v>285290</v>
      </c>
      <c r="B2" s="8">
        <v>-2177.98</v>
      </c>
      <c r="C2" s="9">
        <v>0.01</v>
      </c>
      <c r="D2" s="8">
        <f>Tabelle1332[[#This Row],[Spalte1]]*Tabelle1332[[#This Row],[Spalte2]]</f>
        <v>-21.779800000000002</v>
      </c>
      <c r="E2" s="10">
        <f>Tabelle1332[[#This Row],[Spalte1]]*(100%-Tabelle1332[[#This Row],[Spalte2]])</f>
        <v>-2156.2002000000002</v>
      </c>
    </row>
    <row r="3" spans="1:5" x14ac:dyDescent="0.25">
      <c r="A3" s="39">
        <v>285284</v>
      </c>
      <c r="B3" s="8">
        <v>-2117.14</v>
      </c>
      <c r="C3" s="9">
        <v>0.01</v>
      </c>
      <c r="D3" s="8">
        <f>Tabelle1332[[#This Row],[Spalte1]]*Tabelle1332[[#This Row],[Spalte2]]</f>
        <v>-21.171399999999998</v>
      </c>
      <c r="E3" s="10">
        <f>Tabelle1332[[#This Row],[Spalte1]]*(100%-Tabelle1332[[#This Row],[Spalte2]])</f>
        <v>-2095.9685999999997</v>
      </c>
    </row>
    <row r="4" spans="1:5" x14ac:dyDescent="0.25">
      <c r="A4" s="39">
        <v>285292</v>
      </c>
      <c r="B4" s="8">
        <v>-1870.6</v>
      </c>
      <c r="C4" s="9">
        <v>0.01</v>
      </c>
      <c r="D4" s="8">
        <f>Tabelle1332[[#This Row],[Spalte1]]*Tabelle1332[[#This Row],[Spalte2]]</f>
        <v>-18.706</v>
      </c>
      <c r="E4" s="10">
        <f>Tabelle1332[[#This Row],[Spalte1]]*(100%-Tabelle1332[[#This Row],[Spalte2]])</f>
        <v>-1851.894</v>
      </c>
    </row>
    <row r="5" spans="1:5" x14ac:dyDescent="0.25">
      <c r="A5" s="39">
        <v>285296</v>
      </c>
      <c r="B5" s="8">
        <v>-1721.85</v>
      </c>
      <c r="C5" s="9">
        <v>0.01</v>
      </c>
      <c r="D5" s="8">
        <f>Tabelle1332[[#This Row],[Spalte1]]*Tabelle1332[[#This Row],[Spalte2]]</f>
        <v>-17.218499999999999</v>
      </c>
      <c r="E5" s="10">
        <f>Tabelle1332[[#This Row],[Spalte1]]*(100%-Tabelle1332[[#This Row],[Spalte2]])</f>
        <v>-1704.6315</v>
      </c>
    </row>
    <row r="6" spans="1:5" x14ac:dyDescent="0.25">
      <c r="A6" s="39">
        <v>285294</v>
      </c>
      <c r="B6" s="8">
        <v>-1498.21</v>
      </c>
      <c r="C6" s="9">
        <v>0.01</v>
      </c>
      <c r="D6" s="8">
        <f>Tabelle1332[[#This Row],[Spalte1]]*Tabelle1332[[#This Row],[Spalte2]]</f>
        <v>-14.982100000000001</v>
      </c>
      <c r="E6" s="10">
        <f>Tabelle1332[[#This Row],[Spalte1]]*(100%-Tabelle1332[[#This Row],[Spalte2]])</f>
        <v>-1483.2279000000001</v>
      </c>
    </row>
    <row r="7" spans="1:5" x14ac:dyDescent="0.25">
      <c r="A7" s="39">
        <v>285282</v>
      </c>
      <c r="B7" s="8">
        <v>-392.78</v>
      </c>
      <c r="C7" s="9">
        <v>0.01</v>
      </c>
      <c r="D7" s="8">
        <f>Tabelle1332[[#This Row],[Spalte1]]*Tabelle1332[[#This Row],[Spalte2]]</f>
        <v>-3.9278</v>
      </c>
      <c r="E7" s="10">
        <f>Tabelle1332[[#This Row],[Spalte1]]*(100%-Tabelle1332[[#This Row],[Spalte2]])</f>
        <v>-388.85219999999998</v>
      </c>
    </row>
    <row r="8" spans="1:5" x14ac:dyDescent="0.25">
      <c r="A8" s="39">
        <v>285281</v>
      </c>
      <c r="B8" s="8">
        <v>405.49</v>
      </c>
      <c r="C8" s="9">
        <v>0.01</v>
      </c>
      <c r="D8" s="8">
        <f>Tabelle1332[[#This Row],[Spalte1]]*Tabelle1332[[#This Row],[Spalte2]]</f>
        <v>4.0548999999999999</v>
      </c>
      <c r="E8" s="10">
        <f>Tabelle1332[[#This Row],[Spalte1]]*(100%-Tabelle1332[[#This Row],[Spalte2]])</f>
        <v>401.43509999999998</v>
      </c>
    </row>
    <row r="9" spans="1:5" x14ac:dyDescent="0.25">
      <c r="A9" s="39">
        <v>285149</v>
      </c>
      <c r="B9" s="8">
        <v>1358.41</v>
      </c>
      <c r="C9" s="9">
        <v>0.01</v>
      </c>
      <c r="D9" s="8">
        <f>Tabelle1332[[#This Row],[Spalte1]]*Tabelle1332[[#This Row],[Spalte2]]</f>
        <v>13.584100000000001</v>
      </c>
      <c r="E9" s="10">
        <f>Tabelle1332[[#This Row],[Spalte1]]*(100%-Tabelle1332[[#This Row],[Spalte2]])</f>
        <v>1344.8259</v>
      </c>
    </row>
    <row r="10" spans="1:5" x14ac:dyDescent="0.25">
      <c r="A10" s="39">
        <v>285293</v>
      </c>
      <c r="B10" s="8">
        <v>1534.8</v>
      </c>
      <c r="C10" s="9">
        <v>0.01</v>
      </c>
      <c r="D10" s="8">
        <f>Tabelle1332[[#This Row],[Spalte1]]*Tabelle1332[[#This Row],[Spalte2]]</f>
        <v>15.347999999999999</v>
      </c>
      <c r="E10" s="10">
        <f>Tabelle1332[[#This Row],[Spalte1]]*(100%-Tabelle1332[[#This Row],[Spalte2]])</f>
        <v>1519.452</v>
      </c>
    </row>
    <row r="11" spans="1:5" x14ac:dyDescent="0.25">
      <c r="A11" s="39">
        <v>285295</v>
      </c>
      <c r="B11" s="8">
        <v>1792.92</v>
      </c>
      <c r="C11" s="9">
        <v>0.01</v>
      </c>
      <c r="D11" s="8">
        <f>Tabelle1332[[#This Row],[Spalte1]]*Tabelle1332[[#This Row],[Spalte2]]</f>
        <v>17.929200000000002</v>
      </c>
      <c r="E11" s="10">
        <f>Tabelle1332[[#This Row],[Spalte1]]*(100%-Tabelle1332[[#This Row],[Spalte2]])</f>
        <v>1774.9908</v>
      </c>
    </row>
    <row r="12" spans="1:5" x14ac:dyDescent="0.25">
      <c r="A12" s="39">
        <v>285291</v>
      </c>
      <c r="B12" s="8">
        <v>1910.53</v>
      </c>
      <c r="C12" s="9">
        <v>0.01</v>
      </c>
      <c r="D12" s="8">
        <f>Tabelle1332[[#This Row],[Spalte1]]*Tabelle1332[[#This Row],[Spalte2]]</f>
        <v>19.1053</v>
      </c>
      <c r="E12" s="10">
        <f>Tabelle1332[[#This Row],[Spalte1]]*(100%-Tabelle1332[[#This Row],[Spalte2]])</f>
        <v>1891.4247</v>
      </c>
    </row>
    <row r="13" spans="1:5" x14ac:dyDescent="0.25">
      <c r="A13" s="39">
        <v>285289</v>
      </c>
      <c r="B13" s="8">
        <v>2206.54</v>
      </c>
      <c r="C13" s="9">
        <v>0.01</v>
      </c>
      <c r="D13" s="8">
        <f>Tabelle1332[[#This Row],[Spalte1]]*Tabelle1332[[#This Row],[Spalte2]]</f>
        <v>22.0654</v>
      </c>
      <c r="E13" s="10">
        <f>Tabelle1332[[#This Row],[Spalte1]]*(100%-Tabelle1332[[#This Row],[Spalte2]])</f>
        <v>2184.4746</v>
      </c>
    </row>
    <row r="14" spans="1:5" x14ac:dyDescent="0.25">
      <c r="A14" s="39">
        <v>285283</v>
      </c>
      <c r="B14" s="8">
        <v>2214.91</v>
      </c>
      <c r="C14" s="9">
        <v>0.01</v>
      </c>
      <c r="D14" s="8">
        <f>Tabelle1332[[#This Row],[Spalte1]]*Tabelle1332[[#This Row],[Spalte2]]</f>
        <v>22.149100000000001</v>
      </c>
      <c r="E14" s="10">
        <f>Tabelle1332[[#This Row],[Spalte1]]*(100%-Tabelle1332[[#This Row],[Spalte2]])</f>
        <v>2192.7608999999998</v>
      </c>
    </row>
    <row r="15" spans="1:5" x14ac:dyDescent="0.25">
      <c r="A15" s="39"/>
      <c r="B15" s="8"/>
      <c r="C15" s="9"/>
      <c r="D15" s="8"/>
      <c r="E15" s="10"/>
    </row>
    <row r="16" spans="1:5" x14ac:dyDescent="0.25">
      <c r="A16" s="39"/>
      <c r="B16" s="11"/>
      <c r="C16" s="9"/>
      <c r="D16" s="12"/>
      <c r="E16" s="10"/>
    </row>
    <row r="17" spans="1:5" x14ac:dyDescent="0.25">
      <c r="A17" s="39"/>
      <c r="B17" s="11"/>
      <c r="C17" s="9"/>
      <c r="D17" s="12"/>
      <c r="E17" s="10"/>
    </row>
    <row r="18" spans="1:5" x14ac:dyDescent="0.25">
      <c r="A18" s="39"/>
      <c r="B18" s="11"/>
      <c r="C18" s="9"/>
      <c r="D18" s="12"/>
      <c r="E18" s="10"/>
    </row>
    <row r="19" spans="1:5" x14ac:dyDescent="0.25">
      <c r="B19" s="11"/>
      <c r="C19" s="9"/>
      <c r="D19" s="38"/>
      <c r="E19" s="38">
        <f>SUBTOTAL(109,Tabelle1332[Spalte32])</f>
        <v>1628.5896000000025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O45"/>
  <sheetViews>
    <sheetView topLeftCell="A12" zoomScaleNormal="100" workbookViewId="0">
      <selection activeCell="D19" sqref="D19"/>
    </sheetView>
  </sheetViews>
  <sheetFormatPr baseColWidth="10" defaultRowHeight="15" x14ac:dyDescent="0.25"/>
  <cols>
    <col min="4" max="4" width="12.28515625" bestFit="1" customWidth="1"/>
    <col min="6" max="6" width="22.42578125" customWidth="1"/>
    <col min="7" max="7" width="17.5703125" customWidth="1"/>
    <col min="8" max="8" width="14.85546875" customWidth="1"/>
    <col min="9" max="9" width="17.140625" customWidth="1"/>
    <col min="10" max="10" width="17.7109375" bestFit="1" customWidth="1"/>
  </cols>
  <sheetData>
    <row r="1" spans="1:15" hidden="1" x14ac:dyDescent="0.25">
      <c r="A1" t="s">
        <v>245</v>
      </c>
      <c r="B1" t="s">
        <v>251</v>
      </c>
      <c r="C1" t="s">
        <v>128</v>
      </c>
      <c r="D1" t="s">
        <v>247</v>
      </c>
      <c r="E1" t="s">
        <v>248</v>
      </c>
      <c r="F1" t="s">
        <v>249</v>
      </c>
      <c r="G1" t="s">
        <v>250</v>
      </c>
      <c r="J1" s="6" t="s">
        <v>48</v>
      </c>
      <c r="K1" t="s">
        <v>251</v>
      </c>
      <c r="L1" t="s">
        <v>47</v>
      </c>
    </row>
    <row r="2" spans="1:15" hidden="1" x14ac:dyDescent="0.25">
      <c r="A2">
        <v>-943</v>
      </c>
      <c r="B2" s="17">
        <v>0.19</v>
      </c>
      <c r="C2">
        <f>Tabelle27[Brutto]-(Tabelle27[Brutto]/(100%+Tabelle27[Ust_Pct]))</f>
        <v>-150.56302521008399</v>
      </c>
      <c r="D2">
        <f>Tabelle27[Brutto]/(100%+Tabelle27[Ust_Pct])</f>
        <v>-792.43697478991601</v>
      </c>
      <c r="E2">
        <f>Tabelle27[Netto]+Tabelle27[Ust]</f>
        <v>-943</v>
      </c>
      <c r="F2">
        <f>Tabelle27[Netto]*(100%+Tabelle27[Ust_Pct])</f>
        <v>-943</v>
      </c>
      <c r="J2" s="17" t="s">
        <v>251</v>
      </c>
      <c r="K2" s="18">
        <v>0.19</v>
      </c>
    </row>
    <row r="3" spans="1:15" hidden="1" x14ac:dyDescent="0.25">
      <c r="A3">
        <v>-500</v>
      </c>
      <c r="B3" s="17">
        <v>0.19</v>
      </c>
      <c r="C3">
        <f>Tabelle27[Brutto]-(Tabelle27[Brutto]/(100%+Tabelle27[Ust_Pct]))</f>
        <v>-79.831932773109202</v>
      </c>
      <c r="D3">
        <f>Tabelle27[Brutto]/(100%+Tabelle27[Ust_Pct])</f>
        <v>-420.1680672268908</v>
      </c>
      <c r="E3">
        <f>Tabelle27[Netto]+Tabelle27[Ust]</f>
        <v>-500</v>
      </c>
      <c r="F3">
        <f>Tabelle27[Netto]*(100%+Tabelle27[Ust_Pct])</f>
        <v>-500</v>
      </c>
      <c r="J3" s="17" t="s">
        <v>246</v>
      </c>
      <c r="K3" s="17">
        <v>7.0000000000000007E-2</v>
      </c>
    </row>
    <row r="4" spans="1:15" hidden="1" x14ac:dyDescent="0.25">
      <c r="A4">
        <v>-200</v>
      </c>
      <c r="B4" s="17">
        <v>0.19</v>
      </c>
      <c r="C4">
        <f>Tabelle27[Brutto]-(Tabelle27[Brutto]/(100%+Tabelle27[Ust_Pct]))</f>
        <v>-31.932773109243698</v>
      </c>
      <c r="D4">
        <f>Tabelle27[Brutto]/(100%+Tabelle27[Ust_Pct])</f>
        <v>-168.0672268907563</v>
      </c>
      <c r="E4">
        <f>Tabelle27[Netto]+Tabelle27[Ust]</f>
        <v>-200</v>
      </c>
      <c r="F4">
        <f>Tabelle27[Netto]*(100%+Tabelle27[Ust_Pct])</f>
        <v>-200</v>
      </c>
      <c r="J4" s="17" t="s">
        <v>246</v>
      </c>
      <c r="K4" s="17">
        <v>0</v>
      </c>
    </row>
    <row r="5" spans="1:15" hidden="1" x14ac:dyDescent="0.25">
      <c r="A5">
        <v>-100</v>
      </c>
      <c r="B5" s="17">
        <v>0</v>
      </c>
      <c r="C5">
        <f>Tabelle27[Brutto]-(Tabelle27[Brutto]/(100%+Tabelle27[Ust_Pct]))</f>
        <v>0</v>
      </c>
      <c r="D5">
        <f>Tabelle27[Brutto]/(100%+Tabelle27[Ust_Pct])</f>
        <v>-100</v>
      </c>
      <c r="E5">
        <f>Tabelle27[Netto]+Tabelle27[Ust]</f>
        <v>-100</v>
      </c>
      <c r="F5">
        <f>Tabelle27[Netto]*(100%+Tabelle27[Ust_Pct])</f>
        <v>-100</v>
      </c>
    </row>
    <row r="6" spans="1:15" hidden="1" x14ac:dyDescent="0.25">
      <c r="A6">
        <f>SUBTOTAL(109,Tabelle27[Brutto])</f>
        <v>0</v>
      </c>
      <c r="B6" s="17"/>
      <c r="C6">
        <f>SUBTOTAL(109,Tabelle27[Ust])</f>
        <v>0</v>
      </c>
      <c r="D6">
        <f>SUBTOTAL(109,Tabelle27[Netto])</f>
        <v>0</v>
      </c>
    </row>
    <row r="7" spans="1:15" hidden="1" x14ac:dyDescent="0.25"/>
    <row r="8" spans="1:15" hidden="1" x14ac:dyDescent="0.25">
      <c r="I8" t="s">
        <v>252</v>
      </c>
      <c r="J8" t="s">
        <v>251</v>
      </c>
      <c r="K8" s="6" t="s">
        <v>251</v>
      </c>
      <c r="L8" t="s">
        <v>251</v>
      </c>
      <c r="M8" s="6" t="s">
        <v>251</v>
      </c>
      <c r="N8" t="s">
        <v>251</v>
      </c>
    </row>
    <row r="9" spans="1:15" hidden="1" x14ac:dyDescent="0.25">
      <c r="I9" t="s">
        <v>253</v>
      </c>
      <c r="J9" s="17">
        <v>0.19</v>
      </c>
      <c r="K9" s="17">
        <v>0.19</v>
      </c>
      <c r="L9" s="17">
        <v>7.0000000000000007E-2</v>
      </c>
      <c r="M9" s="17">
        <v>7.0000000000000007E-2</v>
      </c>
      <c r="N9" s="17">
        <v>0</v>
      </c>
    </row>
    <row r="10" spans="1:15" hidden="1" x14ac:dyDescent="0.25">
      <c r="I10" s="6" t="s">
        <v>255</v>
      </c>
      <c r="J10" s="17" t="s">
        <v>245</v>
      </c>
      <c r="K10" s="17" t="s">
        <v>247</v>
      </c>
      <c r="L10" s="17" t="s">
        <v>245</v>
      </c>
      <c r="M10" s="17" t="s">
        <v>247</v>
      </c>
      <c r="N10" s="17" t="s">
        <v>245</v>
      </c>
      <c r="O10" s="17"/>
    </row>
    <row r="11" spans="1:15" hidden="1" x14ac:dyDescent="0.25">
      <c r="I11" t="s">
        <v>254</v>
      </c>
      <c r="J11" s="19">
        <f>DSUM(Tabelle27[#All],J10,J8:J9)</f>
        <v>-1643</v>
      </c>
      <c r="K11" s="19">
        <f>DSUM(Tabelle27[#All],K10,K8:K9)</f>
        <v>-1380.672268907563</v>
      </c>
      <c r="L11" s="19">
        <f>DSUM(Tabelle27[#All],L10,L8:L9)</f>
        <v>0</v>
      </c>
      <c r="M11" s="19">
        <f>DSUM(Tabelle27[#All],M10,M8:M9)</f>
        <v>0</v>
      </c>
      <c r="N11" s="19">
        <f>DSUM(Tabelle27[#All],N10,N8:N9)</f>
        <v>-100</v>
      </c>
      <c r="O11" s="19"/>
    </row>
    <row r="14" spans="1:15" ht="15.75" thickBot="1" x14ac:dyDescent="0.3"/>
    <row r="15" spans="1:15" x14ac:dyDescent="0.25">
      <c r="A15" t="s">
        <v>247</v>
      </c>
      <c r="B15" t="s">
        <v>251</v>
      </c>
      <c r="C15" t="s">
        <v>128</v>
      </c>
      <c r="D15" t="s">
        <v>245</v>
      </c>
      <c r="F15" s="21" t="s">
        <v>252</v>
      </c>
      <c r="G15" s="22" t="s">
        <v>251</v>
      </c>
      <c r="H15" s="23" t="s">
        <v>251</v>
      </c>
      <c r="I15" s="22" t="s">
        <v>251</v>
      </c>
      <c r="J15" s="23" t="s">
        <v>251</v>
      </c>
      <c r="K15" s="22" t="s">
        <v>251</v>
      </c>
      <c r="L15" s="23" t="s">
        <v>251</v>
      </c>
      <c r="M15" s="24" t="s">
        <v>251</v>
      </c>
    </row>
    <row r="16" spans="1:15" x14ac:dyDescent="0.25">
      <c r="A16" s="20">
        <v>268.35000000000002</v>
      </c>
      <c r="B16" s="17">
        <v>7.0000000000000007E-2</v>
      </c>
      <c r="C16" s="20">
        <f>Tabelle29[[#This Row],[Netto]]*Tabelle29[[#This Row],[Ust_Pct]]</f>
        <v>18.784500000000005</v>
      </c>
      <c r="D16" s="20">
        <f>Tabelle29[[#This Row],[Netto]]*(100%+Tabelle29[[#This Row],[Ust_Pct]])</f>
        <v>287.13450000000006</v>
      </c>
      <c r="F16" s="25" t="s">
        <v>253</v>
      </c>
      <c r="G16" s="26">
        <v>0.19</v>
      </c>
      <c r="H16" s="27">
        <v>0.19</v>
      </c>
      <c r="I16" s="26">
        <v>0.19</v>
      </c>
      <c r="J16" s="27">
        <v>7.0000000000000007E-2</v>
      </c>
      <c r="K16" s="26">
        <v>7.0000000000000007E-2</v>
      </c>
      <c r="L16" s="27">
        <v>7.0000000000000007E-2</v>
      </c>
      <c r="M16" s="28">
        <v>0</v>
      </c>
    </row>
    <row r="17" spans="1:13" x14ac:dyDescent="0.25">
      <c r="A17" s="20">
        <v>1872</v>
      </c>
      <c r="B17" s="17">
        <v>0.19</v>
      </c>
      <c r="C17" s="20">
        <f>Tabelle29[[#This Row],[Netto]]*Tabelle29[[#This Row],[Ust_Pct]]</f>
        <v>355.68</v>
      </c>
      <c r="D17" s="20">
        <f>Tabelle29[[#This Row],[Netto]]*(100%+Tabelle29[[#This Row],[Ust_Pct]])</f>
        <v>2227.6799999999998</v>
      </c>
      <c r="F17" s="25" t="s">
        <v>255</v>
      </c>
      <c r="G17" s="26" t="s">
        <v>245</v>
      </c>
      <c r="H17" s="27" t="s">
        <v>128</v>
      </c>
      <c r="I17" s="26" t="s">
        <v>247</v>
      </c>
      <c r="J17" s="27" t="s">
        <v>245</v>
      </c>
      <c r="K17" s="26" t="s">
        <v>128</v>
      </c>
      <c r="L17" s="27" t="s">
        <v>247</v>
      </c>
      <c r="M17" s="28" t="s">
        <v>245</v>
      </c>
    </row>
    <row r="18" spans="1:13" ht="15.75" thickBot="1" x14ac:dyDescent="0.3">
      <c r="A18" s="20"/>
      <c r="B18" s="17"/>
      <c r="C18" s="20"/>
      <c r="D18" s="20"/>
      <c r="F18" s="29" t="s">
        <v>254</v>
      </c>
      <c r="G18" s="30">
        <f>DSUM(Tabelle29[#All],G17,G15:G16)</f>
        <v>2227.6799999999998</v>
      </c>
      <c r="H18" s="31">
        <f>DSUM(Tabelle29[#All],H17,H15:H16)</f>
        <v>355.68</v>
      </c>
      <c r="I18" s="30">
        <f>DSUM(Tabelle29[#All],I17,I15:I16)</f>
        <v>1872</v>
      </c>
      <c r="J18" s="31">
        <f>DSUM(Tabelle29[#All],J17,J15:J16)</f>
        <v>287.13450000000006</v>
      </c>
      <c r="K18" s="30">
        <f>DSUM(Tabelle29[#All],K17,K15:K16)</f>
        <v>18.784500000000005</v>
      </c>
      <c r="L18" s="31">
        <f>DSUM(Tabelle29[#All],L17,L15:L16)</f>
        <v>268.35000000000002</v>
      </c>
      <c r="M18" s="32">
        <f>DSUM(Tabelle29[#All],M17,M15:M16)</f>
        <v>0</v>
      </c>
    </row>
    <row r="19" spans="1:13" x14ac:dyDescent="0.25">
      <c r="A19" s="20"/>
      <c r="B19" s="6"/>
      <c r="C19" s="20"/>
      <c r="D19" s="20">
        <f>SUBTOTAL(109,Tabelle29[Brutto])</f>
        <v>2514.8145</v>
      </c>
    </row>
    <row r="22" spans="1:13" x14ac:dyDescent="0.25">
      <c r="F22" s="33" t="s">
        <v>258</v>
      </c>
      <c r="G22" s="6" t="s">
        <v>259</v>
      </c>
      <c r="H22" s="6" t="s">
        <v>261</v>
      </c>
      <c r="I22" s="6" t="s">
        <v>260</v>
      </c>
    </row>
    <row r="23" spans="1:13" x14ac:dyDescent="0.25">
      <c r="A23" s="6" t="s">
        <v>271</v>
      </c>
      <c r="B23" s="6" t="s">
        <v>149</v>
      </c>
      <c r="C23" t="s">
        <v>188</v>
      </c>
      <c r="D23" t="s">
        <v>26</v>
      </c>
      <c r="F23" s="34">
        <v>0.19</v>
      </c>
      <c r="G23" s="19">
        <v>1190.9043999999999</v>
      </c>
      <c r="H23" s="20">
        <v>190.14439999999999</v>
      </c>
      <c r="I23" s="20">
        <v>1000.76</v>
      </c>
    </row>
    <row r="24" spans="1:13" x14ac:dyDescent="0.25">
      <c r="A24" s="5" t="s">
        <v>272</v>
      </c>
      <c r="B24" s="5">
        <v>72113</v>
      </c>
      <c r="C24" s="19">
        <v>304.05</v>
      </c>
      <c r="F24" s="34" t="s">
        <v>257</v>
      </c>
      <c r="G24" s="19">
        <v>1190.9043999999999</v>
      </c>
      <c r="H24" s="20">
        <v>190.14439999999999</v>
      </c>
      <c r="I24" s="20">
        <v>1000.76</v>
      </c>
    </row>
    <row r="25" spans="1:13" x14ac:dyDescent="0.25">
      <c r="A25" s="5" t="s">
        <v>273</v>
      </c>
      <c r="B25" s="5">
        <v>72113</v>
      </c>
      <c r="C25" s="19">
        <v>370.32</v>
      </c>
    </row>
    <row r="26" spans="1:13" x14ac:dyDescent="0.25">
      <c r="A26" s="5" t="s">
        <v>274</v>
      </c>
      <c r="B26" s="5">
        <v>72113</v>
      </c>
      <c r="C26" s="19">
        <v>275.79000000000002</v>
      </c>
      <c r="D26" s="6"/>
    </row>
    <row r="27" spans="1:13" x14ac:dyDescent="0.25">
      <c r="A27" s="5" t="s">
        <v>275</v>
      </c>
      <c r="B27" s="5">
        <v>72123</v>
      </c>
      <c r="C27" s="19">
        <v>387.35</v>
      </c>
      <c r="D27" s="6"/>
    </row>
    <row r="33" spans="1:13" x14ac:dyDescent="0.25">
      <c r="F33" s="33" t="s">
        <v>258</v>
      </c>
      <c r="G33" t="s">
        <v>264</v>
      </c>
      <c r="I33" s="33" t="s">
        <v>258</v>
      </c>
      <c r="J33" t="s">
        <v>264</v>
      </c>
    </row>
    <row r="34" spans="1:13" x14ac:dyDescent="0.25">
      <c r="F34" s="35" t="s">
        <v>276</v>
      </c>
      <c r="G34" s="20">
        <v>1337.5100000000002</v>
      </c>
      <c r="I34" s="35">
        <v>72113</v>
      </c>
      <c r="J34" s="5">
        <v>950.16000000000008</v>
      </c>
    </row>
    <row r="35" spans="1:13" x14ac:dyDescent="0.25">
      <c r="F35" s="35" t="s">
        <v>257</v>
      </c>
      <c r="G35" s="20">
        <v>1337.5100000000002</v>
      </c>
      <c r="I35" s="35">
        <v>72123</v>
      </c>
      <c r="J35" s="5">
        <v>387.35</v>
      </c>
    </row>
    <row r="36" spans="1:13" x14ac:dyDescent="0.25">
      <c r="I36" s="35" t="s">
        <v>257</v>
      </c>
      <c r="J36" s="5">
        <v>1337.5100000000002</v>
      </c>
    </row>
    <row r="40" spans="1:13" ht="15.75" thickBot="1" x14ac:dyDescent="0.3"/>
    <row r="41" spans="1:13" x14ac:dyDescent="0.25">
      <c r="E41" s="6"/>
      <c r="F41" s="21" t="s">
        <v>252</v>
      </c>
      <c r="G41" s="22" t="s">
        <v>251</v>
      </c>
      <c r="H41" s="23" t="s">
        <v>251</v>
      </c>
      <c r="I41" s="22" t="s">
        <v>251</v>
      </c>
      <c r="J41" s="23" t="s">
        <v>251</v>
      </c>
      <c r="K41" s="22" t="s">
        <v>251</v>
      </c>
      <c r="L41" s="23" t="s">
        <v>251</v>
      </c>
      <c r="M41" s="24" t="s">
        <v>251</v>
      </c>
    </row>
    <row r="42" spans="1:13" x14ac:dyDescent="0.25">
      <c r="A42" s="6" t="s">
        <v>245</v>
      </c>
      <c r="B42" s="6" t="s">
        <v>251</v>
      </c>
      <c r="C42" s="6" t="s">
        <v>247</v>
      </c>
      <c r="D42" s="6" t="s">
        <v>128</v>
      </c>
      <c r="E42" s="6"/>
      <c r="F42" s="25" t="s">
        <v>253</v>
      </c>
      <c r="G42" s="26">
        <v>0.19</v>
      </c>
      <c r="H42" s="27">
        <v>0.19</v>
      </c>
      <c r="I42" s="26">
        <v>0.19</v>
      </c>
      <c r="J42" s="27">
        <v>7.0000000000000007E-2</v>
      </c>
      <c r="K42" s="26">
        <v>7.0000000000000007E-2</v>
      </c>
      <c r="L42" s="27">
        <v>7.0000000000000007E-2</v>
      </c>
      <c r="M42" s="28">
        <v>0</v>
      </c>
    </row>
    <row r="43" spans="1:13" x14ac:dyDescent="0.25">
      <c r="A43" s="20">
        <v>78.58</v>
      </c>
      <c r="B43" s="17">
        <v>7.0000000000000007E-2</v>
      </c>
      <c r="C43" s="20">
        <f>Tabelle2934[[#This Row],[Brutto]] / (100%+Tabelle2934[[#This Row],[Ust_Pct]])</f>
        <v>73.43925233644859</v>
      </c>
      <c r="D43" s="20">
        <f>Tabelle2934[[#This Row],[Brutto]] - Tabelle2934[[#This Row],[Netto]]</f>
        <v>5.1407476635514087</v>
      </c>
      <c r="E43" s="6"/>
      <c r="F43" s="25" t="s">
        <v>255</v>
      </c>
      <c r="G43" s="26" t="s">
        <v>245</v>
      </c>
      <c r="H43" s="27" t="s">
        <v>128</v>
      </c>
      <c r="I43" s="26" t="s">
        <v>247</v>
      </c>
      <c r="J43" s="27" t="s">
        <v>245</v>
      </c>
      <c r="K43" s="26" t="s">
        <v>128</v>
      </c>
      <c r="L43" s="27" t="s">
        <v>247</v>
      </c>
      <c r="M43" s="28" t="s">
        <v>245</v>
      </c>
    </row>
    <row r="44" spans="1:13" ht="15.75" thickBot="1" x14ac:dyDescent="0.3">
      <c r="A44" s="20">
        <v>100.95</v>
      </c>
      <c r="B44" s="17">
        <v>7.0000000000000007E-2</v>
      </c>
      <c r="C44" s="20">
        <f>Tabelle2934[[#This Row],[Brutto]] / (100%+Tabelle2934[[#This Row],[Ust_Pct]])</f>
        <v>94.345794392523359</v>
      </c>
      <c r="D44" s="20">
        <f>Tabelle2934[[#This Row],[Brutto]] - Tabelle2934[[#This Row],[Netto]]</f>
        <v>6.6042056074766435</v>
      </c>
      <c r="E44" s="6"/>
      <c r="F44" s="29" t="s">
        <v>254</v>
      </c>
      <c r="G44" s="30">
        <f>DSUM(Tabelle2934[#All],G43,G41:G42)</f>
        <v>10</v>
      </c>
      <c r="H44" s="31">
        <f>DSUM(Tabelle2934[#All],H43,H41:H42)</f>
        <v>1.5966386554621845</v>
      </c>
      <c r="I44" s="30">
        <f>DSUM(Tabelle2934[#All],I43,I41:I42)</f>
        <v>8.4033613445378155</v>
      </c>
      <c r="J44" s="31">
        <f>DSUM(Tabelle2934[#All],J43,J41:J42)</f>
        <v>179.53</v>
      </c>
      <c r="K44" s="30">
        <f>DSUM(Tabelle2934[#All],K43,K41:K42)</f>
        <v>11.744953271028052</v>
      </c>
      <c r="L44" s="31">
        <f>DSUM(Tabelle2934[#All],L43,L41:L42)</f>
        <v>167.78504672897196</v>
      </c>
      <c r="M44" s="32">
        <f>DSUM(Tabelle2934[#All],M43,M41:M42)</f>
        <v>0</v>
      </c>
    </row>
    <row r="45" spans="1:13" x14ac:dyDescent="0.25">
      <c r="A45" s="20">
        <v>10</v>
      </c>
      <c r="B45" s="17">
        <v>0.19</v>
      </c>
      <c r="C45" s="20">
        <f>Tabelle2934[[#This Row],[Brutto]] / (100%+Tabelle2934[[#This Row],[Ust_Pct]])</f>
        <v>8.4033613445378155</v>
      </c>
      <c r="D45" s="20">
        <f>Tabelle2934[[#This Row],[Brutto]] - Tabelle2934[[#This Row],[Netto]]</f>
        <v>1.5966386554621845</v>
      </c>
    </row>
  </sheetData>
  <pageMargins left="0.7" right="0.7" top="0.78740157499999996" bottom="0.78740157499999996" header="0.3" footer="0.3"/>
  <pageSetup paperSize="9" orientation="portrait" horizontalDpi="1200" verticalDpi="1200" r:id="rId4"/>
  <tableParts count="5"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J47"/>
  <sheetViews>
    <sheetView zoomScale="85" zoomScaleNormal="85" workbookViewId="0">
      <selection activeCell="H42" sqref="H42"/>
    </sheetView>
  </sheetViews>
  <sheetFormatPr baseColWidth="10" defaultRowHeight="15" x14ac:dyDescent="0.25"/>
  <cols>
    <col min="1" max="1" width="59.140625" bestFit="1" customWidth="1"/>
    <col min="2" max="2" width="30.28515625" bestFit="1" customWidth="1"/>
    <col min="4" max="4" width="28.5703125" bestFit="1" customWidth="1"/>
    <col min="5" max="5" width="30.140625" customWidth="1"/>
  </cols>
  <sheetData>
    <row r="1" spans="1:10" x14ac:dyDescent="0.25">
      <c r="A1" t="s">
        <v>0</v>
      </c>
      <c r="B1" t="s">
        <v>1</v>
      </c>
      <c r="D1" t="s">
        <v>12</v>
      </c>
      <c r="E1" t="s">
        <v>13</v>
      </c>
    </row>
    <row r="2" spans="1:10" x14ac:dyDescent="0.25">
      <c r="A2" t="s">
        <v>2</v>
      </c>
      <c r="B2" t="s">
        <v>3</v>
      </c>
      <c r="D2" t="s">
        <v>11</v>
      </c>
      <c r="E2" t="s">
        <v>10</v>
      </c>
    </row>
    <row r="3" spans="1:10" x14ac:dyDescent="0.25">
      <c r="A3" t="s">
        <v>4</v>
      </c>
      <c r="B3" t="s">
        <v>5</v>
      </c>
    </row>
    <row r="4" spans="1:10" x14ac:dyDescent="0.25">
      <c r="A4" t="s">
        <v>6</v>
      </c>
      <c r="B4" t="s">
        <v>7</v>
      </c>
      <c r="D4" t="s">
        <v>42</v>
      </c>
      <c r="E4" t="s">
        <v>26</v>
      </c>
      <c r="H4" t="s">
        <v>47</v>
      </c>
      <c r="I4" t="s">
        <v>48</v>
      </c>
      <c r="J4" t="s">
        <v>53</v>
      </c>
    </row>
    <row r="5" spans="1:10" x14ac:dyDescent="0.25">
      <c r="A5" t="s">
        <v>8</v>
      </c>
      <c r="B5" t="s">
        <v>9</v>
      </c>
      <c r="D5">
        <v>1570</v>
      </c>
      <c r="E5" t="s">
        <v>43</v>
      </c>
      <c r="H5">
        <v>1</v>
      </c>
      <c r="I5" s="1">
        <v>7.0000000000000007E-2</v>
      </c>
      <c r="J5" t="s">
        <v>54</v>
      </c>
    </row>
    <row r="6" spans="1:10" x14ac:dyDescent="0.25">
      <c r="A6" t="s">
        <v>14</v>
      </c>
      <c r="B6" t="s">
        <v>15</v>
      </c>
      <c r="D6">
        <v>1588</v>
      </c>
      <c r="E6" t="s">
        <v>32</v>
      </c>
      <c r="H6">
        <v>11</v>
      </c>
      <c r="I6" s="1">
        <v>7.0000000000000007E-2</v>
      </c>
      <c r="J6" t="s">
        <v>55</v>
      </c>
    </row>
    <row r="7" spans="1:10" x14ac:dyDescent="0.25">
      <c r="A7" t="s">
        <v>16</v>
      </c>
      <c r="B7" t="s">
        <v>15</v>
      </c>
      <c r="D7" s="6">
        <v>3850</v>
      </c>
      <c r="E7" s="6" t="s">
        <v>296</v>
      </c>
      <c r="H7">
        <v>12</v>
      </c>
      <c r="I7" s="1">
        <v>0.19</v>
      </c>
      <c r="J7" t="s">
        <v>55</v>
      </c>
    </row>
    <row r="8" spans="1:10" x14ac:dyDescent="0.25">
      <c r="A8" t="s">
        <v>17</v>
      </c>
      <c r="B8" t="s">
        <v>18</v>
      </c>
      <c r="D8">
        <v>3200</v>
      </c>
      <c r="E8" t="s">
        <v>44</v>
      </c>
      <c r="H8">
        <v>21</v>
      </c>
      <c r="I8" s="1">
        <v>0.19</v>
      </c>
      <c r="J8" t="s">
        <v>56</v>
      </c>
    </row>
    <row r="9" spans="1:10" x14ac:dyDescent="0.25">
      <c r="A9" t="s">
        <v>19</v>
      </c>
      <c r="B9" t="s">
        <v>20</v>
      </c>
      <c r="D9" s="6">
        <v>3426</v>
      </c>
      <c r="E9" s="6" t="s">
        <v>220</v>
      </c>
      <c r="H9">
        <v>90</v>
      </c>
      <c r="I9" s="1">
        <v>0</v>
      </c>
      <c r="J9" t="s">
        <v>57</v>
      </c>
    </row>
    <row r="10" spans="1:10" x14ac:dyDescent="0.25">
      <c r="A10" t="s">
        <v>21</v>
      </c>
      <c r="B10" t="s">
        <v>22</v>
      </c>
      <c r="D10">
        <v>4933</v>
      </c>
      <c r="E10" t="s">
        <v>49</v>
      </c>
      <c r="H10">
        <v>91</v>
      </c>
      <c r="I10" s="1">
        <v>0</v>
      </c>
      <c r="J10" t="s">
        <v>54</v>
      </c>
    </row>
    <row r="11" spans="1:10" x14ac:dyDescent="0.25">
      <c r="A11" t="s">
        <v>27</v>
      </c>
      <c r="B11" t="s">
        <v>28</v>
      </c>
      <c r="D11">
        <v>4500</v>
      </c>
      <c r="E11" t="s">
        <v>52</v>
      </c>
      <c r="H11">
        <v>97</v>
      </c>
      <c r="I11" s="1">
        <v>0</v>
      </c>
      <c r="J11" t="s">
        <v>58</v>
      </c>
    </row>
    <row r="12" spans="1:10" x14ac:dyDescent="0.25">
      <c r="A12" t="s">
        <v>209</v>
      </c>
      <c r="B12" t="s">
        <v>51</v>
      </c>
      <c r="D12">
        <v>4735</v>
      </c>
      <c r="E12" t="s">
        <v>61</v>
      </c>
      <c r="H12">
        <v>98</v>
      </c>
      <c r="I12" s="1">
        <v>0.19</v>
      </c>
      <c r="J12" t="s">
        <v>59</v>
      </c>
    </row>
    <row r="13" spans="1:10" x14ac:dyDescent="0.25">
      <c r="A13" t="s">
        <v>65</v>
      </c>
      <c r="B13" t="s">
        <v>64</v>
      </c>
      <c r="D13">
        <v>4736</v>
      </c>
      <c r="E13" t="s">
        <v>62</v>
      </c>
      <c r="H13">
        <v>99</v>
      </c>
      <c r="I13" s="1">
        <v>0.19</v>
      </c>
      <c r="J13" t="s">
        <v>60</v>
      </c>
    </row>
    <row r="14" spans="1:10" x14ac:dyDescent="0.25">
      <c r="A14" s="6" t="s">
        <v>237</v>
      </c>
      <c r="B14" s="6" t="s">
        <v>64</v>
      </c>
      <c r="D14">
        <v>4737</v>
      </c>
      <c r="E14" t="s">
        <v>69</v>
      </c>
    </row>
    <row r="15" spans="1:10" x14ac:dyDescent="0.25">
      <c r="A15" t="s">
        <v>66</v>
      </c>
      <c r="B15" t="s">
        <v>67</v>
      </c>
      <c r="D15">
        <v>4738</v>
      </c>
      <c r="E15" t="s">
        <v>70</v>
      </c>
    </row>
    <row r="16" spans="1:10" x14ac:dyDescent="0.25">
      <c r="A16" t="s">
        <v>73</v>
      </c>
      <c r="B16" t="s">
        <v>74</v>
      </c>
      <c r="D16">
        <v>4739</v>
      </c>
      <c r="E16" t="s">
        <v>71</v>
      </c>
    </row>
    <row r="17" spans="1:9" x14ac:dyDescent="0.25">
      <c r="A17" t="s">
        <v>75</v>
      </c>
      <c r="B17" t="s">
        <v>76</v>
      </c>
      <c r="D17">
        <v>4740</v>
      </c>
      <c r="E17" t="s">
        <v>72</v>
      </c>
    </row>
    <row r="18" spans="1:9" x14ac:dyDescent="0.25">
      <c r="A18" t="s">
        <v>77</v>
      </c>
      <c r="B18" t="s">
        <v>78</v>
      </c>
      <c r="D18">
        <v>1510</v>
      </c>
      <c r="E18" t="s">
        <v>256</v>
      </c>
    </row>
    <row r="19" spans="1:9" x14ac:dyDescent="0.25">
      <c r="A19" t="s">
        <v>88</v>
      </c>
      <c r="B19" t="s">
        <v>89</v>
      </c>
      <c r="H19" s="7" t="s">
        <v>188</v>
      </c>
    </row>
    <row r="20" spans="1:9" x14ac:dyDescent="0.25">
      <c r="A20" t="s">
        <v>90</v>
      </c>
      <c r="B20" t="s">
        <v>91</v>
      </c>
      <c r="H20" s="7">
        <v>110</v>
      </c>
    </row>
    <row r="21" spans="1:9" x14ac:dyDescent="0.25">
      <c r="A21" t="s">
        <v>92</v>
      </c>
      <c r="B21" t="s">
        <v>93</v>
      </c>
      <c r="H21" s="7">
        <v>135</v>
      </c>
    </row>
    <row r="22" spans="1:9" x14ac:dyDescent="0.25">
      <c r="A22" t="s">
        <v>95</v>
      </c>
      <c r="B22" t="s">
        <v>96</v>
      </c>
      <c r="H22" s="7">
        <f>SUBTOTAL(109,Tabelle20[Betrag])</f>
        <v>245</v>
      </c>
    </row>
    <row r="23" spans="1:9" x14ac:dyDescent="0.25">
      <c r="A23" t="s">
        <v>97</v>
      </c>
      <c r="B23" t="s">
        <v>98</v>
      </c>
      <c r="D23" t="s">
        <v>29</v>
      </c>
      <c r="E23" t="s">
        <v>30</v>
      </c>
      <c r="H23" s="7"/>
    </row>
    <row r="24" spans="1:9" x14ac:dyDescent="0.25">
      <c r="A24" t="s">
        <v>99</v>
      </c>
      <c r="B24" t="s">
        <v>100</v>
      </c>
      <c r="D24" t="s">
        <v>31</v>
      </c>
      <c r="E24" t="s">
        <v>32</v>
      </c>
    </row>
    <row r="25" spans="1:9" x14ac:dyDescent="0.25">
      <c r="A25" t="s">
        <v>101</v>
      </c>
      <c r="B25" t="s">
        <v>102</v>
      </c>
      <c r="D25" s="6" t="s">
        <v>186</v>
      </c>
      <c r="E25" s="6" t="s">
        <v>187</v>
      </c>
      <c r="H25" t="s">
        <v>3</v>
      </c>
    </row>
    <row r="26" spans="1:9" x14ac:dyDescent="0.25">
      <c r="A26" t="s">
        <v>103</v>
      </c>
      <c r="B26" t="s">
        <v>104</v>
      </c>
      <c r="D26" s="2" t="s">
        <v>33</v>
      </c>
      <c r="E26" t="s">
        <v>34</v>
      </c>
      <c r="H26" s="6" t="s">
        <v>226</v>
      </c>
      <c r="I26" s="6" t="s">
        <v>26</v>
      </c>
    </row>
    <row r="27" spans="1:9" x14ac:dyDescent="0.25">
      <c r="A27" t="s">
        <v>192</v>
      </c>
      <c r="B27" t="s">
        <v>193</v>
      </c>
      <c r="D27" t="s">
        <v>35</v>
      </c>
      <c r="E27" t="s">
        <v>36</v>
      </c>
      <c r="H27">
        <v>803522</v>
      </c>
      <c r="I27" t="s">
        <v>224</v>
      </c>
    </row>
    <row r="28" spans="1:9" x14ac:dyDescent="0.25">
      <c r="A28" t="s">
        <v>210</v>
      </c>
      <c r="B28" t="s">
        <v>211</v>
      </c>
      <c r="D28" s="3" t="s">
        <v>184</v>
      </c>
      <c r="E28" s="3" t="s">
        <v>68</v>
      </c>
      <c r="H28">
        <v>800529</v>
      </c>
      <c r="I28" t="s">
        <v>225</v>
      </c>
    </row>
    <row r="29" spans="1:9" x14ac:dyDescent="0.25">
      <c r="A29" s="6" t="s">
        <v>222</v>
      </c>
      <c r="B29" s="6" t="s">
        <v>223</v>
      </c>
      <c r="D29" t="s">
        <v>185</v>
      </c>
      <c r="E29" t="s">
        <v>68</v>
      </c>
    </row>
    <row r="30" spans="1:9" x14ac:dyDescent="0.25">
      <c r="A30" s="6" t="s">
        <v>283</v>
      </c>
      <c r="B30" s="6" t="s">
        <v>284</v>
      </c>
      <c r="D30" s="6" t="s">
        <v>279</v>
      </c>
      <c r="E30" s="6" t="s">
        <v>281</v>
      </c>
    </row>
    <row r="31" spans="1:9" x14ac:dyDescent="0.25">
      <c r="A31" t="s">
        <v>48</v>
      </c>
      <c r="B31" t="s">
        <v>47</v>
      </c>
      <c r="D31" s="6" t="s">
        <v>280</v>
      </c>
      <c r="E31" s="6" t="s">
        <v>282</v>
      </c>
    </row>
    <row r="32" spans="1:9" x14ac:dyDescent="0.25">
      <c r="A32">
        <v>71</v>
      </c>
      <c r="B32" t="s">
        <v>45</v>
      </c>
      <c r="D32" s="6" t="s">
        <v>262</v>
      </c>
      <c r="E32" s="6" t="s">
        <v>263</v>
      </c>
    </row>
    <row r="33" spans="1:5" x14ac:dyDescent="0.25">
      <c r="A33">
        <v>72</v>
      </c>
      <c r="B33" t="s">
        <v>46</v>
      </c>
      <c r="D33" t="s">
        <v>38</v>
      </c>
      <c r="E33" t="s">
        <v>37</v>
      </c>
    </row>
    <row r="34" spans="1:5" x14ac:dyDescent="0.25">
      <c r="A34">
        <v>73</v>
      </c>
      <c r="D34" s="6" t="s">
        <v>39</v>
      </c>
      <c r="E34" t="s">
        <v>40</v>
      </c>
    </row>
    <row r="35" spans="1:5" x14ac:dyDescent="0.25">
      <c r="A35">
        <v>75</v>
      </c>
      <c r="B35" t="s">
        <v>63</v>
      </c>
      <c r="D35" s="6" t="s">
        <v>238</v>
      </c>
      <c r="E35" s="6" t="s">
        <v>239</v>
      </c>
    </row>
    <row r="36" spans="1:5" x14ac:dyDescent="0.25">
      <c r="A36">
        <v>108</v>
      </c>
      <c r="B36" t="s">
        <v>130</v>
      </c>
      <c r="D36" s="6" t="s">
        <v>265</v>
      </c>
      <c r="E36" s="6" t="s">
        <v>266</v>
      </c>
    </row>
    <row r="37" spans="1:5" x14ac:dyDescent="0.25">
      <c r="A37">
        <v>130</v>
      </c>
      <c r="B37" t="s">
        <v>221</v>
      </c>
      <c r="D37" s="6" t="s">
        <v>267</v>
      </c>
      <c r="E37" s="6" t="s">
        <v>268</v>
      </c>
    </row>
    <row r="38" spans="1:5" x14ac:dyDescent="0.25">
      <c r="D38" s="6" t="s">
        <v>269</v>
      </c>
      <c r="E38" s="6" t="s">
        <v>270</v>
      </c>
    </row>
    <row r="39" spans="1:5" x14ac:dyDescent="0.25">
      <c r="D39" t="s">
        <v>41</v>
      </c>
      <c r="E39" t="s">
        <v>50</v>
      </c>
    </row>
    <row r="40" spans="1:5" x14ac:dyDescent="0.25">
      <c r="D40" t="s">
        <v>162</v>
      </c>
      <c r="E40" t="s">
        <v>163</v>
      </c>
    </row>
    <row r="41" spans="1:5" x14ac:dyDescent="0.25">
      <c r="D41" t="s">
        <v>216</v>
      </c>
      <c r="E41" t="s">
        <v>217</v>
      </c>
    </row>
    <row r="42" spans="1:5" x14ac:dyDescent="0.25">
      <c r="D42" t="s">
        <v>218</v>
      </c>
      <c r="E42" t="s">
        <v>219</v>
      </c>
    </row>
    <row r="43" spans="1:5" x14ac:dyDescent="0.25">
      <c r="D43" t="s">
        <v>286</v>
      </c>
      <c r="E43" t="s">
        <v>287</v>
      </c>
    </row>
    <row r="44" spans="1:5" x14ac:dyDescent="0.25">
      <c r="D44" t="s">
        <v>292</v>
      </c>
      <c r="E44" t="s">
        <v>293</v>
      </c>
    </row>
    <row r="45" spans="1:5" x14ac:dyDescent="0.25">
      <c r="D45" t="s">
        <v>294</v>
      </c>
      <c r="E45" t="s">
        <v>295</v>
      </c>
    </row>
    <row r="46" spans="1:5" x14ac:dyDescent="0.25">
      <c r="D46" t="s">
        <v>301</v>
      </c>
      <c r="E46" t="s">
        <v>302</v>
      </c>
    </row>
    <row r="47" spans="1:5" x14ac:dyDescent="0.25">
      <c r="D47" t="s">
        <v>303</v>
      </c>
      <c r="E47" t="s">
        <v>304</v>
      </c>
    </row>
  </sheetData>
  <pageMargins left="0.7" right="0.7" top="0.78740157499999996" bottom="0.78740157499999996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P43"/>
  <sheetViews>
    <sheetView tabSelected="1" topLeftCell="I13" zoomScale="130" zoomScaleNormal="130" workbookViewId="0">
      <selection activeCell="N39" sqref="N39"/>
    </sheetView>
  </sheetViews>
  <sheetFormatPr baseColWidth="10" defaultRowHeight="15" x14ac:dyDescent="0.25"/>
  <cols>
    <col min="1" max="1" width="18.7109375" style="8" customWidth="1"/>
    <col min="2" max="2" width="26" style="8" bestFit="1" customWidth="1"/>
    <col min="3" max="4" width="11.42578125" style="8"/>
    <col min="5" max="5" width="26.42578125" style="8" bestFit="1" customWidth="1"/>
    <col min="6" max="6" width="22" style="8" bestFit="1" customWidth="1"/>
    <col min="7" max="7" width="11.42578125" style="8"/>
    <col min="8" max="8" width="27.85546875" style="8" bestFit="1" customWidth="1"/>
    <col min="9" max="12" width="11.42578125" style="8"/>
    <col min="13" max="14" width="14.42578125" style="8" customWidth="1"/>
    <col min="15" max="16384" width="11.42578125" style="8"/>
  </cols>
  <sheetData>
    <row r="1" spans="1:15" x14ac:dyDescent="0.25">
      <c r="A1" s="8" t="s">
        <v>106</v>
      </c>
      <c r="B1" s="8" t="s">
        <v>123</v>
      </c>
      <c r="C1" s="8" t="s">
        <v>128</v>
      </c>
      <c r="D1" s="8" t="s">
        <v>174</v>
      </c>
      <c r="E1" s="8" t="s">
        <v>127</v>
      </c>
      <c r="F1" s="8" t="s">
        <v>123</v>
      </c>
      <c r="G1" s="8" t="s">
        <v>82</v>
      </c>
      <c r="J1" s="8" t="s">
        <v>47</v>
      </c>
      <c r="K1" s="8" t="s">
        <v>48</v>
      </c>
      <c r="L1" s="40" t="s">
        <v>166</v>
      </c>
      <c r="M1" s="40" t="s">
        <v>169</v>
      </c>
      <c r="N1" s="40" t="s">
        <v>289</v>
      </c>
      <c r="O1" s="40" t="s">
        <v>290</v>
      </c>
    </row>
    <row r="2" spans="1:15" x14ac:dyDescent="0.25">
      <c r="A2" s="8">
        <v>4970</v>
      </c>
      <c r="B2" s="8" t="s">
        <v>288</v>
      </c>
      <c r="E2" s="8" t="s">
        <v>124</v>
      </c>
      <c r="F2" s="8" t="s">
        <v>125</v>
      </c>
      <c r="G2" s="8">
        <v>71321</v>
      </c>
      <c r="J2" s="8">
        <v>187.25</v>
      </c>
      <c r="L2" s="40">
        <v>517.32000000000005</v>
      </c>
      <c r="M2" s="40">
        <v>496.62</v>
      </c>
      <c r="N2" s="40">
        <f>Tabelle32[[#This Row],[Betr]]-Tabelle32[[#This Row],[Gesamt]]</f>
        <v>20.700000000000045</v>
      </c>
      <c r="O2" s="41">
        <f>Tabelle32[[#This Row],[Abzug]]/Tabelle32[[#This Row],[Betr]]</f>
        <v>4.0013917884481644E-2</v>
      </c>
    </row>
    <row r="3" spans="1:15" x14ac:dyDescent="0.25">
      <c r="A3" s="8">
        <v>1362</v>
      </c>
      <c r="B3" s="8" t="s">
        <v>131</v>
      </c>
      <c r="J3" s="8">
        <v>-26.75</v>
      </c>
      <c r="L3" s="40">
        <v>520.02</v>
      </c>
      <c r="M3" s="40">
        <v>499.21</v>
      </c>
      <c r="N3" s="40">
        <f>Tabelle32[[#This Row],[Betr]]-Tabelle32[[#This Row],[Gesamt]]</f>
        <v>20.810000000000002</v>
      </c>
      <c r="O3" s="41">
        <f>Tabelle32[[#This Row],[Abzug]]/Tabelle32[[#This Row],[Betr]]</f>
        <v>4.0017691627245111E-2</v>
      </c>
    </row>
    <row r="4" spans="1:15" x14ac:dyDescent="0.25">
      <c r="A4" s="8">
        <v>1364</v>
      </c>
      <c r="B4" s="8" t="s">
        <v>177</v>
      </c>
      <c r="E4" s="8" t="s">
        <v>47</v>
      </c>
      <c r="F4" s="9" t="s">
        <v>48</v>
      </c>
      <c r="G4" s="8" t="s">
        <v>126</v>
      </c>
      <c r="H4" s="10" t="s">
        <v>164</v>
      </c>
      <c r="J4" s="8">
        <v>162.63999999999999</v>
      </c>
      <c r="L4" s="40">
        <v>425.39</v>
      </c>
      <c r="M4" s="40">
        <v>408.37</v>
      </c>
      <c r="N4" s="40">
        <f>Tabelle32[[#This Row],[Betr]]-Tabelle32[[#This Row],[Gesamt]]</f>
        <v>17.019999999999982</v>
      </c>
      <c r="O4" s="41">
        <f>Tabelle32[[#This Row],[Abzug]]/Tabelle32[[#This Row],[Betr]]</f>
        <v>4.0010343449540381E-2</v>
      </c>
    </row>
    <row r="5" spans="1:15" x14ac:dyDescent="0.25">
      <c r="A5" s="8">
        <v>1598</v>
      </c>
      <c r="B5" s="8" t="s">
        <v>122</v>
      </c>
      <c r="E5" s="11">
        <v>187.79</v>
      </c>
      <c r="F5" s="9">
        <v>0.03</v>
      </c>
      <c r="G5" s="12">
        <f>Tabelle13[[#This Row],[Spalte1]]*Tabelle13[[#This Row],[Spalte2]]</f>
        <v>5.6336999999999993</v>
      </c>
      <c r="H5" s="10">
        <f>Tabelle13[[#This Row],[Spalte1]]*(100%-Tabelle13[[#This Row],[Spalte2]])</f>
        <v>182.15629999999999</v>
      </c>
      <c r="J5" s="8">
        <f>SUBTOTAL(109,Tabelle15[Spalte1])</f>
        <v>323.14</v>
      </c>
      <c r="K5" s="8">
        <f>SUBTOTAL(109,Tabelle15[Spalte2])</f>
        <v>0</v>
      </c>
      <c r="L5" s="40">
        <f>SUBTOTAL(109,Tabelle32[Betr])</f>
        <v>1462.73</v>
      </c>
      <c r="M5" s="40">
        <f>SUBTOTAL(109,Tabelle32[Gesamt])</f>
        <v>1404.1999999999998</v>
      </c>
      <c r="N5" s="40">
        <f>SUBTOTAL(109,Tabelle32[Abzug])</f>
        <v>58.53000000000003</v>
      </c>
    </row>
    <row r="6" spans="1:15" x14ac:dyDescent="0.25">
      <c r="A6" s="8">
        <v>1593</v>
      </c>
      <c r="B6" s="8" t="s">
        <v>132</v>
      </c>
      <c r="C6" s="9">
        <v>0</v>
      </c>
      <c r="E6" s="11">
        <v>1534.38</v>
      </c>
      <c r="F6" s="9">
        <v>0.02</v>
      </c>
      <c r="G6" s="12">
        <f>Tabelle13[[#This Row],[Spalte1]]*Tabelle13[[#This Row],[Spalte2]]</f>
        <v>30.687600000000003</v>
      </c>
      <c r="H6" s="10">
        <f>Tabelle13[[#This Row],[Spalte1]]*(100%-Tabelle13[[#This Row],[Spalte2]])</f>
        <v>1503.6924000000001</v>
      </c>
    </row>
    <row r="7" spans="1:15" x14ac:dyDescent="0.25">
      <c r="A7" s="8">
        <v>1599</v>
      </c>
      <c r="B7" s="8" t="s">
        <v>133</v>
      </c>
      <c r="C7" s="9">
        <v>0</v>
      </c>
      <c r="E7" s="11">
        <v>289.35000000000002</v>
      </c>
      <c r="F7" s="9">
        <v>0.01</v>
      </c>
      <c r="G7" s="12">
        <f>Tabelle13[[#This Row],[Spalte1]]*Tabelle13[[#This Row],[Spalte2]]</f>
        <v>2.8935000000000004</v>
      </c>
      <c r="H7" s="10">
        <f>Tabelle13[[#This Row],[Spalte1]]*(100%-Tabelle13[[#This Row],[Spalte2]])</f>
        <v>286.45650000000001</v>
      </c>
    </row>
    <row r="8" spans="1:15" x14ac:dyDescent="0.25">
      <c r="A8" s="8" t="s">
        <v>205</v>
      </c>
      <c r="B8" s="8" t="s">
        <v>204</v>
      </c>
    </row>
    <row r="9" spans="1:15" x14ac:dyDescent="0.25">
      <c r="A9" s="8" t="s">
        <v>277</v>
      </c>
      <c r="B9" s="8" t="s">
        <v>278</v>
      </c>
      <c r="C9" s="9">
        <v>0</v>
      </c>
    </row>
    <row r="10" spans="1:15" x14ac:dyDescent="0.25">
      <c r="A10" s="8">
        <v>4360</v>
      </c>
      <c r="B10" s="8" t="s">
        <v>178</v>
      </c>
      <c r="C10" s="9"/>
    </row>
    <row r="11" spans="1:15" x14ac:dyDescent="0.25">
      <c r="A11" s="8">
        <v>8302</v>
      </c>
      <c r="B11" s="8" t="s">
        <v>129</v>
      </c>
      <c r="C11" s="9">
        <v>7.0000000000000007E-2</v>
      </c>
      <c r="E11" s="8" t="s">
        <v>134</v>
      </c>
    </row>
    <row r="12" spans="1:15" x14ac:dyDescent="0.25">
      <c r="A12" s="8">
        <v>8304</v>
      </c>
      <c r="B12" s="8" t="s">
        <v>129</v>
      </c>
      <c r="C12" s="9">
        <v>0.19</v>
      </c>
      <c r="E12" s="8" t="s">
        <v>127</v>
      </c>
      <c r="F12" s="8" t="s">
        <v>137</v>
      </c>
      <c r="G12" s="8" t="s">
        <v>87</v>
      </c>
      <c r="H12" s="8" t="s">
        <v>138</v>
      </c>
    </row>
    <row r="13" spans="1:15" x14ac:dyDescent="0.25">
      <c r="A13" s="8" t="s">
        <v>153</v>
      </c>
      <c r="B13" s="8" t="s">
        <v>154</v>
      </c>
      <c r="C13" s="9">
        <v>0</v>
      </c>
      <c r="E13" s="8" t="s">
        <v>143</v>
      </c>
      <c r="F13" s="8">
        <v>323494247</v>
      </c>
      <c r="G13" s="8" t="s">
        <v>144</v>
      </c>
      <c r="H13" s="8" t="s">
        <v>145</v>
      </c>
    </row>
    <row r="14" spans="1:15" x14ac:dyDescent="0.25">
      <c r="A14" s="8">
        <v>28100</v>
      </c>
      <c r="B14" s="8" t="s">
        <v>155</v>
      </c>
      <c r="E14" s="8" t="s">
        <v>142</v>
      </c>
      <c r="F14" s="8" t="s">
        <v>136</v>
      </c>
      <c r="G14" s="8">
        <v>1780</v>
      </c>
      <c r="H14" s="8" t="s">
        <v>135</v>
      </c>
    </row>
    <row r="15" spans="1:15" x14ac:dyDescent="0.25">
      <c r="A15" s="8">
        <v>649</v>
      </c>
      <c r="B15" s="8" t="s">
        <v>200</v>
      </c>
      <c r="E15" s="8" t="s">
        <v>139</v>
      </c>
      <c r="F15" s="8" t="s">
        <v>140</v>
      </c>
      <c r="G15" s="8">
        <v>1505</v>
      </c>
      <c r="H15" s="8" t="s">
        <v>141</v>
      </c>
    </row>
    <row r="16" spans="1:15" x14ac:dyDescent="0.25">
      <c r="A16" s="8">
        <v>655</v>
      </c>
      <c r="B16" s="8" t="s">
        <v>201</v>
      </c>
      <c r="E16" s="8" t="s">
        <v>146</v>
      </c>
      <c r="F16" s="8" t="s">
        <v>136</v>
      </c>
      <c r="G16" s="8" t="s">
        <v>152</v>
      </c>
      <c r="H16" s="8" t="s">
        <v>147</v>
      </c>
    </row>
    <row r="17" spans="1:16" x14ac:dyDescent="0.25">
      <c r="A17" s="8">
        <v>4910</v>
      </c>
      <c r="B17" s="8" t="s">
        <v>202</v>
      </c>
      <c r="C17" s="9">
        <v>0</v>
      </c>
      <c r="D17" s="8" t="s">
        <v>203</v>
      </c>
      <c r="J17" s="8" t="s">
        <v>188</v>
      </c>
      <c r="K17" s="8" t="s">
        <v>189</v>
      </c>
      <c r="L17" s="8" t="s">
        <v>190</v>
      </c>
      <c r="M17" s="8" t="s">
        <v>191</v>
      </c>
    </row>
    <row r="18" spans="1:16" x14ac:dyDescent="0.25">
      <c r="A18" s="8" t="s">
        <v>213</v>
      </c>
      <c r="B18" s="8" t="s">
        <v>212</v>
      </c>
      <c r="C18" s="9">
        <v>0</v>
      </c>
      <c r="J18" s="8">
        <v>608.80999999999995</v>
      </c>
      <c r="K18" s="8">
        <v>579.37</v>
      </c>
      <c r="L18" s="8">
        <f>Tabelle21[Betrag]-Tabelle21[Bezahlt]</f>
        <v>29.439999999999941</v>
      </c>
      <c r="M18" s="13">
        <f>Tabelle21[Abzüge]/Tabelle21[Betrag]</f>
        <v>4.8356630147336516E-2</v>
      </c>
    </row>
    <row r="19" spans="1:16" x14ac:dyDescent="0.25">
      <c r="B19" s="8" t="s">
        <v>232</v>
      </c>
    </row>
    <row r="20" spans="1:16" x14ac:dyDescent="0.25">
      <c r="A20" s="8">
        <v>68019</v>
      </c>
      <c r="B20" s="8" t="s">
        <v>235</v>
      </c>
      <c r="E20" s="8" t="s">
        <v>150</v>
      </c>
      <c r="F20" s="8" t="s">
        <v>149</v>
      </c>
      <c r="G20" s="8" t="s">
        <v>106</v>
      </c>
      <c r="H20" s="8" t="s">
        <v>182</v>
      </c>
    </row>
    <row r="21" spans="1:16" x14ac:dyDescent="0.25">
      <c r="A21" s="8">
        <v>4970</v>
      </c>
      <c r="B21" s="8" t="s">
        <v>240</v>
      </c>
      <c r="E21" s="8">
        <v>5604148023</v>
      </c>
      <c r="F21" s="8" t="s">
        <v>148</v>
      </c>
      <c r="G21" s="8" t="s">
        <v>151</v>
      </c>
      <c r="J21" s="8" t="s">
        <v>123</v>
      </c>
      <c r="K21" s="8" t="s">
        <v>82</v>
      </c>
      <c r="L21" s="8" t="s">
        <v>167</v>
      </c>
      <c r="M21" s="8" t="s">
        <v>166</v>
      </c>
      <c r="N21" s="8" t="s">
        <v>297</v>
      </c>
      <c r="O21" s="8" t="s">
        <v>247</v>
      </c>
    </row>
    <row r="22" spans="1:16" x14ac:dyDescent="0.25">
      <c r="A22" s="8">
        <v>2110</v>
      </c>
      <c r="B22" s="8" t="s">
        <v>241</v>
      </c>
      <c r="E22" s="8" t="s">
        <v>181</v>
      </c>
      <c r="F22" s="8" t="s">
        <v>179</v>
      </c>
      <c r="G22" s="8" t="s">
        <v>180</v>
      </c>
      <c r="H22" s="8" t="s">
        <v>183</v>
      </c>
      <c r="J22" s="8">
        <v>290656</v>
      </c>
      <c r="K22" s="8">
        <v>28175</v>
      </c>
      <c r="L22" s="9">
        <v>0.03</v>
      </c>
      <c r="M22" s="42">
        <v>37.200000000000003</v>
      </c>
      <c r="N22" s="42">
        <f>Tabelle34[Betr]*Tabelle34[Skto%]</f>
        <v>1.1160000000000001</v>
      </c>
      <c r="O22" s="42">
        <f>Tabelle34[Betr]*(100%-Tabelle34[Skto%])</f>
        <v>36.084000000000003</v>
      </c>
    </row>
    <row r="23" spans="1:16" x14ac:dyDescent="0.25">
      <c r="A23" s="8">
        <v>4920</v>
      </c>
      <c r="B23" s="8" t="s">
        <v>242</v>
      </c>
      <c r="J23" s="46">
        <v>290769</v>
      </c>
      <c r="K23" s="46">
        <v>28176</v>
      </c>
      <c r="L23" s="47">
        <v>0.03</v>
      </c>
      <c r="M23" s="48">
        <v>168.76</v>
      </c>
      <c r="N23" s="48">
        <f>Tabelle34[Betr]*Tabelle34[Skto%]</f>
        <v>5.0627999999999993</v>
      </c>
      <c r="O23" s="48">
        <f>Tabelle34[Betr]*(100%-Tabelle34[Skto%])</f>
        <v>163.69719999999998</v>
      </c>
    </row>
    <row r="24" spans="1:16" ht="30" x14ac:dyDescent="0.25">
      <c r="A24" s="8">
        <v>4815</v>
      </c>
      <c r="B24" s="8" t="s">
        <v>243</v>
      </c>
      <c r="D24" s="16" t="s">
        <v>244</v>
      </c>
      <c r="F24" s="8" t="s">
        <v>170</v>
      </c>
      <c r="J24" s="8">
        <v>290766</v>
      </c>
      <c r="K24" s="8">
        <v>28178</v>
      </c>
      <c r="L24" s="9">
        <v>0.03</v>
      </c>
      <c r="M24" s="42">
        <v>168.82</v>
      </c>
      <c r="N24" s="42">
        <f>Tabelle34[Betr]*Tabelle34[Skto%]</f>
        <v>5.0645999999999995</v>
      </c>
      <c r="O24" s="42">
        <f>Tabelle34[Betr]*(100%-Tabelle34[Skto%])</f>
        <v>163.75539999999998</v>
      </c>
    </row>
    <row r="25" spans="1:16" x14ac:dyDescent="0.25">
      <c r="A25" s="8">
        <v>8731</v>
      </c>
      <c r="B25" s="8" t="s">
        <v>305</v>
      </c>
      <c r="C25" s="9">
        <v>7.0000000000000007E-2</v>
      </c>
      <c r="D25" s="16"/>
      <c r="E25" s="8" t="s">
        <v>82</v>
      </c>
      <c r="F25" s="8" t="s">
        <v>174</v>
      </c>
      <c r="G25" s="8" t="s">
        <v>176</v>
      </c>
      <c r="J25" s="8">
        <v>290707</v>
      </c>
      <c r="K25" s="8">
        <v>28177</v>
      </c>
      <c r="L25" s="9">
        <v>0.03</v>
      </c>
      <c r="M25" s="42">
        <v>82.95</v>
      </c>
      <c r="N25" s="42">
        <f>Tabelle34[Betr]*Tabelle34[Skto%]</f>
        <v>2.4885000000000002</v>
      </c>
      <c r="O25" s="42">
        <f>Tabelle34[Betr]*(100%-Tabelle34[Skto%])</f>
        <v>80.461500000000001</v>
      </c>
    </row>
    <row r="26" spans="1:16" x14ac:dyDescent="0.25">
      <c r="A26" s="8" t="s">
        <v>47</v>
      </c>
      <c r="B26" s="8" t="s">
        <v>208</v>
      </c>
      <c r="E26" s="8">
        <v>8720</v>
      </c>
      <c r="F26" s="8" t="s">
        <v>175</v>
      </c>
      <c r="G26" s="8" t="s">
        <v>171</v>
      </c>
      <c r="L26" s="9"/>
      <c r="M26" s="42"/>
      <c r="N26" s="42">
        <f>Tabelle34[Betr]*Tabelle34[Skto%]</f>
        <v>0</v>
      </c>
      <c r="O26" s="42">
        <f>Tabelle34[Betr]*(100%-Tabelle34[Skto%])</f>
        <v>0</v>
      </c>
    </row>
    <row r="27" spans="1:16" x14ac:dyDescent="0.25">
      <c r="A27" s="8" t="s">
        <v>206</v>
      </c>
      <c r="B27" s="8">
        <v>28100</v>
      </c>
      <c r="E27" s="8">
        <v>25960</v>
      </c>
      <c r="F27" s="8" t="s">
        <v>173</v>
      </c>
      <c r="G27" s="8" t="s">
        <v>172</v>
      </c>
      <c r="J27" s="8" t="s">
        <v>298</v>
      </c>
      <c r="M27" s="42">
        <f>SUBTOTAL(109,Tabelle34[Betr])</f>
        <v>457.72999999999996</v>
      </c>
      <c r="O27" s="42">
        <f>SUBTOTAL(109,Tabelle34[Netto])</f>
        <v>443.99809999999997</v>
      </c>
    </row>
    <row r="28" spans="1:16" x14ac:dyDescent="0.25">
      <c r="A28" s="8" t="s">
        <v>207</v>
      </c>
      <c r="B28" s="8">
        <v>10000</v>
      </c>
    </row>
    <row r="29" spans="1:16" x14ac:dyDescent="0.25">
      <c r="A29" s="8" t="s">
        <v>236</v>
      </c>
      <c r="B29" s="8">
        <v>16830</v>
      </c>
    </row>
    <row r="30" spans="1:16" x14ac:dyDescent="0.25">
      <c r="A30" s="8" t="s">
        <v>227</v>
      </c>
      <c r="B30" s="8" t="s">
        <v>231</v>
      </c>
      <c r="E30" s="8" t="s">
        <v>194</v>
      </c>
      <c r="J30" s="8" t="s">
        <v>165</v>
      </c>
      <c r="K30" s="8" t="s">
        <v>166</v>
      </c>
      <c r="L30" s="8" t="s">
        <v>167</v>
      </c>
      <c r="M30" s="8" t="s">
        <v>168</v>
      </c>
      <c r="N30" s="8" t="s">
        <v>169</v>
      </c>
    </row>
    <row r="31" spans="1:16" x14ac:dyDescent="0.25">
      <c r="A31" s="8" t="s">
        <v>230</v>
      </c>
      <c r="B31" s="8" t="s">
        <v>174</v>
      </c>
      <c r="E31" s="8" t="s">
        <v>195</v>
      </c>
      <c r="F31" s="8" t="s">
        <v>174</v>
      </c>
      <c r="K31" s="36">
        <v>1896.06</v>
      </c>
      <c r="L31" s="9">
        <v>0.01</v>
      </c>
      <c r="M31" s="36">
        <f>Tabelle18[[#This Row],[Betr]]*Tabelle18[[#This Row],[Skto%]]</f>
        <v>18.960599999999999</v>
      </c>
      <c r="N31" s="36">
        <f>Tabelle18[[#This Row],[Betr]]*(100%-Tabelle18[[#This Row],[Skto%]])</f>
        <v>1877.0993999999998</v>
      </c>
    </row>
    <row r="32" spans="1:16" x14ac:dyDescent="0.25">
      <c r="A32" s="8">
        <v>55010315</v>
      </c>
      <c r="B32" s="8" t="s">
        <v>228</v>
      </c>
      <c r="E32" s="14" t="s">
        <v>196</v>
      </c>
      <c r="F32" s="8" t="s">
        <v>197</v>
      </c>
      <c r="K32" s="36"/>
      <c r="L32" s="9"/>
      <c r="M32" s="36">
        <f>Tabelle18[[#This Row],[Betr]]*Tabelle18[[#This Row],[Skto%]]</f>
        <v>0</v>
      </c>
      <c r="N32" s="36">
        <f>Tabelle18[[#This Row],[Betr]]*(100%-Tabelle18[[#This Row],[Skto%]])</f>
        <v>0</v>
      </c>
      <c r="P32" s="8">
        <v>-0.01</v>
      </c>
    </row>
    <row r="33" spans="1:16" x14ac:dyDescent="0.25">
      <c r="A33" s="8">
        <v>91000628</v>
      </c>
      <c r="B33" s="8" t="s">
        <v>229</v>
      </c>
      <c r="E33" s="15" t="s">
        <v>198</v>
      </c>
      <c r="F33" s="8" t="s">
        <v>199</v>
      </c>
      <c r="K33" s="36"/>
      <c r="L33" s="9"/>
      <c r="M33" s="36">
        <f>Tabelle18[[#This Row],[Betr]]*Tabelle18[[#This Row],[Skto%]]</f>
        <v>0</v>
      </c>
      <c r="N33" s="36">
        <f>Tabelle18[[#This Row],[Betr]]*(100%-Tabelle18[[#This Row],[Skto%]])</f>
        <v>0</v>
      </c>
      <c r="P33" s="8">
        <v>-0.01</v>
      </c>
    </row>
    <row r="34" spans="1:16" x14ac:dyDescent="0.25">
      <c r="E34" s="14" t="s">
        <v>233</v>
      </c>
      <c r="F34" s="8" t="s">
        <v>234</v>
      </c>
      <c r="K34" s="36"/>
      <c r="L34" s="9"/>
      <c r="M34" s="36">
        <f>Tabelle18[[#This Row],[Betr]]*Tabelle18[[#This Row],[Skto%]]</f>
        <v>0</v>
      </c>
      <c r="N34" s="36">
        <f>Tabelle18[[#This Row],[Betr]]*(100%-Tabelle18[[#This Row],[Skto%]])</f>
        <v>0</v>
      </c>
    </row>
    <row r="35" spans="1:16" x14ac:dyDescent="0.25">
      <c r="K35" s="36"/>
      <c r="L35" s="9"/>
      <c r="M35" s="36">
        <f>Tabelle18[[#This Row],[Betr]]*Tabelle18[[#This Row],[Skto%]]</f>
        <v>0</v>
      </c>
      <c r="N35" s="36">
        <f>Tabelle18[[#This Row],[Betr]]*(100%-Tabelle18[[#This Row],[Skto%]])</f>
        <v>0</v>
      </c>
    </row>
    <row r="36" spans="1:16" x14ac:dyDescent="0.25">
      <c r="K36" s="36"/>
      <c r="L36" s="9"/>
      <c r="M36" s="36">
        <f>Tabelle18[[#This Row],[Betr]]*Tabelle18[[#This Row],[Skto%]]</f>
        <v>0</v>
      </c>
      <c r="N36" s="36">
        <f>Tabelle18[[#This Row],[Betr]]*(100%-Tabelle18[[#This Row],[Skto%]])</f>
        <v>0</v>
      </c>
    </row>
    <row r="37" spans="1:16" x14ac:dyDescent="0.25">
      <c r="K37" s="36"/>
      <c r="L37" s="9"/>
      <c r="M37" s="36">
        <f>Tabelle18[[#This Row],[Betr]]*Tabelle18[[#This Row],[Skto%]]</f>
        <v>0</v>
      </c>
      <c r="N37" s="36">
        <f>Tabelle18[[#This Row],[Betr]]*(100%-Tabelle18[[#This Row],[Skto%]])</f>
        <v>0</v>
      </c>
    </row>
    <row r="38" spans="1:16" x14ac:dyDescent="0.25">
      <c r="K38" s="36"/>
      <c r="L38" s="9"/>
      <c r="M38" s="36">
        <f>Tabelle18[[#This Row],[Betr]]*Tabelle18[[#This Row],[Skto%]]</f>
        <v>0</v>
      </c>
      <c r="N38" s="36">
        <f>Tabelle18[[#This Row],[Betr]]*(100%-Tabelle18[[#This Row],[Skto%]])</f>
        <v>0</v>
      </c>
    </row>
    <row r="39" spans="1:16" x14ac:dyDescent="0.25">
      <c r="K39" s="36"/>
      <c r="L39" s="9"/>
      <c r="M39" s="36">
        <f>Tabelle18[[#This Row],[Betr]]*Tabelle18[[#This Row],[Skto%]]</f>
        <v>0</v>
      </c>
      <c r="N39" s="36">
        <f>Tabelle18[[#This Row],[Betr]]*(100%-Tabelle18[[#This Row],[Skto%]])</f>
        <v>0</v>
      </c>
    </row>
    <row r="40" spans="1:16" x14ac:dyDescent="0.25">
      <c r="K40" s="36">
        <f>SUBTOTAL(109,Tabelle18[Betr])</f>
        <v>1896.06</v>
      </c>
      <c r="L40" s="36"/>
      <c r="M40" s="36">
        <f>SUBTOTAL(109,Tabelle18[Skto])</f>
        <v>18.960599999999999</v>
      </c>
      <c r="N40" s="37">
        <f>SUBTOTAL(109,Tabelle18[Gesamt])</f>
        <v>1877.0993999999998</v>
      </c>
    </row>
    <row r="43" spans="1:16" x14ac:dyDescent="0.25">
      <c r="K43" s="8">
        <v>850.87</v>
      </c>
      <c r="L43" s="8">
        <v>1111.0899999999999</v>
      </c>
      <c r="M43" s="8">
        <f>K43/L43</f>
        <v>0.76579755015345297</v>
      </c>
    </row>
  </sheetData>
  <pageMargins left="0.7" right="0.7" top="0.78740157499999996" bottom="0.78740157499999996" header="0.3" footer="0.3"/>
  <pageSetup paperSize="9"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5"/>
  <sheetViews>
    <sheetView zoomScale="115" zoomScaleNormal="115" workbookViewId="0">
      <selection activeCell="D13" sqref="D13"/>
    </sheetView>
  </sheetViews>
  <sheetFormatPr baseColWidth="10" defaultRowHeight="15" x14ac:dyDescent="0.25"/>
  <cols>
    <col min="1" max="1" width="14.140625" bestFit="1" customWidth="1"/>
    <col min="4" max="4" width="26.5703125" bestFit="1" customWidth="1"/>
    <col min="7" max="7" width="26" bestFit="1" customWidth="1"/>
  </cols>
  <sheetData>
    <row r="1" spans="1:10" x14ac:dyDescent="0.25">
      <c r="A1" t="s">
        <v>23</v>
      </c>
    </row>
    <row r="2" spans="1:10" x14ac:dyDescent="0.25">
      <c r="F2" t="s">
        <v>215</v>
      </c>
    </row>
    <row r="3" spans="1:10" x14ac:dyDescent="0.25">
      <c r="A3" t="s">
        <v>24</v>
      </c>
      <c r="B3" t="s">
        <v>26</v>
      </c>
      <c r="F3" s="6" t="s">
        <v>106</v>
      </c>
      <c r="G3" s="6" t="s">
        <v>26</v>
      </c>
    </row>
    <row r="4" spans="1:10" x14ac:dyDescent="0.25">
      <c r="A4">
        <v>12268</v>
      </c>
      <c r="B4" t="s">
        <v>25</v>
      </c>
      <c r="F4">
        <v>4737</v>
      </c>
      <c r="G4" t="s">
        <v>214</v>
      </c>
    </row>
    <row r="5" spans="1:10" x14ac:dyDescent="0.25">
      <c r="A5">
        <v>11837</v>
      </c>
      <c r="B5" t="s">
        <v>25</v>
      </c>
    </row>
    <row r="6" spans="1:10" x14ac:dyDescent="0.25">
      <c r="F6" t="s">
        <v>86</v>
      </c>
      <c r="G6" t="s">
        <v>87</v>
      </c>
    </row>
    <row r="7" spans="1:10" x14ac:dyDescent="0.25">
      <c r="F7" t="s">
        <v>85</v>
      </c>
      <c r="G7">
        <v>4546</v>
      </c>
    </row>
    <row r="9" spans="1:10" x14ac:dyDescent="0.25">
      <c r="A9" t="s">
        <v>47</v>
      </c>
      <c r="B9" t="s">
        <v>82</v>
      </c>
      <c r="C9" t="s">
        <v>80</v>
      </c>
      <c r="D9" t="s">
        <v>116</v>
      </c>
      <c r="E9" t="s">
        <v>81</v>
      </c>
      <c r="F9" t="s">
        <v>94</v>
      </c>
      <c r="G9" t="s">
        <v>118</v>
      </c>
    </row>
    <row r="10" spans="1:10" x14ac:dyDescent="0.25">
      <c r="A10" s="2" t="s">
        <v>79</v>
      </c>
      <c r="B10" s="2">
        <v>70400</v>
      </c>
      <c r="C10">
        <v>3811</v>
      </c>
      <c r="D10" t="s">
        <v>121</v>
      </c>
      <c r="E10">
        <v>4730</v>
      </c>
      <c r="G10" t="s">
        <v>120</v>
      </c>
    </row>
    <row r="11" spans="1:10" x14ac:dyDescent="0.25">
      <c r="A11" s="2"/>
      <c r="B11" s="2"/>
      <c r="C11" s="6"/>
      <c r="D11" s="6" t="s">
        <v>291</v>
      </c>
      <c r="E11" s="6"/>
      <c r="F11" s="6"/>
      <c r="G11" s="6"/>
    </row>
    <row r="12" spans="1:10" x14ac:dyDescent="0.25">
      <c r="A12" s="2" t="s">
        <v>83</v>
      </c>
      <c r="B12" s="2">
        <v>70722</v>
      </c>
      <c r="F12">
        <v>4740</v>
      </c>
      <c r="G12" t="s">
        <v>119</v>
      </c>
    </row>
    <row r="13" spans="1:10" x14ac:dyDescent="0.25">
      <c r="A13" s="2" t="s">
        <v>84</v>
      </c>
      <c r="B13" s="2">
        <v>70459</v>
      </c>
      <c r="C13">
        <v>3810</v>
      </c>
      <c r="D13" t="s">
        <v>117</v>
      </c>
      <c r="E13">
        <v>4738</v>
      </c>
      <c r="G13" t="s">
        <v>120</v>
      </c>
      <c r="I13" s="4" t="s">
        <v>160</v>
      </c>
      <c r="J13" s="3" t="s">
        <v>161</v>
      </c>
    </row>
    <row r="14" spans="1:10" x14ac:dyDescent="0.25">
      <c r="A14" s="2" t="s">
        <v>156</v>
      </c>
      <c r="B14" s="2">
        <v>71390</v>
      </c>
      <c r="E14">
        <v>4736</v>
      </c>
      <c r="G14" t="s">
        <v>158</v>
      </c>
      <c r="I14" s="4">
        <v>42913</v>
      </c>
      <c r="J14" s="5">
        <f>WEEKNUM(Tabelle118[[#This Row],[DATUM]],21)</f>
        <v>26</v>
      </c>
    </row>
    <row r="15" spans="1:10" x14ac:dyDescent="0.25">
      <c r="A15" s="2" t="s">
        <v>159</v>
      </c>
      <c r="B15" s="2">
        <v>71390</v>
      </c>
      <c r="C15" s="3"/>
      <c r="D15" s="3"/>
      <c r="E15" s="3">
        <v>4735</v>
      </c>
      <c r="F15" s="3"/>
      <c r="G15" s="3" t="s">
        <v>157</v>
      </c>
      <c r="I15" s="4">
        <v>42915</v>
      </c>
      <c r="J15" s="5">
        <f>WEEKNUM(Tabelle118[[#This Row],[DATUM]],21)</f>
        <v>26</v>
      </c>
    </row>
  </sheetData>
  <pageMargins left="0.7" right="0.7" top="0.78740157499999996" bottom="0.78740157499999996" header="0.3" footer="0.3"/>
  <pageSetup paperSize="9" orientation="landscape" r:id="rId1"/>
  <drawing r:id="rId2"/>
  <tableParts count="5"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B10"/>
  <sheetViews>
    <sheetView zoomScale="220" zoomScaleNormal="220" workbookViewId="0">
      <selection sqref="A1:B10"/>
    </sheetView>
  </sheetViews>
  <sheetFormatPr baseColWidth="10" defaultRowHeight="15" x14ac:dyDescent="0.25"/>
  <cols>
    <col min="1" max="1" width="11.85546875" customWidth="1"/>
  </cols>
  <sheetData>
    <row r="1" spans="1:2" x14ac:dyDescent="0.25">
      <c r="A1" t="s">
        <v>105</v>
      </c>
      <c r="B1" t="s">
        <v>106</v>
      </c>
    </row>
    <row r="2" spans="1:2" x14ac:dyDescent="0.25">
      <c r="A2" t="s">
        <v>108</v>
      </c>
      <c r="B2">
        <v>4531</v>
      </c>
    </row>
    <row r="3" spans="1:2" x14ac:dyDescent="0.25">
      <c r="A3" t="s">
        <v>109</v>
      </c>
      <c r="B3">
        <v>4534</v>
      </c>
    </row>
    <row r="4" spans="1:2" x14ac:dyDescent="0.25">
      <c r="A4" t="s">
        <v>107</v>
      </c>
      <c r="B4">
        <v>4530</v>
      </c>
    </row>
    <row r="5" spans="1:2" x14ac:dyDescent="0.25">
      <c r="A5" t="s">
        <v>110</v>
      </c>
      <c r="B5">
        <v>4530</v>
      </c>
    </row>
    <row r="6" spans="1:2" x14ac:dyDescent="0.25">
      <c r="A6" t="s">
        <v>115</v>
      </c>
      <c r="B6">
        <v>4530</v>
      </c>
    </row>
    <row r="7" spans="1:2" x14ac:dyDescent="0.25">
      <c r="A7" t="s">
        <v>114</v>
      </c>
      <c r="B7">
        <v>4530</v>
      </c>
    </row>
    <row r="8" spans="1:2" x14ac:dyDescent="0.25">
      <c r="A8" t="s">
        <v>113</v>
      </c>
      <c r="B8">
        <v>4530</v>
      </c>
    </row>
    <row r="9" spans="1:2" x14ac:dyDescent="0.25">
      <c r="A9" t="s">
        <v>111</v>
      </c>
      <c r="B9">
        <v>4530</v>
      </c>
    </row>
    <row r="10" spans="1:2" x14ac:dyDescent="0.25">
      <c r="A10" t="s">
        <v>112</v>
      </c>
      <c r="B10">
        <v>4530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Calc Skto BETR</vt:lpstr>
      <vt:lpstr>VielerRG</vt:lpstr>
      <vt:lpstr>Simplecalc</vt:lpstr>
      <vt:lpstr>Normal</vt:lpstr>
      <vt:lpstr>GKto für Bank</vt:lpstr>
      <vt:lpstr>GKto L RG</vt:lpstr>
      <vt:lpstr>GKto für Wagen</vt:lpstr>
      <vt:lpstr>Betrag</vt:lpstr>
      <vt:lpstr>'GKto L RG'!Druckbereich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Dahn Park</dc:creator>
  <cp:lastModifiedBy>Dahn Park</cp:lastModifiedBy>
  <cp:lastPrinted>2016-12-13T16:12:04Z</cp:lastPrinted>
  <dcterms:created xsi:type="dcterms:W3CDTF">2016-06-02T07:06:51Z</dcterms:created>
  <dcterms:modified xsi:type="dcterms:W3CDTF">2017-07-27T15:53:19Z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43d4f614-09fd-422b-a81b-d4715a2e5abc</vt:lpwstr>
  </property>
</Properties>
</file>