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10" windowWidth="20060" windowHeight="7380" tabRatio="940"/>
  </bookViews>
  <sheets>
    <sheet name="BOOKINGS" sheetId="1" r:id="rId1"/>
    <sheet name="DIARY" sheetId="18" r:id="rId2"/>
    <sheet name="TO DO" sheetId="22" r:id="rId3"/>
    <sheet name="CLEANING" sheetId="3" r:id="rId4"/>
    <sheet name="MARKETING" sheetId="9" r:id="rId5"/>
    <sheet name="LISTINGS" sheetId="23" r:id="rId6"/>
    <sheet name="AMENITTIES" sheetId="13" r:id="rId7"/>
    <sheet name="WAGES" sheetId="14" r:id="rId8"/>
    <sheet name="Brown Data" sheetId="7" r:id="rId9"/>
    <sheet name="Brown Exp" sheetId="2" r:id="rId10"/>
    <sheet name="Brown Recon" sheetId="8" r:id="rId11"/>
    <sheet name="Berman - Arrowood" sheetId="5" r:id="rId12"/>
    <sheet name="Dunkley - Toplis" sheetId="10" r:id="rId13"/>
    <sheet name="Camerer - Sewell" sheetId="11" r:id="rId14"/>
    <sheet name="Havenga - Hills" sheetId="19" r:id="rId15"/>
    <sheet name="Teasdale - Panorama" sheetId="20" r:id="rId16"/>
    <sheet name="Reyneke - Proteadale" sheetId="21" r:id="rId17"/>
    <sheet name="Crook - Whalerock Beach" sheetId="12" r:id="rId18"/>
  </sheets>
  <calcPr calcId="124519"/>
</workbook>
</file>

<file path=xl/calcChain.xml><?xml version="1.0" encoding="utf-8"?>
<calcChain xmlns="http://schemas.openxmlformats.org/spreadsheetml/2006/main">
  <c r="S234" i="1"/>
  <c r="U234" s="1"/>
  <c r="S223"/>
  <c r="U223" s="1"/>
  <c r="S246"/>
  <c r="U246" s="1"/>
  <c r="S243"/>
  <c r="U243" s="1"/>
  <c r="V243" s="1"/>
  <c r="M82" i="2"/>
  <c r="M83"/>
  <c r="M84"/>
  <c r="C23" i="19"/>
  <c r="S232" i="1"/>
  <c r="U232" s="1"/>
  <c r="V232" s="1"/>
  <c r="W232" s="1"/>
  <c r="C18" i="19"/>
  <c r="U229" i="1"/>
  <c r="V229" s="1"/>
  <c r="Q229"/>
  <c r="T235"/>
  <c r="U235" s="1"/>
  <c r="V235" s="1"/>
  <c r="Q235"/>
  <c r="FE35" i="18"/>
  <c r="FE36" s="1"/>
  <c r="FD35"/>
  <c r="FD36" s="1"/>
  <c r="FC35"/>
  <c r="FC36" s="1"/>
  <c r="FB35"/>
  <c r="FB36" s="1"/>
  <c r="FA35"/>
  <c r="FA36" s="1"/>
  <c r="EZ35"/>
  <c r="EZ36" s="1"/>
  <c r="EY35"/>
  <c r="EY36" s="1"/>
  <c r="EX35"/>
  <c r="EX36" s="1"/>
  <c r="ER36"/>
  <c r="EP36"/>
  <c r="EU35"/>
  <c r="EU36" s="1"/>
  <c r="ET35"/>
  <c r="ET36" s="1"/>
  <c r="ES35"/>
  <c r="ES36" s="1"/>
  <c r="ER35"/>
  <c r="EQ35"/>
  <c r="EQ36" s="1"/>
  <c r="EP35"/>
  <c r="EO35"/>
  <c r="EO36" s="1"/>
  <c r="EL35"/>
  <c r="EL36" s="1"/>
  <c r="EK35"/>
  <c r="EK36" s="1"/>
  <c r="EJ35"/>
  <c r="EJ36" s="1"/>
  <c r="EI35"/>
  <c r="EI36" s="1"/>
  <c r="EH35"/>
  <c r="EH36" s="1"/>
  <c r="EG35"/>
  <c r="EG36" s="1"/>
  <c r="EF35"/>
  <c r="EF36" s="1"/>
  <c r="EB35"/>
  <c r="EB36" s="1"/>
  <c r="DR35"/>
  <c r="DR36" s="1"/>
  <c r="DM35"/>
  <c r="DM36" s="1"/>
  <c r="CV35"/>
  <c r="CV36" s="1"/>
  <c r="CJ35"/>
  <c r="CJ36" s="1"/>
  <c r="CD35"/>
  <c r="CD36" s="1"/>
  <c r="CB35"/>
  <c r="CB36" s="1"/>
  <c r="BZ35"/>
  <c r="BZ36" s="1"/>
  <c r="BY35"/>
  <c r="BY36" s="1"/>
  <c r="DH35"/>
  <c r="DH36" s="1"/>
  <c r="CT35"/>
  <c r="CT36" s="1"/>
  <c r="CS35"/>
  <c r="CS36" s="1"/>
  <c r="CX35"/>
  <c r="CX36" s="1"/>
  <c r="CN35"/>
  <c r="CN36" s="1"/>
  <c r="C155" i="14"/>
  <c r="U244" i="1"/>
  <c r="S216"/>
  <c r="U216" s="1"/>
  <c r="V216" s="1"/>
  <c r="AB216" s="1"/>
  <c r="AF206"/>
  <c r="S259"/>
  <c r="U259" s="1"/>
  <c r="V259" s="1"/>
  <c r="DC35" i="18"/>
  <c r="DD35"/>
  <c r="S247" i="1"/>
  <c r="U247" s="1"/>
  <c r="U211"/>
  <c r="AA211" s="1"/>
  <c r="C44" i="12"/>
  <c r="J44"/>
  <c r="I44"/>
  <c r="G44"/>
  <c r="C14" i="21"/>
  <c r="I14"/>
  <c r="J14" s="1"/>
  <c r="J7"/>
  <c r="I7"/>
  <c r="L9"/>
  <c r="C16" i="19"/>
  <c r="F13" i="10"/>
  <c r="C71" i="11"/>
  <c r="C74"/>
  <c r="V211" i="1"/>
  <c r="V207"/>
  <c r="AB207" s="1"/>
  <c r="I71" i="11"/>
  <c r="J77"/>
  <c r="AF212" i="1" s="1"/>
  <c r="C76" i="11"/>
  <c r="G71"/>
  <c r="C13" i="10"/>
  <c r="S218" i="1"/>
  <c r="U218" s="1"/>
  <c r="V218" s="1"/>
  <c r="AB218" s="1"/>
  <c r="L55" i="7"/>
  <c r="B80" i="2"/>
  <c r="C80"/>
  <c r="D80"/>
  <c r="F80"/>
  <c r="E38" i="8"/>
  <c r="E37"/>
  <c r="E55" i="7"/>
  <c r="F54"/>
  <c r="G54" s="1"/>
  <c r="F53"/>
  <c r="G53" s="1"/>
  <c r="F52"/>
  <c r="G52" s="1"/>
  <c r="F51"/>
  <c r="Z212" i="1"/>
  <c r="BT35" i="18"/>
  <c r="BT36" s="1"/>
  <c r="BJ35"/>
  <c r="BJ36" s="1"/>
  <c r="M79" i="2"/>
  <c r="S236" i="1"/>
  <c r="U236" s="1"/>
  <c r="V223" l="1"/>
  <c r="AA223" s="1"/>
  <c r="V234"/>
  <c r="W234" s="1"/>
  <c r="V246"/>
  <c r="W246" s="1"/>
  <c r="W243"/>
  <c r="Z229"/>
  <c r="Z235"/>
  <c r="W216"/>
  <c r="W259"/>
  <c r="V247"/>
  <c r="W247" s="1"/>
  <c r="AB211"/>
  <c r="C77" i="11"/>
  <c r="W218" i="1"/>
  <c r="F55" i="7"/>
  <c r="G51"/>
  <c r="G55" s="1"/>
  <c r="V236" i="1"/>
  <c r="W236" s="1"/>
  <c r="C75" i="3"/>
  <c r="S217" i="1"/>
  <c r="U217" s="1"/>
  <c r="V217" s="1"/>
  <c r="S231"/>
  <c r="U231" s="1"/>
  <c r="V231" s="1"/>
  <c r="W217" l="1"/>
  <c r="AB217"/>
  <c r="G77" i="11"/>
  <c r="DG35" i="18"/>
  <c r="DG36" s="1"/>
  <c r="CW35"/>
  <c r="CW36" s="1"/>
  <c r="T214" i="1" l="1"/>
  <c r="S214"/>
  <c r="S276"/>
  <c r="U276" s="1"/>
  <c r="V276" s="1"/>
  <c r="X276" s="1"/>
  <c r="T221"/>
  <c r="U221" s="1"/>
  <c r="AA221" s="1"/>
  <c r="S221"/>
  <c r="V221" s="1"/>
  <c r="CC35" i="18"/>
  <c r="CC36" s="1"/>
  <c r="AD269" i="1"/>
  <c r="U269"/>
  <c r="S269"/>
  <c r="S242"/>
  <c r="U242" s="1"/>
  <c r="S291"/>
  <c r="U291" s="1"/>
  <c r="V291" s="1"/>
  <c r="W291" s="1"/>
  <c r="C153" i="14"/>
  <c r="U214" i="1" l="1"/>
  <c r="V214"/>
  <c r="V242"/>
  <c r="W242" s="1"/>
  <c r="S252"/>
  <c r="U252" s="1"/>
  <c r="V252" s="1"/>
  <c r="S227"/>
  <c r="U227" s="1"/>
  <c r="S226"/>
  <c r="U226" s="1"/>
  <c r="T279"/>
  <c r="T233"/>
  <c r="T207"/>
  <c r="S278"/>
  <c r="U278" s="1"/>
  <c r="V278" s="1"/>
  <c r="S213"/>
  <c r="U213" s="1"/>
  <c r="V213" s="1"/>
  <c r="S219"/>
  <c r="U219" s="1"/>
  <c r="V219" s="1"/>
  <c r="Q233"/>
  <c r="Q211"/>
  <c r="Q207"/>
  <c r="M78" i="2"/>
  <c r="E36" i="8"/>
  <c r="BP35" i="18"/>
  <c r="EW35"/>
  <c r="EW36" s="1"/>
  <c r="U288" i="1"/>
  <c r="AD288" s="1"/>
  <c r="Q288"/>
  <c r="U272"/>
  <c r="AD272" s="1"/>
  <c r="Q272"/>
  <c r="C148" i="14"/>
  <c r="M77" i="2"/>
  <c r="M80" s="1"/>
  <c r="U251" i="1"/>
  <c r="AD251" s="1"/>
  <c r="Q251"/>
  <c r="U267"/>
  <c r="AD267" s="1"/>
  <c r="Q267"/>
  <c r="S281"/>
  <c r="U281" s="1"/>
  <c r="S239"/>
  <c r="U239" s="1"/>
  <c r="AT6" i="23"/>
  <c r="S224" i="1"/>
  <c r="CI35" i="18"/>
  <c r="S255" i="1"/>
  <c r="U255" s="1"/>
  <c r="V255" s="1"/>
  <c r="C70" i="3"/>
  <c r="C37" i="12"/>
  <c r="I37"/>
  <c r="J37" s="1"/>
  <c r="G37"/>
  <c r="C7" i="21"/>
  <c r="G5"/>
  <c r="C9" i="20"/>
  <c r="C61" i="11"/>
  <c r="J61"/>
  <c r="I55"/>
  <c r="G55"/>
  <c r="L9"/>
  <c r="BI35" i="18"/>
  <c r="E35" i="8"/>
  <c r="B76" i="2"/>
  <c r="F76"/>
  <c r="L48" i="7"/>
  <c r="E48"/>
  <c r="G47"/>
  <c r="F47"/>
  <c r="G46"/>
  <c r="F46"/>
  <c r="F45"/>
  <c r="G45" s="1"/>
  <c r="F44"/>
  <c r="G44" s="1"/>
  <c r="BI36" i="18"/>
  <c r="BF35"/>
  <c r="BE35"/>
  <c r="BC35"/>
  <c r="BD35"/>
  <c r="AA214" i="1" l="1"/>
  <c r="AB213"/>
  <c r="W252"/>
  <c r="V227"/>
  <c r="W227" s="1"/>
  <c r="V226"/>
  <c r="W226" s="1"/>
  <c r="Z213"/>
  <c r="W278"/>
  <c r="W219"/>
  <c r="V281"/>
  <c r="W281" s="1"/>
  <c r="V239"/>
  <c r="W239" s="1"/>
  <c r="W255"/>
  <c r="F48" i="7"/>
  <c r="G48"/>
  <c r="C6" i="19"/>
  <c r="C12" s="1"/>
  <c r="E34" i="8"/>
  <c r="M74" i="2"/>
  <c r="M75"/>
  <c r="S292" i="1"/>
  <c r="U292" s="1"/>
  <c r="S204"/>
  <c r="U204" s="1"/>
  <c r="V204" s="1"/>
  <c r="AB204" s="1"/>
  <c r="U207"/>
  <c r="AA207" s="1"/>
  <c r="S201"/>
  <c r="U201" s="1"/>
  <c r="V201" s="1"/>
  <c r="U250"/>
  <c r="V250" s="1"/>
  <c r="S274"/>
  <c r="BS35" i="18"/>
  <c r="BS36" s="1"/>
  <c r="U224" i="1"/>
  <c r="O143" i="14"/>
  <c r="C143"/>
  <c r="S208" i="1"/>
  <c r="U208" s="1"/>
  <c r="S245"/>
  <c r="U245" s="1"/>
  <c r="V245" s="1"/>
  <c r="G59" i="11"/>
  <c r="EA35" i="18"/>
  <c r="EA36" s="1"/>
  <c r="M73" i="2"/>
  <c r="E33" i="8"/>
  <c r="S287" i="1"/>
  <c r="U287" s="1"/>
  <c r="V287" s="1"/>
  <c r="S275"/>
  <c r="U275" s="1"/>
  <c r="AD275" s="1"/>
  <c r="S280"/>
  <c r="U280" s="1"/>
  <c r="AD280" s="1"/>
  <c r="S279"/>
  <c r="U279" s="1"/>
  <c r="V279" s="1"/>
  <c r="U233"/>
  <c r="AA233" s="1"/>
  <c r="CM35" i="18"/>
  <c r="CM36" s="1"/>
  <c r="S261" i="1"/>
  <c r="U261" s="1"/>
  <c r="E32" i="8"/>
  <c r="M71" i="2"/>
  <c r="M72"/>
  <c r="X126" i="1"/>
  <c r="C136" i="14"/>
  <c r="E70" i="2"/>
  <c r="M69"/>
  <c r="S197" i="1"/>
  <c r="U197" s="1"/>
  <c r="S249"/>
  <c r="U249" s="1"/>
  <c r="V249" s="1"/>
  <c r="E31" i="8"/>
  <c r="C61" i="3"/>
  <c r="S205" i="1"/>
  <c r="U205" s="1"/>
  <c r="V205" s="1"/>
  <c r="AB205" s="1"/>
  <c r="S195"/>
  <c r="U195" s="1"/>
  <c r="S199"/>
  <c r="U199" s="1"/>
  <c r="V199" s="1"/>
  <c r="C31" i="12"/>
  <c r="J31"/>
  <c r="I31"/>
  <c r="G31"/>
  <c r="J47" i="11"/>
  <c r="I44"/>
  <c r="G47"/>
  <c r="G44"/>
  <c r="I51" i="5"/>
  <c r="C48"/>
  <c r="C51" s="1"/>
  <c r="G50"/>
  <c r="C67" i="2"/>
  <c r="D67"/>
  <c r="M63"/>
  <c r="M62"/>
  <c r="BA35" i="18"/>
  <c r="AX35"/>
  <c r="AV35"/>
  <c r="AU35"/>
  <c r="L43" i="7"/>
  <c r="E43"/>
  <c r="F42"/>
  <c r="G42" s="1"/>
  <c r="F41"/>
  <c r="G41" s="1"/>
  <c r="F40"/>
  <c r="G40" s="1"/>
  <c r="F39"/>
  <c r="G39" s="1"/>
  <c r="S289" i="1"/>
  <c r="U289" s="1"/>
  <c r="AA212" l="1"/>
  <c r="M70" i="2"/>
  <c r="M76" s="1"/>
  <c r="E76"/>
  <c r="AF192" i="1"/>
  <c r="V292"/>
  <c r="Z292" s="1"/>
  <c r="Z204"/>
  <c r="W201"/>
  <c r="V224"/>
  <c r="W224" s="1"/>
  <c r="W250"/>
  <c r="V208"/>
  <c r="W245"/>
  <c r="W287"/>
  <c r="AA279"/>
  <c r="V261"/>
  <c r="V197"/>
  <c r="W249"/>
  <c r="V195"/>
  <c r="G43" i="7"/>
  <c r="F43"/>
  <c r="V289" i="1"/>
  <c r="W289" s="1"/>
  <c r="S237"/>
  <c r="U237" s="1"/>
  <c r="S238"/>
  <c r="U238" s="1"/>
  <c r="I130" i="14"/>
  <c r="C130"/>
  <c r="C4" i="20"/>
  <c r="C5" s="1"/>
  <c r="EN35" i="18"/>
  <c r="EN36" s="1"/>
  <c r="S241" i="1"/>
  <c r="U241" s="1"/>
  <c r="S286"/>
  <c r="U286" s="1"/>
  <c r="V286" s="1"/>
  <c r="W286" s="1"/>
  <c r="S200"/>
  <c r="U200" s="1"/>
  <c r="M66" i="2"/>
  <c r="E65"/>
  <c r="E67" s="1"/>
  <c r="B65"/>
  <c r="E30" i="8"/>
  <c r="S268" i="1"/>
  <c r="U268" s="1"/>
  <c r="F9" i="20"/>
  <c r="F7" i="19"/>
  <c r="C4"/>
  <c r="M64" i="2"/>
  <c r="S188" i="1"/>
  <c r="U188" s="1"/>
  <c r="C41" i="11"/>
  <c r="C47" s="1"/>
  <c r="S190" i="1"/>
  <c r="U190" s="1"/>
  <c r="S273"/>
  <c r="U273" s="1"/>
  <c r="S194"/>
  <c r="U194" s="1"/>
  <c r="S254"/>
  <c r="U254" s="1"/>
  <c r="V254" s="1"/>
  <c r="C126" i="14"/>
  <c r="S198" i="1"/>
  <c r="U198" s="1"/>
  <c r="S186"/>
  <c r="U186" s="1"/>
  <c r="T183"/>
  <c r="S185"/>
  <c r="U185" s="1"/>
  <c r="S184"/>
  <c r="U184" s="1"/>
  <c r="E29" i="8"/>
  <c r="C51" i="3"/>
  <c r="S183" i="1"/>
  <c r="C24" i="12"/>
  <c r="I24"/>
  <c r="J24" s="1"/>
  <c r="G24"/>
  <c r="J37" i="11"/>
  <c r="I32"/>
  <c r="H8" i="10"/>
  <c r="K13" i="5"/>
  <c r="J9" i="11"/>
  <c r="J5"/>
  <c r="I5"/>
  <c r="J26"/>
  <c r="G32"/>
  <c r="C31"/>
  <c r="C37" s="1"/>
  <c r="C9" i="10"/>
  <c r="I46" i="5"/>
  <c r="G45"/>
  <c r="C43" s="1"/>
  <c r="C46" s="1"/>
  <c r="B61" i="2"/>
  <c r="C61"/>
  <c r="D61"/>
  <c r="L38" i="7"/>
  <c r="E38"/>
  <c r="F37"/>
  <c r="G37" s="1"/>
  <c r="F36"/>
  <c r="G36" s="1"/>
  <c r="F35"/>
  <c r="G35" s="1"/>
  <c r="F34"/>
  <c r="G34" s="1"/>
  <c r="Z206" i="1" l="1"/>
  <c r="W208"/>
  <c r="AB208"/>
  <c r="W197"/>
  <c r="AB197"/>
  <c r="W195"/>
  <c r="AB195"/>
  <c r="W261"/>
  <c r="U183"/>
  <c r="B67" i="2"/>
  <c r="M65"/>
  <c r="M67" s="1"/>
  <c r="V237" i="1"/>
  <c r="W237" s="1"/>
  <c r="V238"/>
  <c r="W238" s="1"/>
  <c r="V194"/>
  <c r="V198"/>
  <c r="V241"/>
  <c r="W241" s="1"/>
  <c r="V200"/>
  <c r="V268"/>
  <c r="W268" s="1"/>
  <c r="V188"/>
  <c r="V190"/>
  <c r="V273"/>
  <c r="W273" s="1"/>
  <c r="W254"/>
  <c r="V186"/>
  <c r="AB186" s="1"/>
  <c r="AF180"/>
  <c r="G38" i="7"/>
  <c r="F38"/>
  <c r="I121" i="14"/>
  <c r="C121"/>
  <c r="DQ35" i="18"/>
  <c r="DQ36" s="1"/>
  <c r="S277" i="1"/>
  <c r="U277" s="1"/>
  <c r="S240"/>
  <c r="U240" s="1"/>
  <c r="E28" i="8"/>
  <c r="E27"/>
  <c r="S178" i="1"/>
  <c r="U178" s="1"/>
  <c r="U182"/>
  <c r="G37" i="11"/>
  <c r="S181" i="1"/>
  <c r="U181" s="1"/>
  <c r="M60" i="2"/>
  <c r="S220" i="1"/>
  <c r="U220" s="1"/>
  <c r="S175"/>
  <c r="U175" s="1"/>
  <c r="T253"/>
  <c r="I116" i="14"/>
  <c r="C116"/>
  <c r="M59" i="2"/>
  <c r="T162" i="1"/>
  <c r="U162" s="1"/>
  <c r="S172"/>
  <c r="U172" s="1"/>
  <c r="V172" s="1"/>
  <c r="W172" s="1"/>
  <c r="S179"/>
  <c r="S193"/>
  <c r="U193" s="1"/>
  <c r="V193" s="1"/>
  <c r="U274"/>
  <c r="S169"/>
  <c r="U169" s="1"/>
  <c r="X180"/>
  <c r="E33" i="7"/>
  <c r="E28"/>
  <c r="E23"/>
  <c r="E18"/>
  <c r="E13"/>
  <c r="D4"/>
  <c r="U171" i="1"/>
  <c r="EE35" i="18"/>
  <c r="EE36" s="1"/>
  <c r="DW35"/>
  <c r="DW36" s="1"/>
  <c r="DP35"/>
  <c r="DP36" s="1"/>
  <c r="DZ35"/>
  <c r="DZ36" s="1"/>
  <c r="EC35"/>
  <c r="EC36" s="1"/>
  <c r="DY35"/>
  <c r="DY36" s="1"/>
  <c r="DX35"/>
  <c r="DX36" s="1"/>
  <c r="DV35"/>
  <c r="DV36" s="1"/>
  <c r="DU35"/>
  <c r="DU36" s="1"/>
  <c r="DN35"/>
  <c r="DN36" s="1"/>
  <c r="DS35"/>
  <c r="DS36" s="1"/>
  <c r="DO35"/>
  <c r="DO36" s="1"/>
  <c r="DL35"/>
  <c r="DL36" s="1"/>
  <c r="DK35"/>
  <c r="DK36" s="1"/>
  <c r="DD36"/>
  <c r="DC36"/>
  <c r="DI35"/>
  <c r="DI36" s="1"/>
  <c r="DF35"/>
  <c r="DF36" s="1"/>
  <c r="DE35"/>
  <c r="DE36" s="1"/>
  <c r="DB35"/>
  <c r="DB36" s="1"/>
  <c r="DA35"/>
  <c r="DA36" s="1"/>
  <c r="CY35"/>
  <c r="CY36" s="1"/>
  <c r="CU35"/>
  <c r="CU36" s="1"/>
  <c r="CR35"/>
  <c r="CR36" s="1"/>
  <c r="CQ35"/>
  <c r="CQ36" s="1"/>
  <c r="CI36"/>
  <c r="CL35"/>
  <c r="CL36" s="1"/>
  <c r="CO35"/>
  <c r="CO36" s="1"/>
  <c r="CK35"/>
  <c r="CK36" s="1"/>
  <c r="CH35"/>
  <c r="CH36" s="1"/>
  <c r="CG35"/>
  <c r="CG36" s="1"/>
  <c r="CE35"/>
  <c r="CE36" s="1"/>
  <c r="CA35"/>
  <c r="CA36" s="1"/>
  <c r="BX35"/>
  <c r="BX36" s="1"/>
  <c r="BW35"/>
  <c r="BW36" s="1"/>
  <c r="BD36"/>
  <c r="BN35"/>
  <c r="BN36" s="1"/>
  <c r="BR36"/>
  <c r="BP36"/>
  <c r="BO36"/>
  <c r="BU35"/>
  <c r="BU36" s="1"/>
  <c r="BQ35"/>
  <c r="BQ36" s="1"/>
  <c r="BM35"/>
  <c r="BM36" s="1"/>
  <c r="BH36"/>
  <c r="BF36"/>
  <c r="BE36"/>
  <c r="BK35"/>
  <c r="BK36" s="1"/>
  <c r="BG35"/>
  <c r="BG36" s="1"/>
  <c r="BC36"/>
  <c r="AZ36"/>
  <c r="AX36"/>
  <c r="AW36"/>
  <c r="AV36"/>
  <c r="AU36"/>
  <c r="AY35"/>
  <c r="AY36" s="1"/>
  <c r="BA36"/>
  <c r="S166" i="1"/>
  <c r="U166" s="1"/>
  <c r="AJ36" i="18"/>
  <c r="AE35"/>
  <c r="AE36" s="1"/>
  <c r="AF35"/>
  <c r="AF36" s="1"/>
  <c r="AG35"/>
  <c r="AG36" s="1"/>
  <c r="AH35"/>
  <c r="AH36" s="1"/>
  <c r="AI35"/>
  <c r="AI36" s="1"/>
  <c r="AK35"/>
  <c r="AK36" s="1"/>
  <c r="T36"/>
  <c r="AB36"/>
  <c r="AA36"/>
  <c r="W35"/>
  <c r="W36" s="1"/>
  <c r="X35"/>
  <c r="X36" s="1"/>
  <c r="Y35"/>
  <c r="Y36" s="1"/>
  <c r="Z35"/>
  <c r="Z36" s="1"/>
  <c r="AC35"/>
  <c r="AC36" s="1"/>
  <c r="AO36"/>
  <c r="AM35"/>
  <c r="AM36" s="1"/>
  <c r="AN35"/>
  <c r="AN36" s="1"/>
  <c r="AP35"/>
  <c r="AP36" s="1"/>
  <c r="AQ35"/>
  <c r="AQ36" s="1"/>
  <c r="AR35"/>
  <c r="AR36" s="1"/>
  <c r="AS35"/>
  <c r="AS36" s="1"/>
  <c r="U35"/>
  <c r="U36" s="1"/>
  <c r="S35"/>
  <c r="S36" s="1"/>
  <c r="R36"/>
  <c r="Q35"/>
  <c r="Q36" s="1"/>
  <c r="P35"/>
  <c r="P36" s="1"/>
  <c r="O35"/>
  <c r="O36" s="1"/>
  <c r="M35"/>
  <c r="M36" s="1"/>
  <c r="L35"/>
  <c r="L36" s="1"/>
  <c r="K35"/>
  <c r="K36" s="1"/>
  <c r="J36"/>
  <c r="I35"/>
  <c r="I36" s="1"/>
  <c r="H35"/>
  <c r="H36" s="1"/>
  <c r="F35"/>
  <c r="F36" s="1"/>
  <c r="E35"/>
  <c r="E36" s="1"/>
  <c r="C35"/>
  <c r="C36" s="1"/>
  <c r="B35"/>
  <c r="B36" s="1"/>
  <c r="O109" i="14"/>
  <c r="M56" i="2"/>
  <c r="M57"/>
  <c r="E58"/>
  <c r="E61" s="1"/>
  <c r="E26" i="8"/>
  <c r="S165" i="1"/>
  <c r="U165" s="1"/>
  <c r="T155"/>
  <c r="S167"/>
  <c r="U167" s="1"/>
  <c r="V167" s="1"/>
  <c r="AB167" s="1"/>
  <c r="I109" i="14"/>
  <c r="C109"/>
  <c r="E25" i="8"/>
  <c r="C15" i="12"/>
  <c r="C18" s="1"/>
  <c r="I18"/>
  <c r="J18" s="1"/>
  <c r="G18"/>
  <c r="C15" i="11"/>
  <c r="C19" s="1"/>
  <c r="G26"/>
  <c r="I22"/>
  <c r="G22"/>
  <c r="L33" i="7"/>
  <c r="L28"/>
  <c r="L23"/>
  <c r="C40" i="5"/>
  <c r="U148" i="1"/>
  <c r="C41" i="3"/>
  <c r="I40" i="5"/>
  <c r="G40"/>
  <c r="Q162" i="1"/>
  <c r="K55" i="2"/>
  <c r="F55"/>
  <c r="E55"/>
  <c r="F32" i="7"/>
  <c r="G32" s="1"/>
  <c r="F31"/>
  <c r="G31" s="1"/>
  <c r="F30"/>
  <c r="G30" s="1"/>
  <c r="F29"/>
  <c r="G29" s="1"/>
  <c r="U258" i="1"/>
  <c r="U263"/>
  <c r="U256"/>
  <c r="T147"/>
  <c r="U147" s="1"/>
  <c r="AB193" l="1"/>
  <c r="W200"/>
  <c r="AB200"/>
  <c r="V274"/>
  <c r="Y274" s="1"/>
  <c r="W198"/>
  <c r="AB198"/>
  <c r="W194"/>
  <c r="AB194"/>
  <c r="V240"/>
  <c r="W240" s="1"/>
  <c r="W188"/>
  <c r="AB188"/>
  <c r="W190"/>
  <c r="AB190"/>
  <c r="W186"/>
  <c r="V277"/>
  <c r="W277" s="1"/>
  <c r="AF161"/>
  <c r="M58" i="2"/>
  <c r="M61" s="1"/>
  <c r="H38" i="7" s="1"/>
  <c r="V178" i="1"/>
  <c r="V182"/>
  <c r="V181"/>
  <c r="V220"/>
  <c r="V175"/>
  <c r="AB172"/>
  <c r="W193"/>
  <c r="V169"/>
  <c r="V171"/>
  <c r="W167"/>
  <c r="M55" i="2"/>
  <c r="H33" i="7" s="1"/>
  <c r="F33"/>
  <c r="G33"/>
  <c r="S160" i="1"/>
  <c r="U160" s="1"/>
  <c r="V160" s="1"/>
  <c r="AB262"/>
  <c r="S262"/>
  <c r="S176"/>
  <c r="U176" s="1"/>
  <c r="V176" s="1"/>
  <c r="S264"/>
  <c r="U264" s="1"/>
  <c r="V264" s="1"/>
  <c r="T136"/>
  <c r="U136" s="1"/>
  <c r="S290"/>
  <c r="U290" s="1"/>
  <c r="V290" s="1"/>
  <c r="T156"/>
  <c r="U156" s="1"/>
  <c r="V156" s="1"/>
  <c r="AB156" s="1"/>
  <c r="S154"/>
  <c r="U154" s="1"/>
  <c r="M54" i="2"/>
  <c r="C100" i="14"/>
  <c r="M52" i="2"/>
  <c r="M53"/>
  <c r="S248" i="1"/>
  <c r="U248" s="1"/>
  <c r="V248" s="1"/>
  <c r="Q156"/>
  <c r="V258"/>
  <c r="X258" s="1"/>
  <c r="Q258"/>
  <c r="AB131"/>
  <c r="U144"/>
  <c r="V144" s="1"/>
  <c r="AB144" s="1"/>
  <c r="Q144"/>
  <c r="V148"/>
  <c r="Q148"/>
  <c r="S203"/>
  <c r="U203" s="1"/>
  <c r="V203" s="1"/>
  <c r="AB203" s="1"/>
  <c r="M51" i="2"/>
  <c r="S159" i="1"/>
  <c r="U159" s="1"/>
  <c r="V159" s="1"/>
  <c r="AB159" s="1"/>
  <c r="S265"/>
  <c r="U265" s="1"/>
  <c r="V265" s="1"/>
  <c r="Q129"/>
  <c r="S129" s="1"/>
  <c r="Q88"/>
  <c r="Q64"/>
  <c r="S64" s="1"/>
  <c r="V129"/>
  <c r="AB129" s="1"/>
  <c r="U138"/>
  <c r="V138" s="1"/>
  <c r="AB138" s="1"/>
  <c r="Q136"/>
  <c r="M48" i="2"/>
  <c r="M49"/>
  <c r="O90" i="14"/>
  <c r="C90"/>
  <c r="M50" i="2"/>
  <c r="C32" i="3"/>
  <c r="C20"/>
  <c r="S230" i="1"/>
  <c r="U230" s="1"/>
  <c r="V230" s="1"/>
  <c r="S187"/>
  <c r="U187" s="1"/>
  <c r="S134"/>
  <c r="U134" s="1"/>
  <c r="S128"/>
  <c r="U128" s="1"/>
  <c r="C11" i="12"/>
  <c r="I11"/>
  <c r="J11" s="1"/>
  <c r="G11"/>
  <c r="C9" i="11"/>
  <c r="G9"/>
  <c r="O79" i="14"/>
  <c r="C79"/>
  <c r="C68"/>
  <c r="I68"/>
  <c r="C58"/>
  <c r="I58"/>
  <c r="I50"/>
  <c r="C50"/>
  <c r="C42"/>
  <c r="C24"/>
  <c r="C32" s="1"/>
  <c r="C20"/>
  <c r="C22" s="1"/>
  <c r="C12"/>
  <c r="C5"/>
  <c r="C4" i="10"/>
  <c r="I28" i="5"/>
  <c r="G28"/>
  <c r="C26" s="1"/>
  <c r="S133" i="1"/>
  <c r="U133" s="1"/>
  <c r="W220" l="1"/>
  <c r="AB206"/>
  <c r="V206"/>
  <c r="N48" i="2"/>
  <c r="W176" i="1"/>
  <c r="AB176"/>
  <c r="Y169"/>
  <c r="AB169"/>
  <c r="W181"/>
  <c r="AB181"/>
  <c r="W175"/>
  <c r="AB175"/>
  <c r="W178"/>
  <c r="AB178"/>
  <c r="W182"/>
  <c r="W171"/>
  <c r="AB171"/>
  <c r="X148"/>
  <c r="AB148"/>
  <c r="X160"/>
  <c r="AB160"/>
  <c r="W262"/>
  <c r="Y264"/>
  <c r="Q147"/>
  <c r="W290"/>
  <c r="V154"/>
  <c r="W248"/>
  <c r="X156"/>
  <c r="W144"/>
  <c r="W203"/>
  <c r="W206" s="1"/>
  <c r="W159"/>
  <c r="X265"/>
  <c r="W129"/>
  <c r="W138"/>
  <c r="V187"/>
  <c r="U130"/>
  <c r="Q130"/>
  <c r="H47" i="2"/>
  <c r="F47"/>
  <c r="C47"/>
  <c r="F27" i="7"/>
  <c r="G27" s="1"/>
  <c r="F26"/>
  <c r="G26" s="1"/>
  <c r="F25"/>
  <c r="G25" s="1"/>
  <c r="F24"/>
  <c r="S125" i="1"/>
  <c r="U125" s="1"/>
  <c r="S124"/>
  <c r="U124" s="1"/>
  <c r="AE206" l="1"/>
  <c r="AG206" s="1"/>
  <c r="AH206" s="1"/>
  <c r="X161"/>
  <c r="W154"/>
  <c r="AB154"/>
  <c r="F28" i="7"/>
  <c r="G24"/>
  <c r="G28" s="1"/>
  <c r="S209" i="1"/>
  <c r="U209" s="1"/>
  <c r="Q263"/>
  <c r="S157"/>
  <c r="U157" s="1"/>
  <c r="S150"/>
  <c r="AD256"/>
  <c r="Q256"/>
  <c r="S122"/>
  <c r="U122" s="1"/>
  <c r="S155"/>
  <c r="S120"/>
  <c r="U120" s="1"/>
  <c r="S121"/>
  <c r="U121" s="1"/>
  <c r="V121" s="1"/>
  <c r="S113"/>
  <c r="U113" s="1"/>
  <c r="S163"/>
  <c r="U163" s="1"/>
  <c r="V163" s="1"/>
  <c r="S149"/>
  <c r="U149" s="1"/>
  <c r="V149" s="1"/>
  <c r="AB149" s="1"/>
  <c r="AB98"/>
  <c r="S109"/>
  <c r="U109" s="1"/>
  <c r="S108"/>
  <c r="U108" s="1"/>
  <c r="M45" i="2"/>
  <c r="M46"/>
  <c r="S107" i="1"/>
  <c r="U107" s="1"/>
  <c r="S271"/>
  <c r="U271" s="1"/>
  <c r="V271" s="1"/>
  <c r="M44" i="2"/>
  <c r="I24" i="5"/>
  <c r="I5" i="12"/>
  <c r="S104" i="1"/>
  <c r="U104" s="1"/>
  <c r="S116"/>
  <c r="U116" s="1"/>
  <c r="S253"/>
  <c r="U253" s="1"/>
  <c r="S282"/>
  <c r="U282" s="1"/>
  <c r="V282" s="1"/>
  <c r="S266"/>
  <c r="U266" s="1"/>
  <c r="M43" i="2"/>
  <c r="E42"/>
  <c r="S99" i="1"/>
  <c r="U99" s="1"/>
  <c r="S152"/>
  <c r="U152" s="1"/>
  <c r="V152" s="1"/>
  <c r="AB152" s="1"/>
  <c r="S170"/>
  <c r="M41" i="2"/>
  <c r="S146" i="1"/>
  <c r="U146" s="1"/>
  <c r="V146" s="1"/>
  <c r="AB146" s="1"/>
  <c r="S151"/>
  <c r="U151" s="1"/>
  <c r="G4" i="12"/>
  <c r="C5" i="11"/>
  <c r="G5"/>
  <c r="G24" i="5"/>
  <c r="S92" i="1"/>
  <c r="U92" s="1"/>
  <c r="S91"/>
  <c r="U91" s="1"/>
  <c r="V91" s="1"/>
  <c r="AB91" s="1"/>
  <c r="AB77"/>
  <c r="C40" i="2"/>
  <c r="G40"/>
  <c r="K40"/>
  <c r="F22" i="7"/>
  <c r="G22" s="1"/>
  <c r="F21"/>
  <c r="G21" s="1"/>
  <c r="F20"/>
  <c r="G20" s="1"/>
  <c r="F19"/>
  <c r="M39" i="2"/>
  <c r="AB163" i="1" l="1"/>
  <c r="M42" i="2"/>
  <c r="E47"/>
  <c r="M47" s="1"/>
  <c r="U155" i="1"/>
  <c r="W121"/>
  <c r="AB121"/>
  <c r="F23" i="7"/>
  <c r="V209" i="1"/>
  <c r="V157"/>
  <c r="W163"/>
  <c r="W149"/>
  <c r="X271"/>
  <c r="V253"/>
  <c r="W253" s="1"/>
  <c r="W282"/>
  <c r="V266"/>
  <c r="W266" s="1"/>
  <c r="W152"/>
  <c r="W146"/>
  <c r="V151"/>
  <c r="W91"/>
  <c r="G19" i="7"/>
  <c r="G23" s="1"/>
  <c r="S189" i="1"/>
  <c r="U189" s="1"/>
  <c r="V189" s="1"/>
  <c r="V192" s="1"/>
  <c r="C2" i="12"/>
  <c r="S225" i="1"/>
  <c r="U225" s="1"/>
  <c r="S94"/>
  <c r="U94" s="1"/>
  <c r="T84"/>
  <c r="S84"/>
  <c r="S111"/>
  <c r="U111" s="1"/>
  <c r="M38" i="2"/>
  <c r="S81" i="1"/>
  <c r="U81" s="1"/>
  <c r="AB209" l="1"/>
  <c r="AB212" s="1"/>
  <c r="AE212" s="1"/>
  <c r="AG212" s="1"/>
  <c r="AH212" s="1"/>
  <c r="V212"/>
  <c r="W209"/>
  <c r="W212" s="1"/>
  <c r="AB189"/>
  <c r="AB192" s="1"/>
  <c r="W189"/>
  <c r="W192" s="1"/>
  <c r="W151"/>
  <c r="AB151"/>
  <c r="W157"/>
  <c r="AB157"/>
  <c r="J5" i="12"/>
  <c r="AF87" i="1" s="1"/>
  <c r="C5" i="12"/>
  <c r="U84" i="1"/>
  <c r="V225"/>
  <c r="V94"/>
  <c r="E37" i="2"/>
  <c r="E36"/>
  <c r="F36"/>
  <c r="F40" s="1"/>
  <c r="S158" i="1"/>
  <c r="U158" s="1"/>
  <c r="S106"/>
  <c r="U106" s="1"/>
  <c r="S83"/>
  <c r="U83" s="1"/>
  <c r="S89"/>
  <c r="U89" s="1"/>
  <c r="S78"/>
  <c r="U78" s="1"/>
  <c r="S139"/>
  <c r="U139" s="1"/>
  <c r="S76"/>
  <c r="U76" s="1"/>
  <c r="S174"/>
  <c r="U174" s="1"/>
  <c r="V174" s="1"/>
  <c r="AB174" s="1"/>
  <c r="S100"/>
  <c r="U100" s="1"/>
  <c r="V100" s="1"/>
  <c r="AB100" s="1"/>
  <c r="S77"/>
  <c r="U77" s="1"/>
  <c r="S86"/>
  <c r="S73"/>
  <c r="U73" s="1"/>
  <c r="S70"/>
  <c r="U70" s="1"/>
  <c r="S95"/>
  <c r="U95" s="1"/>
  <c r="M34" i="2"/>
  <c r="M35"/>
  <c r="S143" i="1"/>
  <c r="U143" s="1"/>
  <c r="W225" l="1"/>
  <c r="AE192"/>
  <c r="AG192" s="1"/>
  <c r="AH192" s="1"/>
  <c r="M36" i="2"/>
  <c r="W94" i="1"/>
  <c r="AB94"/>
  <c r="V77"/>
  <c r="W77" s="1"/>
  <c r="M37" i="2"/>
  <c r="V158" i="1"/>
  <c r="V106"/>
  <c r="AB106" s="1"/>
  <c r="V139"/>
  <c r="Y174"/>
  <c r="Y180" s="1"/>
  <c r="W100"/>
  <c r="S80"/>
  <c r="U80" s="1"/>
  <c r="V80" s="1"/>
  <c r="AB80" s="1"/>
  <c r="S141"/>
  <c r="U141" s="1"/>
  <c r="V141" s="1"/>
  <c r="AB141" s="1"/>
  <c r="S97"/>
  <c r="U97" s="1"/>
  <c r="V97" s="1"/>
  <c r="AB97" s="1"/>
  <c r="S119"/>
  <c r="U119" s="1"/>
  <c r="S173"/>
  <c r="U173" s="1"/>
  <c r="V173" s="1"/>
  <c r="AB173" s="1"/>
  <c r="C21" i="5"/>
  <c r="C24" s="1"/>
  <c r="A12" i="8"/>
  <c r="D12" s="1"/>
  <c r="S168" i="1"/>
  <c r="U168" s="1"/>
  <c r="D23" i="8"/>
  <c r="D22"/>
  <c r="D21"/>
  <c r="D20"/>
  <c r="D19"/>
  <c r="D18"/>
  <c r="D17"/>
  <c r="D16"/>
  <c r="D15"/>
  <c r="D14"/>
  <c r="D13"/>
  <c r="D11"/>
  <c r="D10"/>
  <c r="D9"/>
  <c r="D8"/>
  <c r="D7"/>
  <c r="D6"/>
  <c r="D5"/>
  <c r="D4"/>
  <c r="D3"/>
  <c r="D2"/>
  <c r="E2"/>
  <c r="Q8" i="2"/>
  <c r="V64" i="1"/>
  <c r="AB64" s="1"/>
  <c r="S61"/>
  <c r="U61" s="1"/>
  <c r="V61" s="1"/>
  <c r="E33" i="2"/>
  <c r="E40" s="1"/>
  <c r="M40" s="1"/>
  <c r="C18" i="5"/>
  <c r="G15"/>
  <c r="G16" s="1"/>
  <c r="S66" i="1"/>
  <c r="U66" s="1"/>
  <c r="V66" s="1"/>
  <c r="AB66" s="1"/>
  <c r="S72"/>
  <c r="U72" s="1"/>
  <c r="S85"/>
  <c r="U85" s="1"/>
  <c r="AB44"/>
  <c r="AB51"/>
  <c r="S127"/>
  <c r="U127" s="1"/>
  <c r="F16" i="7"/>
  <c r="G16" s="1"/>
  <c r="F17"/>
  <c r="G17" s="1"/>
  <c r="F15"/>
  <c r="G15" s="1"/>
  <c r="F14"/>
  <c r="G14" s="1"/>
  <c r="F10"/>
  <c r="G10" s="1"/>
  <c r="F9"/>
  <c r="G9" s="1"/>
  <c r="E5"/>
  <c r="F4"/>
  <c r="S164" i="1"/>
  <c r="U164" s="1"/>
  <c r="V164" s="1"/>
  <c r="S79"/>
  <c r="U79" s="1"/>
  <c r="V79" s="1"/>
  <c r="AB79" s="1"/>
  <c r="B32" i="2"/>
  <c r="F32"/>
  <c r="G32"/>
  <c r="U49" i="1"/>
  <c r="V49" s="1"/>
  <c r="AB49" s="1"/>
  <c r="S142"/>
  <c r="U142" s="1"/>
  <c r="V142" s="1"/>
  <c r="AB142" s="1"/>
  <c r="F5" i="7" l="1"/>
  <c r="G5" s="1"/>
  <c r="E8"/>
  <c r="AB164" i="1"/>
  <c r="M33" i="2"/>
  <c r="W158" i="1"/>
  <c r="AB158"/>
  <c r="W139"/>
  <c r="AB139"/>
  <c r="W64"/>
  <c r="W106"/>
  <c r="W61"/>
  <c r="AB61"/>
  <c r="W80"/>
  <c r="W141"/>
  <c r="W97"/>
  <c r="W173"/>
  <c r="E3" i="8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V168" i="1"/>
  <c r="V180" s="1"/>
  <c r="X66"/>
  <c r="V72"/>
  <c r="V85"/>
  <c r="V127"/>
  <c r="F13" i="7"/>
  <c r="G13"/>
  <c r="F8"/>
  <c r="G18"/>
  <c r="F18"/>
  <c r="G4"/>
  <c r="W164" i="1"/>
  <c r="W79"/>
  <c r="W49"/>
  <c r="W142"/>
  <c r="E27" i="2"/>
  <c r="M27" s="1"/>
  <c r="S117" i="1"/>
  <c r="U117" s="1"/>
  <c r="V117" s="1"/>
  <c r="AB117" s="1"/>
  <c r="S58"/>
  <c r="U58" s="1"/>
  <c r="V58" s="1"/>
  <c r="AB58" s="1"/>
  <c r="S57"/>
  <c r="U57" s="1"/>
  <c r="V57" s="1"/>
  <c r="AB57" s="1"/>
  <c r="M26" i="2"/>
  <c r="S103" i="1"/>
  <c r="U103" s="1"/>
  <c r="V103" s="1"/>
  <c r="AB103" s="1"/>
  <c r="S74"/>
  <c r="U74" s="1"/>
  <c r="V74" s="1"/>
  <c r="AB74" s="1"/>
  <c r="M25" i="2"/>
  <c r="E24"/>
  <c r="M24" s="1"/>
  <c r="S69" i="1"/>
  <c r="U69" s="1"/>
  <c r="V69" s="1"/>
  <c r="AB69" s="1"/>
  <c r="S98"/>
  <c r="U98" s="1"/>
  <c r="C10" i="5"/>
  <c r="S82" i="1"/>
  <c r="U82" s="1"/>
  <c r="V82" s="1"/>
  <c r="AB82" s="1"/>
  <c r="S45"/>
  <c r="U45" s="1"/>
  <c r="V45" s="1"/>
  <c r="AB45" s="1"/>
  <c r="S110"/>
  <c r="U110" s="1"/>
  <c r="V110" s="1"/>
  <c r="AB110" s="1"/>
  <c r="S56"/>
  <c r="U56" s="1"/>
  <c r="V56" s="1"/>
  <c r="AB56" s="1"/>
  <c r="M23" i="2"/>
  <c r="S46" i="1"/>
  <c r="U46" s="1"/>
  <c r="S62"/>
  <c r="U62" s="1"/>
  <c r="S51"/>
  <c r="U51" s="1"/>
  <c r="S44"/>
  <c r="U44" s="1"/>
  <c r="X44" s="1"/>
  <c r="M22" i="2"/>
  <c r="S63" i="1"/>
  <c r="U63" s="1"/>
  <c r="S75"/>
  <c r="U75" s="1"/>
  <c r="V75" s="1"/>
  <c r="S132"/>
  <c r="U132" s="1"/>
  <c r="V132" s="1"/>
  <c r="AB132" s="1"/>
  <c r="E21" i="2"/>
  <c r="M21" s="1"/>
  <c r="S68" i="1"/>
  <c r="U68" s="1"/>
  <c r="V68" s="1"/>
  <c r="AB68" s="1"/>
  <c r="K20" i="2"/>
  <c r="K32" s="1"/>
  <c r="S35" i="1"/>
  <c r="U35" s="1"/>
  <c r="S34"/>
  <c r="U34" s="1"/>
  <c r="V34" s="1"/>
  <c r="AB34" s="1"/>
  <c r="O20" i="2"/>
  <c r="O23" s="1"/>
  <c r="O26" s="1"/>
  <c r="O28" s="1"/>
  <c r="O30" s="1"/>
  <c r="O32" s="1"/>
  <c r="O34" s="1"/>
  <c r="E19"/>
  <c r="M17"/>
  <c r="S37" i="1"/>
  <c r="U37" s="1"/>
  <c r="S48"/>
  <c r="U48" s="1"/>
  <c r="V48" s="1"/>
  <c r="AB48" s="1"/>
  <c r="S32"/>
  <c r="U32" s="1"/>
  <c r="U67"/>
  <c r="AB67" s="1"/>
  <c r="AB4"/>
  <c r="T123"/>
  <c r="U86"/>
  <c r="V86" s="1"/>
  <c r="AB86" s="1"/>
  <c r="S102"/>
  <c r="U102" s="1"/>
  <c r="S123"/>
  <c r="E16" i="2"/>
  <c r="M16" s="1"/>
  <c r="E14"/>
  <c r="M14" s="1"/>
  <c r="E15"/>
  <c r="M15" s="1"/>
  <c r="S65" i="1"/>
  <c r="U65" s="1"/>
  <c r="V65" s="1"/>
  <c r="AB65" s="1"/>
  <c r="S131"/>
  <c r="U131" s="1"/>
  <c r="S38"/>
  <c r="U38" s="1"/>
  <c r="V38" s="1"/>
  <c r="AB38" s="1"/>
  <c r="S33"/>
  <c r="U33" s="1"/>
  <c r="V33" s="1"/>
  <c r="AB33" s="1"/>
  <c r="S40"/>
  <c r="U40" s="1"/>
  <c r="V40" s="1"/>
  <c r="AB40" s="1"/>
  <c r="S96"/>
  <c r="U96" s="1"/>
  <c r="S140"/>
  <c r="U140" s="1"/>
  <c r="V140" s="1"/>
  <c r="AB140" s="1"/>
  <c r="S93"/>
  <c r="U93" s="1"/>
  <c r="V93" s="1"/>
  <c r="AB93" s="1"/>
  <c r="S101"/>
  <c r="U101" s="1"/>
  <c r="V101" s="1"/>
  <c r="AB101" s="1"/>
  <c r="S90"/>
  <c r="U90" s="1"/>
  <c r="V90" s="1"/>
  <c r="AB90" s="1"/>
  <c r="N15" i="2"/>
  <c r="N17" s="1"/>
  <c r="N19" s="1"/>
  <c r="N32" s="1"/>
  <c r="N13"/>
  <c r="O13" s="1"/>
  <c r="S18" i="1"/>
  <c r="U18" s="1"/>
  <c r="V18" s="1"/>
  <c r="AB18" s="1"/>
  <c r="M7" i="2"/>
  <c r="M12"/>
  <c r="L18"/>
  <c r="K18"/>
  <c r="J18"/>
  <c r="I18"/>
  <c r="H18"/>
  <c r="G18"/>
  <c r="F18"/>
  <c r="D18"/>
  <c r="C18"/>
  <c r="B18"/>
  <c r="L11"/>
  <c r="J11"/>
  <c r="I11"/>
  <c r="H11"/>
  <c r="F11"/>
  <c r="E11"/>
  <c r="D11"/>
  <c r="B11"/>
  <c r="M5"/>
  <c r="M9"/>
  <c r="M8"/>
  <c r="G10"/>
  <c r="M10" s="1"/>
  <c r="E13"/>
  <c r="S36" i="1"/>
  <c r="U36" s="1"/>
  <c r="V36" s="1"/>
  <c r="AB36" s="1"/>
  <c r="S47"/>
  <c r="U47" s="1"/>
  <c r="V47" s="1"/>
  <c r="AB47" s="1"/>
  <c r="S41"/>
  <c r="U41" s="1"/>
  <c r="V41" s="1"/>
  <c r="AB41" s="1"/>
  <c r="S25"/>
  <c r="U25" s="1"/>
  <c r="S71"/>
  <c r="U71" s="1"/>
  <c r="S114"/>
  <c r="U114" s="1"/>
  <c r="S28"/>
  <c r="U28" s="1"/>
  <c r="S137"/>
  <c r="U137" s="1"/>
  <c r="V137" s="1"/>
  <c r="AB137" s="1"/>
  <c r="G8" i="7" l="1"/>
  <c r="W168" i="1"/>
  <c r="W180" s="1"/>
  <c r="AB168"/>
  <c r="AB180" s="1"/>
  <c r="V62"/>
  <c r="AB62" s="1"/>
  <c r="W127"/>
  <c r="AB127"/>
  <c r="W85"/>
  <c r="AB85"/>
  <c r="AB75"/>
  <c r="W72"/>
  <c r="AB72"/>
  <c r="M19" i="2"/>
  <c r="E32"/>
  <c r="M32" s="1"/>
  <c r="M20"/>
  <c r="P32"/>
  <c r="W117" i="1"/>
  <c r="W58"/>
  <c r="X57"/>
  <c r="X51"/>
  <c r="X54" s="1"/>
  <c r="W103"/>
  <c r="W74"/>
  <c r="W69"/>
  <c r="W82"/>
  <c r="W45"/>
  <c r="W110"/>
  <c r="W56"/>
  <c r="V63"/>
  <c r="W75"/>
  <c r="W132"/>
  <c r="W68"/>
  <c r="V35"/>
  <c r="AB35" s="1"/>
  <c r="W34"/>
  <c r="V37"/>
  <c r="W48"/>
  <c r="V32"/>
  <c r="V67"/>
  <c r="W67" s="1"/>
  <c r="V123"/>
  <c r="W86"/>
  <c r="V102"/>
  <c r="E18" i="2"/>
  <c r="W65" i="1"/>
  <c r="V131"/>
  <c r="W38"/>
  <c r="W33"/>
  <c r="V96"/>
  <c r="W140"/>
  <c r="W93"/>
  <c r="W101"/>
  <c r="W90"/>
  <c r="W18"/>
  <c r="M13" i="2"/>
  <c r="M18" s="1"/>
  <c r="H9" i="7" s="1"/>
  <c r="H13" s="1"/>
  <c r="G11" i="2"/>
  <c r="W36" i="1"/>
  <c r="W47"/>
  <c r="W41"/>
  <c r="V25"/>
  <c r="V71"/>
  <c r="V114"/>
  <c r="V28"/>
  <c r="AB28" s="1"/>
  <c r="W137"/>
  <c r="S10"/>
  <c r="U10" s="1"/>
  <c r="V10" s="1"/>
  <c r="AB10" s="1"/>
  <c r="S13"/>
  <c r="U13" s="1"/>
  <c r="V13" s="1"/>
  <c r="AB13" s="1"/>
  <c r="S8"/>
  <c r="U8" s="1"/>
  <c r="S7"/>
  <c r="U7" s="1"/>
  <c r="V7" s="1"/>
  <c r="AB7" s="1"/>
  <c r="S22"/>
  <c r="U22" s="1"/>
  <c r="V22" s="1"/>
  <c r="AB22" s="1"/>
  <c r="S55"/>
  <c r="U55" s="1"/>
  <c r="V55" s="1"/>
  <c r="N8" i="2"/>
  <c r="O8"/>
  <c r="M3"/>
  <c r="M4"/>
  <c r="K6"/>
  <c r="M6" s="1"/>
  <c r="C2"/>
  <c r="C11" s="1"/>
  <c r="S135" i="1"/>
  <c r="U135" s="1"/>
  <c r="S17"/>
  <c r="U17" s="1"/>
  <c r="V17" s="1"/>
  <c r="AB17" s="1"/>
  <c r="S42"/>
  <c r="U42" s="1"/>
  <c r="V42" s="1"/>
  <c r="AB42" s="1"/>
  <c r="S59"/>
  <c r="U59" s="1"/>
  <c r="S105"/>
  <c r="U105" s="1"/>
  <c r="S19"/>
  <c r="U19" s="1"/>
  <c r="S16"/>
  <c r="U16" s="1"/>
  <c r="S50"/>
  <c r="U50" s="1"/>
  <c r="V50" s="1"/>
  <c r="AB50" s="1"/>
  <c r="S145"/>
  <c r="U145" s="1"/>
  <c r="K2" i="2"/>
  <c r="AE180" i="1" l="1"/>
  <c r="AG180" s="1"/>
  <c r="AH180" s="1"/>
  <c r="AB55"/>
  <c r="X62"/>
  <c r="X87" s="1"/>
  <c r="W131"/>
  <c r="W123"/>
  <c r="AB123"/>
  <c r="W114"/>
  <c r="AB114"/>
  <c r="W102"/>
  <c r="AB102"/>
  <c r="W96"/>
  <c r="AB96"/>
  <c r="W71"/>
  <c r="AB71"/>
  <c r="W63"/>
  <c r="AB63"/>
  <c r="W37"/>
  <c r="AB37"/>
  <c r="W35"/>
  <c r="W32"/>
  <c r="AB32"/>
  <c r="W28"/>
  <c r="W25"/>
  <c r="AB25"/>
  <c r="K11" i="2"/>
  <c r="M2"/>
  <c r="M11" s="1"/>
  <c r="H4" i="7" s="1"/>
  <c r="H8" s="1"/>
  <c r="W10" i="1"/>
  <c r="W13"/>
  <c r="V8"/>
  <c r="W7"/>
  <c r="W22"/>
  <c r="W55"/>
  <c r="V135"/>
  <c r="W17"/>
  <c r="W42"/>
  <c r="V59"/>
  <c r="V105"/>
  <c r="V19"/>
  <c r="V16"/>
  <c r="W16" s="1"/>
  <c r="W50"/>
  <c r="V145"/>
  <c r="S21"/>
  <c r="U21" s="1"/>
  <c r="V21" s="1"/>
  <c r="S20"/>
  <c r="U20" s="1"/>
  <c r="V20" s="1"/>
  <c r="S4"/>
  <c r="U4" s="1"/>
  <c r="S27"/>
  <c r="U27" s="1"/>
  <c r="V27" s="1"/>
  <c r="V161" l="1"/>
  <c r="W145"/>
  <c r="AB145"/>
  <c r="W135"/>
  <c r="AB135"/>
  <c r="W105"/>
  <c r="AB105"/>
  <c r="W59"/>
  <c r="AB59"/>
  <c r="W21"/>
  <c r="AB21"/>
  <c r="W20"/>
  <c r="AB20"/>
  <c r="W27"/>
  <c r="AB27"/>
  <c r="W19"/>
  <c r="AB19"/>
  <c r="AB16"/>
  <c r="W8"/>
  <c r="AB8"/>
  <c r="S30"/>
  <c r="U30" s="1"/>
  <c r="V30" s="1"/>
  <c r="S43"/>
  <c r="U43" s="1"/>
  <c r="V43" s="1"/>
  <c r="S26"/>
  <c r="U26" s="1"/>
  <c r="V26" s="1"/>
  <c r="S112"/>
  <c r="U112" s="1"/>
  <c r="V112" s="1"/>
  <c r="S12"/>
  <c r="U12" s="1"/>
  <c r="V12" s="1"/>
  <c r="S6"/>
  <c r="U6" s="1"/>
  <c r="V6" s="1"/>
  <c r="AB6" s="1"/>
  <c r="S23"/>
  <c r="U23" s="1"/>
  <c r="V23" s="1"/>
  <c r="AB23" s="1"/>
  <c r="S14"/>
  <c r="U14" s="1"/>
  <c r="V14" s="1"/>
  <c r="S115"/>
  <c r="U115" s="1"/>
  <c r="V115" s="1"/>
  <c r="S15"/>
  <c r="U15" s="1"/>
  <c r="V15" s="1"/>
  <c r="S5"/>
  <c r="U5" s="1"/>
  <c r="V5" s="1"/>
  <c r="S9"/>
  <c r="U9" s="1"/>
  <c r="V9" s="1"/>
  <c r="S24"/>
  <c r="U24" s="1"/>
  <c r="V24" s="1"/>
  <c r="S118"/>
  <c r="U118" s="1"/>
  <c r="V118" s="1"/>
  <c r="S60"/>
  <c r="U60" s="1"/>
  <c r="V60" s="1"/>
  <c r="V87" s="1"/>
  <c r="S52"/>
  <c r="U52" s="1"/>
  <c r="V52" s="1"/>
  <c r="S53"/>
  <c r="U53" s="1"/>
  <c r="V53" s="1"/>
  <c r="S29"/>
  <c r="U29" s="1"/>
  <c r="V29" s="1"/>
  <c r="AB29" s="1"/>
  <c r="AB161" l="1"/>
  <c r="V54"/>
  <c r="W161"/>
  <c r="AB43"/>
  <c r="V11"/>
  <c r="V31"/>
  <c r="AE161"/>
  <c r="AG161" s="1"/>
  <c r="W115"/>
  <c r="AB115"/>
  <c r="W118"/>
  <c r="AB118"/>
  <c r="W112"/>
  <c r="AB112"/>
  <c r="W60"/>
  <c r="W87" s="1"/>
  <c r="AB60"/>
  <c r="W52"/>
  <c r="AB52"/>
  <c r="W53"/>
  <c r="AB53"/>
  <c r="W43"/>
  <c r="W30"/>
  <c r="AB30"/>
  <c r="W24"/>
  <c r="AB24"/>
  <c r="W29"/>
  <c r="W26"/>
  <c r="AB26"/>
  <c r="W12"/>
  <c r="AB12"/>
  <c r="W15"/>
  <c r="AB15"/>
  <c r="W14"/>
  <c r="AB14"/>
  <c r="W9"/>
  <c r="AB9"/>
  <c r="W5"/>
  <c r="AB5"/>
  <c r="W6"/>
  <c r="W4"/>
  <c r="W23"/>
  <c r="AB11" l="1"/>
  <c r="AE11" s="1"/>
  <c r="AH11" s="1"/>
  <c r="AB54"/>
  <c r="AB87"/>
  <c r="AE87" s="1"/>
  <c r="AG87" s="1"/>
  <c r="AB31"/>
  <c r="AH161"/>
  <c r="W11"/>
  <c r="W31"/>
  <c r="W40"/>
  <c r="W54" s="1"/>
  <c r="S88"/>
  <c r="V88"/>
  <c r="V126" s="1"/>
  <c r="AH87" l="1"/>
  <c r="AE54"/>
  <c r="AH54" s="1"/>
  <c r="AE31"/>
  <c r="AH31" s="1"/>
  <c r="AB88"/>
  <c r="W88"/>
  <c r="W126" s="1"/>
  <c r="AB126" l="1"/>
  <c r="AE126" s="1"/>
  <c r="AG126" s="1"/>
  <c r="AH126" l="1"/>
  <c r="Q244" l="1"/>
  <c r="AD244"/>
</calcChain>
</file>

<file path=xl/sharedStrings.xml><?xml version="1.0" encoding="utf-8"?>
<sst xmlns="http://schemas.openxmlformats.org/spreadsheetml/2006/main" count="5202" uniqueCount="1346">
  <si>
    <t>Oct'23</t>
  </si>
  <si>
    <t>Nov'23</t>
  </si>
  <si>
    <t>Dec'23</t>
  </si>
  <si>
    <t>Guest Details</t>
  </si>
  <si>
    <t>Name:</t>
  </si>
  <si>
    <t>Rate</t>
  </si>
  <si>
    <t>Sub Total</t>
  </si>
  <si>
    <t>Service Fee</t>
  </si>
  <si>
    <t>Total</t>
  </si>
  <si>
    <t>From</t>
  </si>
  <si>
    <t>Bonn, GER</t>
  </si>
  <si>
    <t>Tessa Hattenhauer</t>
  </si>
  <si>
    <t>Jean-Claude Vlok</t>
  </si>
  <si>
    <t>Melbourne, AUS</t>
  </si>
  <si>
    <t>Cape Town, SA</t>
  </si>
  <si>
    <t>Jan'24</t>
  </si>
  <si>
    <t>CT</t>
  </si>
  <si>
    <t>Nights</t>
  </si>
  <si>
    <t>Sarah Gerber</t>
  </si>
  <si>
    <t>Pretoria, SA</t>
  </si>
  <si>
    <t>Cabin</t>
  </si>
  <si>
    <t xml:space="preserve">Check in </t>
  </si>
  <si>
    <t>Check out</t>
  </si>
  <si>
    <t>Clifftop</t>
  </si>
  <si>
    <t>Wildside</t>
  </si>
  <si>
    <t>Christel Raoul</t>
  </si>
  <si>
    <t>Asques, FRA</t>
  </si>
  <si>
    <t>Bev Halmshaw</t>
  </si>
  <si>
    <t>Wetherby, UK</t>
  </si>
  <si>
    <t>Feb'24</t>
  </si>
  <si>
    <t>Mar'24</t>
  </si>
  <si>
    <t>NETH</t>
  </si>
  <si>
    <t>Andrea Ticozzi</t>
  </si>
  <si>
    <t>Verona, ITA</t>
  </si>
  <si>
    <t>Ghent, BEL</t>
  </si>
  <si>
    <t>Tino Rickert</t>
  </si>
  <si>
    <t>Aachen, GER</t>
  </si>
  <si>
    <t>WS</t>
  </si>
  <si>
    <t>Adam Morgan</t>
  </si>
  <si>
    <t>Spain, ES</t>
  </si>
  <si>
    <t>Zimkita Mbete</t>
  </si>
  <si>
    <t>Local, SA</t>
  </si>
  <si>
    <t>Darren Westwood</t>
  </si>
  <si>
    <t>Hamburg, GER</t>
  </si>
  <si>
    <t>HH</t>
  </si>
  <si>
    <t>Mario K</t>
  </si>
  <si>
    <t>Flein, GER</t>
  </si>
  <si>
    <t>Lise Lotte Baert</t>
  </si>
  <si>
    <t>Sophie Litschke</t>
  </si>
  <si>
    <t>Gavin Wood</t>
  </si>
  <si>
    <t>Athena Lysandrou</t>
  </si>
  <si>
    <t>Nicky Soede</t>
  </si>
  <si>
    <t>Date</t>
  </si>
  <si>
    <t>Set-up</t>
  </si>
  <si>
    <t>Consumables</t>
  </si>
  <si>
    <t xml:space="preserve">Cleaning </t>
  </si>
  <si>
    <t>Laundry</t>
  </si>
  <si>
    <t>Décor</t>
  </si>
  <si>
    <t>Appliances</t>
  </si>
  <si>
    <t>TOTAL</t>
  </si>
  <si>
    <t>Sedgefield, SA</t>
  </si>
  <si>
    <t>Daina Fox</t>
  </si>
  <si>
    <t>Neunkirchen, AUS</t>
  </si>
  <si>
    <t>Sandton, SA</t>
  </si>
  <si>
    <t>Elwood, AUS</t>
  </si>
  <si>
    <t>Howick, SA</t>
  </si>
  <si>
    <t>Henning &amp; Inga Haarhaus</t>
  </si>
  <si>
    <t>Nina de Jong</t>
  </si>
  <si>
    <t>Deventer, NED</t>
  </si>
  <si>
    <t>Amerstdam, NED</t>
  </si>
  <si>
    <t>Krugersdorp, SA</t>
  </si>
  <si>
    <t>TP</t>
  </si>
  <si>
    <t>Martin Hemmert</t>
  </si>
  <si>
    <t>Wurzberg, GER</t>
  </si>
  <si>
    <t>Victor Henegouwen</t>
  </si>
  <si>
    <t>NED</t>
  </si>
  <si>
    <t>Dirk &amp; Mirjam Hoff-Biederbeck</t>
  </si>
  <si>
    <t xml:space="preserve">SA </t>
  </si>
  <si>
    <t>Stefan &amp; Connie Moller</t>
  </si>
  <si>
    <t>Kassel, GER</t>
  </si>
  <si>
    <t>Willem Verbeek</t>
  </si>
  <si>
    <t>Leon Janse van Rensburg</t>
  </si>
  <si>
    <t>Port Eliz, SA</t>
  </si>
  <si>
    <t>Vanessa Brown</t>
  </si>
  <si>
    <t>Joburg, SA</t>
  </si>
  <si>
    <t>Rondebos</t>
  </si>
  <si>
    <t>RB</t>
  </si>
  <si>
    <t>Hills PH</t>
  </si>
  <si>
    <t>Marion &amp; Bernd Schubert</t>
  </si>
  <si>
    <t>Frankfurt, GER</t>
  </si>
  <si>
    <t>Cash</t>
  </si>
  <si>
    <t>Printing</t>
  </si>
  <si>
    <t>Electrical</t>
  </si>
  <si>
    <t>Linen etc</t>
  </si>
  <si>
    <t>Paid by Kes</t>
  </si>
  <si>
    <t>Paid to Kes</t>
  </si>
  <si>
    <t>start up</t>
  </si>
  <si>
    <t>guest key tags</t>
  </si>
  <si>
    <t>eft to the print shop</t>
  </si>
  <si>
    <t>lock boxes online</t>
  </si>
  <si>
    <t>cabin signs, R200 from cash</t>
  </si>
  <si>
    <t>taken from cash drawn</t>
  </si>
  <si>
    <t>Nicholas Wilkes</t>
  </si>
  <si>
    <t>UK, via PE</t>
  </si>
  <si>
    <t>Rixa Riess</t>
  </si>
  <si>
    <t>RR</t>
  </si>
  <si>
    <t>Ebraheem Choonara</t>
  </si>
  <si>
    <t>SA</t>
  </si>
  <si>
    <t>Tobias Zolliker</t>
  </si>
  <si>
    <t>Dielsdorft, SWZ</t>
  </si>
  <si>
    <t>1hr+</t>
  </si>
  <si>
    <t>Dir</t>
  </si>
  <si>
    <t>Ch</t>
  </si>
  <si>
    <t>In</t>
  </si>
  <si>
    <t>Out</t>
  </si>
  <si>
    <t>Give</t>
  </si>
  <si>
    <t>Rec</t>
  </si>
  <si>
    <t>x</t>
  </si>
  <si>
    <t>Shed</t>
  </si>
  <si>
    <t>Let</t>
  </si>
  <si>
    <t>Hi</t>
  </si>
  <si>
    <t>Hilton &amp; Lindy Cameron</t>
  </si>
  <si>
    <t>Jonas Lopatenko</t>
  </si>
  <si>
    <t>Werdohl, GER</t>
  </si>
  <si>
    <t>GER</t>
  </si>
  <si>
    <t>Irish Jeremiah</t>
  </si>
  <si>
    <t>Ole Marakalla</t>
  </si>
  <si>
    <t>Shanna Warner</t>
  </si>
  <si>
    <t>Gauteng, SA</t>
  </si>
  <si>
    <t>SW</t>
  </si>
  <si>
    <t>Greta &amp; Niko Leonhardt</t>
  </si>
  <si>
    <t>Heidelberg, GER</t>
  </si>
  <si>
    <t>Nabeelah Johnson</t>
  </si>
  <si>
    <t>Mike &amp; Theunsie Schafer</t>
  </si>
  <si>
    <t>Adam White</t>
  </si>
  <si>
    <t>NT, AUS</t>
  </si>
  <si>
    <t>AW</t>
  </si>
  <si>
    <t>DIY Mainten</t>
  </si>
  <si>
    <t>Explanation</t>
  </si>
  <si>
    <t>Mason Wittman</t>
  </si>
  <si>
    <t>US</t>
  </si>
  <si>
    <t>Steve in CR</t>
  </si>
  <si>
    <t>Nico &amp; Sophie Pauen</t>
  </si>
  <si>
    <t>Mali</t>
  </si>
  <si>
    <t>Dylan &amp; Maggie Boake</t>
  </si>
  <si>
    <t>Sandy &amp; Wim Klein</t>
  </si>
  <si>
    <t>Groninge, NED</t>
  </si>
  <si>
    <t>Fransziska Hulitz</t>
  </si>
  <si>
    <t>Oct</t>
  </si>
  <si>
    <t>Tue 24</t>
  </si>
  <si>
    <t>Fri 27</t>
  </si>
  <si>
    <t>Mon 30</t>
  </si>
  <si>
    <t xml:space="preserve">Date </t>
  </si>
  <si>
    <t>Nov</t>
  </si>
  <si>
    <t>Thur 2</t>
  </si>
  <si>
    <t>Sun 5</t>
  </si>
  <si>
    <t>Tue 7</t>
  </si>
  <si>
    <t>Wed 8</t>
  </si>
  <si>
    <t>Fri 10</t>
  </si>
  <si>
    <t>Mon 13</t>
  </si>
  <si>
    <t>Annika &amp; Oliver K</t>
  </si>
  <si>
    <t>Schwerte, GER</t>
  </si>
  <si>
    <t>Juta Boegman</t>
  </si>
  <si>
    <t>Francien Regelink</t>
  </si>
  <si>
    <t>Jakob &amp; Isa Leeb</t>
  </si>
  <si>
    <t>Bregje Van Grinsven</t>
  </si>
  <si>
    <t>Fri 17</t>
  </si>
  <si>
    <t>Sun 19</t>
  </si>
  <si>
    <t>Martijn &amp; Marre Graff</t>
  </si>
  <si>
    <t>Mon 20</t>
  </si>
  <si>
    <t>Tue 21</t>
  </si>
  <si>
    <t>Fabian &amp; Alice Kerzel</t>
  </si>
  <si>
    <t>Kissing, GER</t>
  </si>
  <si>
    <t>Wed 22</t>
  </si>
  <si>
    <t>Paris, FRA</t>
  </si>
  <si>
    <t>Fred &amp; Laurence Couderc</t>
  </si>
  <si>
    <t>Thur 23</t>
  </si>
  <si>
    <t>Neo Mahlangu</t>
  </si>
  <si>
    <t>Fri 24</t>
  </si>
  <si>
    <t>Sat 25</t>
  </si>
  <si>
    <t xml:space="preserve">extra 108 </t>
  </si>
  <si>
    <t>Wed 29</t>
  </si>
  <si>
    <t>Stuttgart, GER</t>
  </si>
  <si>
    <t>Apr'24</t>
  </si>
  <si>
    <t>Thu 30</t>
  </si>
  <si>
    <t>Sven Graf</t>
  </si>
  <si>
    <t>Freiburg, GER</t>
  </si>
  <si>
    <t>Dec</t>
  </si>
  <si>
    <t>Alicia &amp; Dustin Baumeister</t>
  </si>
  <si>
    <t>Sat 3</t>
  </si>
  <si>
    <t>Tue 5</t>
  </si>
  <si>
    <t>Tom Southworth</t>
  </si>
  <si>
    <t xml:space="preserve">UK  </t>
  </si>
  <si>
    <t>as no money in card</t>
  </si>
  <si>
    <t>Amina Boussaïd</t>
  </si>
  <si>
    <t>Thu 7</t>
  </si>
  <si>
    <t>Fri 8</t>
  </si>
  <si>
    <t>Munich, GER</t>
  </si>
  <si>
    <t>Laura &amp; Michi Theresa</t>
  </si>
  <si>
    <t>Sun 10</t>
  </si>
  <si>
    <t>Miriam Ehrling</t>
  </si>
  <si>
    <t>Berlin, GER</t>
  </si>
  <si>
    <t>Steffen &amp; Esther Kühn</t>
  </si>
  <si>
    <t>Mon 11</t>
  </si>
  <si>
    <t>Tue 12</t>
  </si>
  <si>
    <t>Wed 13</t>
  </si>
  <si>
    <t>Dublin, IRE</t>
  </si>
  <si>
    <t>Jacie &amp; Etienne Jones</t>
  </si>
  <si>
    <t>San Francisco, USA</t>
  </si>
  <si>
    <t>loungers bought online by Kes</t>
  </si>
  <si>
    <t>Arrowood</t>
  </si>
  <si>
    <t>CW</t>
  </si>
  <si>
    <t>Matt Sherratt</t>
  </si>
  <si>
    <t>Spain, ex SA</t>
  </si>
  <si>
    <t>vaccuum cleaner</t>
  </si>
  <si>
    <t>Steve's Cousin Nick</t>
  </si>
  <si>
    <t>CW Plett</t>
  </si>
  <si>
    <t xml:space="preserve">Robberg </t>
  </si>
  <si>
    <t>Toni Joyce</t>
  </si>
  <si>
    <t>Midrand, SA</t>
  </si>
  <si>
    <t>Natasha Quatember</t>
  </si>
  <si>
    <t>Centurion, SA</t>
  </si>
  <si>
    <t>Alex Bogen</t>
  </si>
  <si>
    <t>London, UK</t>
  </si>
  <si>
    <t>Sat 16</t>
  </si>
  <si>
    <t>Seattle, USA</t>
  </si>
  <si>
    <t>Angela &amp; Jason Chu</t>
  </si>
  <si>
    <t>Mon 18</t>
  </si>
  <si>
    <t>Daniel Brügger</t>
  </si>
  <si>
    <t>Thun, SWZ</t>
  </si>
  <si>
    <t>Tue 19</t>
  </si>
  <si>
    <t>Anmol Garg</t>
  </si>
  <si>
    <t>India</t>
  </si>
  <si>
    <t>Supplier</t>
  </si>
  <si>
    <t>Clean Shop</t>
  </si>
  <si>
    <t>Global Village</t>
  </si>
  <si>
    <t>Mr Price Home</t>
  </si>
  <si>
    <t>2x new bathroom mats blue, 3x new bed throws, green</t>
  </si>
  <si>
    <t>Pick n' Pay</t>
  </si>
  <si>
    <t>DIY Depot</t>
  </si>
  <si>
    <t>2x gate keys cut, 1 adapter plug for the hairdryer</t>
  </si>
  <si>
    <t xml:space="preserve"> @home</t>
  </si>
  <si>
    <t>2x 3/4 fitted sheets, 2x 3/4 duvet covers, 1x standard pillow</t>
  </si>
  <si>
    <t>Agriland</t>
  </si>
  <si>
    <t>1 bucket of biscuits</t>
  </si>
  <si>
    <t>Masons</t>
  </si>
  <si>
    <t>bulk sachets 50x each: tea, rooibos, coffee, cremora, sugar</t>
  </si>
  <si>
    <t>packet of scourers, roll of dish wash cloths, pillow chocolates, salt refill, packet toilet paper rolls</t>
  </si>
  <si>
    <t>Thu 21</t>
  </si>
  <si>
    <t xml:space="preserve"> paid 21 Dec 23</t>
  </si>
  <si>
    <t>Makhosini Makhathu</t>
  </si>
  <si>
    <t>Maryn Maree</t>
  </si>
  <si>
    <t>Edinburgh, UK</t>
  </si>
  <si>
    <t>Theresa &amp; Gianmarco Schaible</t>
  </si>
  <si>
    <t>Kwikspar</t>
  </si>
  <si>
    <t>Mop</t>
  </si>
  <si>
    <t>Aaron &amp; Laura (Sue's friends)</t>
  </si>
  <si>
    <t>USA</t>
  </si>
  <si>
    <t>Sat 24</t>
  </si>
  <si>
    <t>Saarbrucken, GER</t>
  </si>
  <si>
    <t>Sarah &amp; David Schulz</t>
  </si>
  <si>
    <t>Copenhagen, DEN</t>
  </si>
  <si>
    <t>Juliane &amp; Nathalie Daum</t>
  </si>
  <si>
    <t>Tue 26</t>
  </si>
  <si>
    <t>Wed 27</t>
  </si>
  <si>
    <t>Clean AW</t>
  </si>
  <si>
    <t>Carmen</t>
  </si>
  <si>
    <t>Cut 2x gate keys</t>
  </si>
  <si>
    <t>David Easterling</t>
  </si>
  <si>
    <t>Pawel Janiak</t>
  </si>
  <si>
    <t>Zurich, SWI</t>
  </si>
  <si>
    <t>error balance Dec pay &amp; bonus to Carmen</t>
  </si>
  <si>
    <t>should be Sun 24</t>
  </si>
  <si>
    <t>Xmas bonus</t>
  </si>
  <si>
    <t>Fri 29</t>
  </si>
  <si>
    <t>Jule &amp; Max Vedder</t>
  </si>
  <si>
    <t>first payment of Tamara via PayPal</t>
  </si>
  <si>
    <t>recon bal owed by Steve</t>
  </si>
  <si>
    <t>from guest for 2x night on mattress, we got R108</t>
  </si>
  <si>
    <t>Card decline &amp; eft = Steve EFTéd</t>
  </si>
  <si>
    <t>1 item of Kes accidentally added in Steve's lot</t>
  </si>
  <si>
    <t>still due to Steve</t>
  </si>
  <si>
    <t>carried over from above</t>
  </si>
  <si>
    <t>total</t>
  </si>
  <si>
    <t>running total</t>
  </si>
  <si>
    <t>Hasselt, BEL</t>
  </si>
  <si>
    <t>Clean US</t>
  </si>
  <si>
    <t>Tami 2 Jan</t>
  </si>
  <si>
    <t>Asher &amp; Shelley Grevler</t>
  </si>
  <si>
    <t>Eslina Tue 19</t>
  </si>
  <si>
    <t>Eslina Wed 27</t>
  </si>
  <si>
    <t>Jan</t>
  </si>
  <si>
    <t xml:space="preserve">Wed 3 </t>
  </si>
  <si>
    <t>Carm Thu 4</t>
  </si>
  <si>
    <t>Lav Thu 4</t>
  </si>
  <si>
    <t>refuse bags</t>
  </si>
  <si>
    <t>Hill House</t>
  </si>
  <si>
    <t>Occupancy</t>
  </si>
  <si>
    <t>Nett Total</t>
  </si>
  <si>
    <t>Darren</t>
  </si>
  <si>
    <t>Steve</t>
  </si>
  <si>
    <t>Expenses</t>
  </si>
  <si>
    <t>Hermanus, SA</t>
  </si>
  <si>
    <t>Willem &amp; Susan Erasmus</t>
  </si>
  <si>
    <t>TOTALS</t>
  </si>
  <si>
    <t>Fri 5</t>
  </si>
  <si>
    <t>Robin Young</t>
  </si>
  <si>
    <t>UK</t>
  </si>
  <si>
    <t>Jnb</t>
  </si>
  <si>
    <t>Sharin &amp; Andre Grobbelaar</t>
  </si>
  <si>
    <t>CW Home</t>
  </si>
  <si>
    <t>Yannick &amp; Jenny Friedrich</t>
  </si>
  <si>
    <t>Sat 6</t>
  </si>
  <si>
    <t>Sun 7</t>
  </si>
  <si>
    <t>Mon 8</t>
  </si>
  <si>
    <t>Wed 10</t>
  </si>
  <si>
    <t>Thu 11</t>
  </si>
  <si>
    <t>Kristian Schneider</t>
  </si>
  <si>
    <t>Bruchkoebel, GER</t>
  </si>
  <si>
    <t>Temp 27</t>
  </si>
  <si>
    <t>hasn't charged</t>
  </si>
  <si>
    <t>Paid</t>
  </si>
  <si>
    <t>Lav Tue 9</t>
  </si>
  <si>
    <t>Hannah &amp; Daniel Gundel</t>
  </si>
  <si>
    <t>Alisa Haeger</t>
  </si>
  <si>
    <t>Laverne</t>
  </si>
  <si>
    <t>Wed 3</t>
  </si>
  <si>
    <t>2x spare cushion covers, 2xspare bedside cloths, 1xspare table cloth</t>
  </si>
  <si>
    <t>2x blankets</t>
  </si>
  <si>
    <t>13.8kg wash</t>
  </si>
  <si>
    <t>Calm Waters</t>
  </si>
  <si>
    <t>see details to the right for servicing, washing and ironing</t>
  </si>
  <si>
    <t>?</t>
  </si>
  <si>
    <t>ironing board cover</t>
  </si>
  <si>
    <t xml:space="preserve">Shea Karssing </t>
  </si>
  <si>
    <t>Andre Russouw (Steve's friend)</t>
  </si>
  <si>
    <t>Outlayed by Kes</t>
  </si>
  <si>
    <t>Explanantion</t>
  </si>
  <si>
    <t>cash drawn</t>
  </si>
  <si>
    <t>key tags</t>
  </si>
  <si>
    <t>print shop</t>
  </si>
  <si>
    <t>lock boxes</t>
  </si>
  <si>
    <t>cabin signs</t>
  </si>
  <si>
    <t>Aletta</t>
  </si>
  <si>
    <t>Kes accidentally charged the one slip for R229 twice when billing Steve</t>
  </si>
  <si>
    <t>initial outlay when Kes didn't have credit card</t>
  </si>
  <si>
    <t>additional outlay by Kes where only cash, online eft was acceptable</t>
  </si>
  <si>
    <t>paid over via the cash drawn</t>
  </si>
  <si>
    <t>cash left</t>
  </si>
  <si>
    <t>charcoal</t>
  </si>
  <si>
    <t>no funds in card, Kes outlayed</t>
  </si>
  <si>
    <t>Monies directly rec</t>
  </si>
  <si>
    <t>Steve's balance</t>
  </si>
  <si>
    <t>money directly from guest for 2 nights mattress fee</t>
  </si>
  <si>
    <t>refund to Steve as one of Kes' items accidentally rung up with Steve's</t>
  </si>
  <si>
    <t>loungers &amp; vaccuum cleaner bought online by Kes</t>
  </si>
  <si>
    <t>underpaid Carmen slighly, plus Christmas bonus</t>
  </si>
  <si>
    <t>ironing board cover bought online by Kes</t>
  </si>
  <si>
    <t>Mon 15</t>
  </si>
  <si>
    <t>Tue 16</t>
  </si>
  <si>
    <t>Sat 20</t>
  </si>
  <si>
    <t>Pips</t>
  </si>
  <si>
    <t>replacement of push button on toilet</t>
  </si>
  <si>
    <t>Spar</t>
  </si>
  <si>
    <t>bleach and washing powder</t>
  </si>
  <si>
    <t>Katrin &amp; Sebastian Tüllmann</t>
  </si>
  <si>
    <t>Camiel Cannon</t>
  </si>
  <si>
    <t>Gqeberha, SA</t>
  </si>
  <si>
    <t>David Marx</t>
  </si>
  <si>
    <t>Weilheim, GER</t>
  </si>
  <si>
    <t>Anja &amp; Stefan Volz</t>
  </si>
  <si>
    <t>Tamara Henssler</t>
  </si>
  <si>
    <t>Payment from guest paid directly (Tamara Henssler)</t>
  </si>
  <si>
    <t>Marianne Schwankhart</t>
  </si>
  <si>
    <t>Charlotte &amp; Hanna Van Der Perre plus friend</t>
  </si>
  <si>
    <t>Invoice WS001 - extra night @R1500</t>
  </si>
  <si>
    <t>Munster, GER</t>
  </si>
  <si>
    <t>cupcakes for honeymoon &amp; birthday couple</t>
  </si>
  <si>
    <t>Thur 18</t>
  </si>
  <si>
    <t>Michael O'Donovan</t>
  </si>
  <si>
    <t>Silke &amp; Sonja Floren</t>
  </si>
  <si>
    <t>Linio &amp; David Nkanjeni</t>
  </si>
  <si>
    <t>Jonas &amp; Eva Goiris</t>
  </si>
  <si>
    <t>Mon 22</t>
  </si>
  <si>
    <t>Tue 23</t>
  </si>
  <si>
    <t>Wed 24</t>
  </si>
  <si>
    <t>Georg Greiff</t>
  </si>
  <si>
    <t>Dipak Shah</t>
  </si>
  <si>
    <t>Toplis</t>
  </si>
  <si>
    <t>Steve &amp; Daz</t>
  </si>
  <si>
    <t>Gaby &amp; Gary</t>
  </si>
  <si>
    <t>Nadia &amp; Grant</t>
  </si>
  <si>
    <t>Luca &amp; Olympia Tramitz</t>
  </si>
  <si>
    <t>Tasha</t>
  </si>
  <si>
    <t>Laura &amp; Emmy Haunstein</t>
  </si>
  <si>
    <t>Adam &amp; Jasmine Abadi</t>
  </si>
  <si>
    <t>Gregor Mc Gregor</t>
  </si>
  <si>
    <t>Heraldsbay</t>
  </si>
  <si>
    <t>George, SA</t>
  </si>
  <si>
    <t>mattress fee of R600</t>
  </si>
  <si>
    <t>Marius Marx</t>
  </si>
  <si>
    <t>Cologne, GER</t>
  </si>
  <si>
    <t>Amount</t>
  </si>
  <si>
    <t>Handy Andy, Mr Min</t>
  </si>
  <si>
    <t>Tile cleaner, leather care</t>
  </si>
  <si>
    <t>extra 90</t>
  </si>
  <si>
    <t>mattress fee of R500</t>
  </si>
  <si>
    <t>money directly from guest for 1 night mattress fee</t>
  </si>
  <si>
    <t>Antwerp, BEL</t>
  </si>
  <si>
    <t>Lieve &amp; Georges Baken</t>
  </si>
  <si>
    <t>Gabrielle Fairhead</t>
  </si>
  <si>
    <t>Galway, IRE</t>
  </si>
  <si>
    <t>Nicola &amp; Eddie Kelly</t>
  </si>
  <si>
    <t>Philip &amp; Irene Coetzee</t>
  </si>
  <si>
    <t>Mon 29</t>
  </si>
  <si>
    <t>Tue 30</t>
  </si>
  <si>
    <t>Thomas &amp; Evelyn Herren</t>
  </si>
  <si>
    <t>Borcken, GER</t>
  </si>
  <si>
    <t>Cleveland, OH</t>
  </si>
  <si>
    <t xml:space="preserve">x </t>
  </si>
  <si>
    <t>May'24</t>
  </si>
  <si>
    <t>Elliot Nash</t>
  </si>
  <si>
    <t>Maaike Timmermans</t>
  </si>
  <si>
    <t>shared cleaning service with Laverne on 1 Feb due to quick check-in</t>
  </si>
  <si>
    <t>Feb</t>
  </si>
  <si>
    <t>refunded 800 to pay for dinner as cabin not ready</t>
  </si>
  <si>
    <t>refunded to client Sarah &amp; David on 22 Jan to pay for their dinner, as cabin not ready</t>
  </si>
  <si>
    <t>Cleaning</t>
  </si>
  <si>
    <t>see right</t>
  </si>
  <si>
    <t>Retainer</t>
  </si>
  <si>
    <t>Call-out Fee</t>
  </si>
  <si>
    <t>For irrigation installation 5:30 - 7:30</t>
  </si>
  <si>
    <t>Cleaning Fees</t>
  </si>
  <si>
    <t>see right block</t>
  </si>
  <si>
    <t>for Jan 2024</t>
  </si>
  <si>
    <t xml:space="preserve"> for Jan 2024</t>
  </si>
  <si>
    <t>Nkosinathi &amp; Sinazo Mabunu</t>
  </si>
  <si>
    <t>Keys cut</t>
  </si>
  <si>
    <t>Family &amp; Friends</t>
  </si>
  <si>
    <t>Fri 26</t>
  </si>
  <si>
    <t>Sat 27</t>
  </si>
  <si>
    <t>Thu 01</t>
  </si>
  <si>
    <t>Fri 02</t>
  </si>
  <si>
    <t>Sat 03</t>
  </si>
  <si>
    <t>Marguerite De Villiers</t>
  </si>
  <si>
    <t>Sun 04</t>
  </si>
  <si>
    <t>Tue 06</t>
  </si>
  <si>
    <t>Wed 07</t>
  </si>
  <si>
    <t>Thu 08</t>
  </si>
  <si>
    <t>Fri 09</t>
  </si>
  <si>
    <t>Natasha</t>
  </si>
  <si>
    <t>Liz Wyckoff</t>
  </si>
  <si>
    <t>W Springs, IL</t>
  </si>
  <si>
    <t>Mariette Du Plessis</t>
  </si>
  <si>
    <t>-</t>
  </si>
  <si>
    <t>Steve's card used to pay for our milks</t>
  </si>
  <si>
    <t>Steve's card used to pay for our tile cleaner</t>
  </si>
  <si>
    <t>AU</t>
  </si>
  <si>
    <t>Mon 12</t>
  </si>
  <si>
    <t>Tue 13</t>
  </si>
  <si>
    <t>Wed 14</t>
  </si>
  <si>
    <t>Thu 15</t>
  </si>
  <si>
    <t>Fri 16</t>
  </si>
  <si>
    <t>Lana, ITA</t>
  </si>
  <si>
    <t>Earnings</t>
  </si>
  <si>
    <t>Mang Fee</t>
  </si>
  <si>
    <t>Earning Ea</t>
  </si>
  <si>
    <t>Book.com</t>
  </si>
  <si>
    <t>LekkeSlaap</t>
  </si>
  <si>
    <t>Sewell</t>
  </si>
  <si>
    <t>Our cut</t>
  </si>
  <si>
    <t>Low (3,2,1)</t>
  </si>
  <si>
    <t>Carolin &amp; Laurine Langer</t>
  </si>
  <si>
    <t>Switzerland</t>
  </si>
  <si>
    <t>Cambridge, UK</t>
  </si>
  <si>
    <t>Christine &amp; Robert (Oliver)</t>
  </si>
  <si>
    <t>Comacchio, ITA</t>
  </si>
  <si>
    <t>ZA</t>
  </si>
  <si>
    <t>We paid for chocs for guests - didn't have Steve c/c with us</t>
  </si>
  <si>
    <t>Eliisa &amp; Darren Graney (Dachshund Pea)</t>
  </si>
  <si>
    <t>Kristin &amp; Michelle Stute</t>
  </si>
  <si>
    <t>(Emma) Nicolo &amp; Martine  Bernecoli</t>
  </si>
  <si>
    <t>Leonie &amp; Tobias Romme</t>
  </si>
  <si>
    <t>Mon 19</t>
  </si>
  <si>
    <t>Tue 20</t>
  </si>
  <si>
    <t>Wed 21</t>
  </si>
  <si>
    <t>Fri 23</t>
  </si>
  <si>
    <t>Sun 25</t>
  </si>
  <si>
    <t>René &amp; Sue Cellarius</t>
  </si>
  <si>
    <t>Elzeri La Grange</t>
  </si>
  <si>
    <t>Upington, SA</t>
  </si>
  <si>
    <t>Lj Annandale</t>
  </si>
  <si>
    <t>Bristol, UK</t>
  </si>
  <si>
    <t>Venlo, NETH</t>
  </si>
  <si>
    <t>Janneke &amp; Nicolaas Leijendekkers </t>
  </si>
  <si>
    <t>Utrecht, NED</t>
  </si>
  <si>
    <t>Lina Janezic</t>
  </si>
  <si>
    <t>air con</t>
  </si>
  <si>
    <t>baby….</t>
  </si>
  <si>
    <t>backyard</t>
  </si>
  <si>
    <t>baking sheet</t>
  </si>
  <si>
    <t>bbq utensils</t>
  </si>
  <si>
    <t>bathtub</t>
  </si>
  <si>
    <t>bbq grill</t>
  </si>
  <si>
    <t>beach access</t>
  </si>
  <si>
    <t>bed linen</t>
  </si>
  <si>
    <t>bikes</t>
  </si>
  <si>
    <t>blender</t>
  </si>
  <si>
    <t>body soap</t>
  </si>
  <si>
    <t>books</t>
  </si>
  <si>
    <t>ceiling fan</t>
  </si>
  <si>
    <t>children…</t>
  </si>
  <si>
    <t>cleaning products</t>
  </si>
  <si>
    <t>coffee maker</t>
  </si>
  <si>
    <t>cooking basics</t>
  </si>
  <si>
    <t>dining table</t>
  </si>
  <si>
    <t>dishwasher</t>
  </si>
  <si>
    <t>fireplace guards</t>
  </si>
  <si>
    <t>fire extinguisher</t>
  </si>
  <si>
    <t>fire pit</t>
  </si>
  <si>
    <t>first aid kit</t>
  </si>
  <si>
    <t>free parking on prem</t>
  </si>
  <si>
    <t>free street parking</t>
  </si>
  <si>
    <t>freezer</t>
  </si>
  <si>
    <t>hairdryer</t>
  </si>
  <si>
    <t>hangers</t>
  </si>
  <si>
    <t>iron</t>
  </si>
  <si>
    <t>microwave</t>
  </si>
  <si>
    <t>mini fridge</t>
  </si>
  <si>
    <t>outdoor dining area</t>
  </si>
  <si>
    <t>outdoor furniture</t>
  </si>
  <si>
    <t>outdoor playground</t>
  </si>
  <si>
    <t>outdoor shower</t>
  </si>
  <si>
    <t>oven</t>
  </si>
  <si>
    <t>patio or balcony</t>
  </si>
  <si>
    <t>ping pong</t>
  </si>
  <si>
    <t xml:space="preserve">pool </t>
  </si>
  <si>
    <t>portable fan</t>
  </si>
  <si>
    <t>refrigerator</t>
  </si>
  <si>
    <t>room dark shades</t>
  </si>
  <si>
    <t>safe</t>
  </si>
  <si>
    <t>sound system</t>
  </si>
  <si>
    <t xml:space="preserve">stove </t>
  </si>
  <si>
    <t>toaster</t>
  </si>
  <si>
    <t>tv</t>
  </si>
  <si>
    <t>wifi</t>
  </si>
  <si>
    <t>window guards</t>
  </si>
  <si>
    <t>wine glasses</t>
  </si>
  <si>
    <t>sun loungers</t>
  </si>
  <si>
    <t>board games</t>
  </si>
  <si>
    <t>Julie &amp; Will Oates (Jasmine)</t>
  </si>
  <si>
    <t>Maykel &amp; Dynph Van Miltenburg</t>
  </si>
  <si>
    <t>Via</t>
  </si>
  <si>
    <t>??</t>
  </si>
  <si>
    <t>Abnb</t>
  </si>
  <si>
    <t>Pvt</t>
  </si>
  <si>
    <t>Fam</t>
  </si>
  <si>
    <t>Bcom</t>
  </si>
  <si>
    <t xml:space="preserve">Stefan Lüdi &amp; Lara Romano </t>
  </si>
  <si>
    <t>Julie Girouard</t>
  </si>
  <si>
    <t>Montreal, CAN</t>
  </si>
  <si>
    <t>Mon 26</t>
  </si>
  <si>
    <t>Tue 27</t>
  </si>
  <si>
    <t>Wed 28</t>
  </si>
  <si>
    <t>Fri 1</t>
  </si>
  <si>
    <t>Sat 2</t>
  </si>
  <si>
    <t>Mokgadi Marobane</t>
  </si>
  <si>
    <t>PH</t>
  </si>
  <si>
    <t>Steve and Kirst</t>
  </si>
  <si>
    <t>Plett</t>
  </si>
  <si>
    <t>Trevor &amp; Sheila Nicols</t>
  </si>
  <si>
    <t>Herne, GER</t>
  </si>
  <si>
    <t>Call</t>
  </si>
  <si>
    <t>Francoise Groenewald</t>
  </si>
  <si>
    <t>Boy Ngubo</t>
  </si>
  <si>
    <t>Adriaan Lombard</t>
  </si>
  <si>
    <t>Mar</t>
  </si>
  <si>
    <t>Leanne Swiegers</t>
  </si>
  <si>
    <t>NEVER INVOICED</t>
  </si>
  <si>
    <t>for Feb 2024</t>
  </si>
  <si>
    <t xml:space="preserve"> for Feb 2024</t>
  </si>
  <si>
    <t>Maximilian Guhl</t>
  </si>
  <si>
    <t>Ellen &amp; Kevin Loechte</t>
  </si>
  <si>
    <t>Mon 4</t>
  </si>
  <si>
    <t>Wed 6</t>
  </si>
  <si>
    <t>paid</t>
  </si>
  <si>
    <t>Nadia &amp; Grant Dudley</t>
  </si>
  <si>
    <t>CPT</t>
  </si>
  <si>
    <t>Grant's Family</t>
  </si>
  <si>
    <t xml:space="preserve">paid </t>
  </si>
  <si>
    <t>Agri</t>
  </si>
  <si>
    <t>2x10kg fertilizer</t>
  </si>
  <si>
    <t xml:space="preserve"> -</t>
  </si>
  <si>
    <t>Bev &amp; Ioan Halmshaw</t>
  </si>
  <si>
    <t>invoiced 7 Mar</t>
  </si>
  <si>
    <t>Marie &amp; Gavin Taylor</t>
  </si>
  <si>
    <t>Jun'24</t>
  </si>
  <si>
    <t>Mona &amp; Carlotta Bougherf</t>
  </si>
  <si>
    <t>Thu 14</t>
  </si>
  <si>
    <t>Fri 15</t>
  </si>
  <si>
    <t>CWP Paid</t>
  </si>
  <si>
    <t>Randburg, SA</t>
  </si>
  <si>
    <t>The Clean Shop</t>
  </si>
  <si>
    <t>2x mops</t>
  </si>
  <si>
    <t>Floris &amp; Patricia Oijevaar</t>
  </si>
  <si>
    <t>Lazi</t>
  </si>
  <si>
    <t>Mid (3)</t>
  </si>
  <si>
    <t>High (5)</t>
  </si>
  <si>
    <t>Mark Johnson's Brother</t>
  </si>
  <si>
    <t>Price AirBnb</t>
  </si>
  <si>
    <t>Tash</t>
  </si>
  <si>
    <t>Guiseppe &amp; Alex Pisasale</t>
  </si>
  <si>
    <t>Brisbane, AUS</t>
  </si>
  <si>
    <t>Martin Harmse</t>
  </si>
  <si>
    <t>Wed 20</t>
  </si>
  <si>
    <t>Sat 23</t>
  </si>
  <si>
    <t>Sun 17</t>
  </si>
  <si>
    <t>LekS</t>
  </si>
  <si>
    <t>Milkwood Framing</t>
  </si>
  <si>
    <t>4x white bath towels, 6x grey facecloths, dishliquid dispenser</t>
  </si>
  <si>
    <t xml:space="preserve">Agri </t>
  </si>
  <si>
    <t>hosepipe</t>
  </si>
  <si>
    <t>reframing picture</t>
  </si>
  <si>
    <t>Superspar</t>
  </si>
  <si>
    <t>toilet paper, toweling tissue, chocolates</t>
  </si>
  <si>
    <t>Pollie Botha</t>
  </si>
  <si>
    <t>Catelijne Boshouwers</t>
  </si>
  <si>
    <t>Caltex</t>
  </si>
  <si>
    <t>10 litres fuel</t>
  </si>
  <si>
    <t>coffee, sugar</t>
  </si>
  <si>
    <t>Holger  &amp; Katharina Sternberg</t>
  </si>
  <si>
    <t>Thomas &amp; Ila Magne</t>
  </si>
  <si>
    <t>Sprockhoevel,GER</t>
  </si>
  <si>
    <t>extra cleaning day</t>
  </si>
  <si>
    <t>2 duvet,</t>
  </si>
  <si>
    <t>Mon 25</t>
  </si>
  <si>
    <t>Thu 28</t>
  </si>
  <si>
    <t>as is</t>
  </si>
  <si>
    <t>yes</t>
  </si>
  <si>
    <t>Robberg</t>
  </si>
  <si>
    <t>Stacy</t>
  </si>
  <si>
    <t>Sameer &amp; Fareed Gani</t>
  </si>
  <si>
    <t>Checkers</t>
  </si>
  <si>
    <t>pegs</t>
  </si>
  <si>
    <t>clothes horse</t>
  </si>
  <si>
    <t>We paid for consumables - didn't have Steve c/c with us</t>
  </si>
  <si>
    <t>1st Electrical Supply</t>
  </si>
  <si>
    <t>adapter for vacuum cleaner</t>
  </si>
  <si>
    <t>Tahlia Fawdry</t>
  </si>
  <si>
    <t>Roland &amp; Evelin Kretschmer</t>
  </si>
  <si>
    <t>Mon 1</t>
  </si>
  <si>
    <t>Tue 2</t>
  </si>
  <si>
    <t>Thu 4</t>
  </si>
  <si>
    <t>Sun 31</t>
  </si>
  <si>
    <r>
      <t xml:space="preserve">GER </t>
    </r>
    <r>
      <rPr>
        <sz val="9"/>
        <color theme="1"/>
        <rFont val="Calibri"/>
        <family val="2"/>
        <scheme val="minor"/>
      </rPr>
      <t>(+ 1n cash extra)</t>
    </r>
  </si>
  <si>
    <t xml:space="preserve"> invoice BR0003 on 1 Apr 2024</t>
  </si>
  <si>
    <t>(pub hol)</t>
  </si>
  <si>
    <t>Pollie Botha 28-31 Mar 24 @ 1950 for 3 nights = R5850 - R1009.13 (LS com) =</t>
  </si>
  <si>
    <t xml:space="preserve"> R4840.87 our 20% = R968.17</t>
  </si>
  <si>
    <t>Booking .com</t>
  </si>
  <si>
    <t xml:space="preserve"> R6266.13 our 20% = R1253.23</t>
  </si>
  <si>
    <t>Martin Harmse 22-26 Mar 24 @ 1950 for 4 nights = R7800 - R1533.87 (BC com) =</t>
  </si>
  <si>
    <t>Andre Russouw</t>
  </si>
  <si>
    <t>HH @ 5%</t>
  </si>
  <si>
    <t>Sue's mates</t>
  </si>
  <si>
    <t>CT @ 18%</t>
  </si>
  <si>
    <t>Cousin Nick</t>
  </si>
  <si>
    <t>RB @ 5%</t>
  </si>
  <si>
    <t>BR0001</t>
  </si>
  <si>
    <t>Invoice #</t>
  </si>
  <si>
    <t>Details</t>
  </si>
  <si>
    <t>Percent</t>
  </si>
  <si>
    <t>BR0002</t>
  </si>
  <si>
    <t>Christine &amp; Robert</t>
  </si>
  <si>
    <t>RB @ 10%</t>
  </si>
  <si>
    <t>BR0003</t>
  </si>
  <si>
    <t>Floris Oijevaar 1</t>
  </si>
  <si>
    <t>Floris Oijevaar 2</t>
  </si>
  <si>
    <t>Floris Oijevaar 3</t>
  </si>
  <si>
    <t>Mark's Brother</t>
  </si>
  <si>
    <t>RB @ 18%</t>
  </si>
  <si>
    <t>Rolling recon</t>
  </si>
  <si>
    <t>as per right column</t>
  </si>
  <si>
    <t>Gardening</t>
  </si>
  <si>
    <t>pd him 25 Mar</t>
  </si>
  <si>
    <t>for Mar 2024</t>
  </si>
  <si>
    <t xml:space="preserve"> for Mar 2024</t>
  </si>
  <si>
    <t>no</t>
  </si>
  <si>
    <t>b+a</t>
  </si>
  <si>
    <t>Antonette &amp; Chris Walters</t>
  </si>
  <si>
    <t>Apr</t>
  </si>
  <si>
    <t>Friends</t>
  </si>
  <si>
    <t>b/a</t>
  </si>
  <si>
    <t>Noëmi &amp; Ami Weber</t>
  </si>
  <si>
    <t>Line was at Post Office to collect parcel, his card didn't work, used Steve's</t>
  </si>
  <si>
    <t>Pepper</t>
  </si>
  <si>
    <t>5l handwash refill</t>
  </si>
  <si>
    <t>Pax</t>
  </si>
  <si>
    <t>Sina &amp; Johannes Osmanovic</t>
  </si>
  <si>
    <t>Nikoline &amp; Carsten Von Nieding</t>
  </si>
  <si>
    <t>Mathew &amp; Kim Truscott</t>
  </si>
  <si>
    <t>Jul'24</t>
  </si>
  <si>
    <t>Marcel &amp; Saskia Diekhöner</t>
  </si>
  <si>
    <t>Aug'24</t>
  </si>
  <si>
    <t>Sep'24</t>
  </si>
  <si>
    <t>Anna-Lena Brettschneider</t>
  </si>
  <si>
    <t>Oct'24</t>
  </si>
  <si>
    <t>Nov'24</t>
  </si>
  <si>
    <t>Debbie Maurer</t>
  </si>
  <si>
    <t>Manual &amp; Lisa Innerhofer + baby</t>
  </si>
  <si>
    <t>Dec'24</t>
  </si>
  <si>
    <t>Abigail Clifford</t>
  </si>
  <si>
    <t>Johane Cilliers</t>
  </si>
  <si>
    <t>Jan'25</t>
  </si>
  <si>
    <t>Pam Hayward + Rafa (Shibu terrier)</t>
  </si>
  <si>
    <t>Natalie Kolbe</t>
  </si>
  <si>
    <t>Chris Boshoff</t>
  </si>
  <si>
    <t>Adrian Morrissey</t>
  </si>
  <si>
    <t>Kate Maclachlan</t>
  </si>
  <si>
    <t>Deirdre Cijffers</t>
  </si>
  <si>
    <t>Ash Gray</t>
  </si>
  <si>
    <t>Sue Pickin and Fam</t>
  </si>
  <si>
    <t>Feb'25</t>
  </si>
  <si>
    <r>
      <t xml:space="preserve">Irmtrud Felten </t>
    </r>
    <r>
      <rPr>
        <sz val="11"/>
        <color rgb="FFFF0000"/>
        <rFont val="Calibri"/>
        <family val="2"/>
        <scheme val="minor"/>
      </rPr>
      <t>-10% disc</t>
    </r>
  </si>
  <si>
    <t>For instant pay to Natasha as I forgot to send Steve the wages for her</t>
  </si>
  <si>
    <t>Robyn &amp; Dylan Hodson</t>
  </si>
  <si>
    <t>October '23</t>
  </si>
  <si>
    <t>November '23</t>
  </si>
  <si>
    <t>December '23</t>
  </si>
  <si>
    <t>January '24</t>
  </si>
  <si>
    <t>February '24</t>
  </si>
  <si>
    <t>March '24</t>
  </si>
  <si>
    <t>April '24</t>
  </si>
  <si>
    <t>Simon &amp; Erika</t>
  </si>
  <si>
    <t>balance due</t>
  </si>
  <si>
    <t>Peter Wallis</t>
  </si>
  <si>
    <t>Saskia &amp; Josh Hern</t>
  </si>
  <si>
    <t>Jordan &amp; Sarry Barry</t>
  </si>
  <si>
    <t>Marije De Vos</t>
  </si>
  <si>
    <t>Gouda, NETH</t>
  </si>
  <si>
    <t>Thu 18</t>
  </si>
  <si>
    <t>Fri 19</t>
  </si>
  <si>
    <t>garden broom</t>
  </si>
  <si>
    <t>Luca Dalla Vecchia</t>
  </si>
  <si>
    <t>Thu 25</t>
  </si>
  <si>
    <t>Albert Gooding</t>
  </si>
  <si>
    <t>Boksburg, SA</t>
  </si>
  <si>
    <t>one payment at Clean Shop, half the goods for us, paid by Steve's card</t>
  </si>
  <si>
    <t>cremora,coffee,tea,sugar,chocs</t>
  </si>
  <si>
    <t>3xbody wash, 1xdishwash liquid</t>
  </si>
  <si>
    <t>Rebecca Van Hoepen</t>
  </si>
  <si>
    <t>pd him 25 Apr</t>
  </si>
  <si>
    <t>7 Hill House</t>
  </si>
  <si>
    <t xml:space="preserve">Manual </t>
  </si>
  <si>
    <t>Liezel Toit</t>
  </si>
  <si>
    <t>D</t>
  </si>
  <si>
    <t>d</t>
  </si>
  <si>
    <t>Lena Wanninger</t>
  </si>
  <si>
    <t>Yannick &amp; Kirstly Dorn</t>
  </si>
  <si>
    <t>Fri 3</t>
  </si>
  <si>
    <t>Simon &amp; Caz Camerer</t>
  </si>
  <si>
    <t>Iroko House</t>
  </si>
  <si>
    <t>Kevin Cass &amp; Grazia Cass</t>
  </si>
  <si>
    <t>BR0004</t>
  </si>
  <si>
    <t>Trevor Nicols</t>
  </si>
  <si>
    <t>HH @ 10%</t>
  </si>
  <si>
    <t>Simon &amp; Erica</t>
  </si>
  <si>
    <t>WS @ 18%</t>
  </si>
  <si>
    <t xml:space="preserve">Painting </t>
  </si>
  <si>
    <t>paint &amp; painting of the whole room</t>
  </si>
  <si>
    <t>20% of deposit paid for Dec rental 29/12-04/01</t>
  </si>
  <si>
    <t>Sub total</t>
  </si>
  <si>
    <t>2 days to type up / lay out</t>
  </si>
  <si>
    <t>for Apr 2024</t>
  </si>
  <si>
    <t>2x cushion covers, 2x small table cloths for main bed, 1x large tablecloth for big glass table</t>
  </si>
  <si>
    <t>Dishwash liquid pump, 5l dishwash refill, 5l hand wash refill, 2 toilet spray pump, 1 toilet spray refill</t>
  </si>
  <si>
    <t>Month</t>
  </si>
  <si>
    <t>Cleaning wages</t>
  </si>
  <si>
    <t>Gardening wages</t>
  </si>
  <si>
    <t>featherduster, bright white</t>
  </si>
  <si>
    <t xml:space="preserve"> for Apr 2024</t>
  </si>
  <si>
    <t>May</t>
  </si>
  <si>
    <t>Sasha &amp; Martin Fourie (Karma)</t>
  </si>
  <si>
    <t>sugar for cabins bought on our Checkers Delivery order</t>
  </si>
  <si>
    <t>food props for photoshoot</t>
  </si>
  <si>
    <t>Mon 6</t>
  </si>
  <si>
    <t>WRB</t>
  </si>
  <si>
    <t>Hills 7</t>
  </si>
  <si>
    <t>Home Express</t>
  </si>
  <si>
    <t>tealight candles</t>
  </si>
  <si>
    <t>HH7</t>
  </si>
  <si>
    <t>HP9</t>
  </si>
  <si>
    <t>fam</t>
  </si>
  <si>
    <t>Jeanne &amp; Marc</t>
  </si>
  <si>
    <t>Scott Rodwell</t>
  </si>
  <si>
    <t>Min per</t>
  </si>
  <si>
    <t>night</t>
  </si>
  <si>
    <t>Minimum</t>
  </si>
  <si>
    <t>stays</t>
  </si>
  <si>
    <t>per night</t>
  </si>
  <si>
    <t>Panorama</t>
  </si>
  <si>
    <t>Advance</t>
  </si>
  <si>
    <t>Booking</t>
  </si>
  <si>
    <t>Notice</t>
  </si>
  <si>
    <t>Time</t>
  </si>
  <si>
    <t>in days</t>
  </si>
  <si>
    <t>Jeanne &amp; Marc Havenga</t>
  </si>
  <si>
    <t>15/12-15/1</t>
  </si>
  <si>
    <t>1/5-30/9</t>
  </si>
  <si>
    <t>16/1-30/4</t>
  </si>
  <si>
    <t>Kira &amp; Eva</t>
  </si>
  <si>
    <t>Wed 15</t>
  </si>
  <si>
    <t>Book</t>
  </si>
  <si>
    <t>Osama Alghamdi</t>
  </si>
  <si>
    <t>overseas</t>
  </si>
  <si>
    <t>مساعد التركي</t>
  </si>
  <si>
    <t>Google</t>
  </si>
  <si>
    <t>Info</t>
  </si>
  <si>
    <t>Pics</t>
  </si>
  <si>
    <t>Loaded</t>
  </si>
  <si>
    <t>n/a</t>
  </si>
  <si>
    <t>Marcus Mueller</t>
  </si>
  <si>
    <t>Aj, Shaun, Gareth &amp; friends</t>
  </si>
  <si>
    <t>Jamie Herholdt</t>
  </si>
  <si>
    <t>Tremayne Calitz</t>
  </si>
  <si>
    <t>Benoni, SA</t>
  </si>
  <si>
    <t>Thu 23</t>
  </si>
  <si>
    <t>Where</t>
  </si>
  <si>
    <t>t/paper, washing powder</t>
  </si>
  <si>
    <t>Instant</t>
  </si>
  <si>
    <t>QR</t>
  </si>
  <si>
    <t>Code</t>
  </si>
  <si>
    <t>Exaverio Chikwene</t>
  </si>
  <si>
    <t>Clicks</t>
  </si>
  <si>
    <t>heater, hair dryer, first aid kit</t>
  </si>
  <si>
    <t>Jessie Danyi</t>
  </si>
  <si>
    <t>Outlayed by Steve</t>
  </si>
  <si>
    <t>colander for CT bought on our card</t>
  </si>
  <si>
    <t>payment to Kes for day's work at HH moving Andre's things and tidying 22 May</t>
  </si>
  <si>
    <t>1/10-14/12</t>
  </si>
  <si>
    <t>Nick Ndhlovu</t>
  </si>
  <si>
    <t>Chartwell, SA</t>
  </si>
  <si>
    <t>t/do</t>
  </si>
  <si>
    <t>Carla van der Merwe</t>
  </si>
  <si>
    <t>Botswana</t>
  </si>
  <si>
    <t>Julia Haberkern</t>
  </si>
  <si>
    <t>Vern</t>
  </si>
  <si>
    <t>Mar'25</t>
  </si>
  <si>
    <t>print QR code</t>
  </si>
  <si>
    <t>iron, adapter</t>
  </si>
  <si>
    <t>Hobbies &amp; Hardw</t>
  </si>
  <si>
    <t>keys cut</t>
  </si>
  <si>
    <t>Plett Build It</t>
  </si>
  <si>
    <t>nr 8 numeral</t>
  </si>
  <si>
    <t>keys for front gate</t>
  </si>
  <si>
    <t>Nadine &amp; Manuel Seeger</t>
  </si>
  <si>
    <t>Simone Evenhuis</t>
  </si>
  <si>
    <t>Leiden, NED</t>
  </si>
  <si>
    <t>Kath &amp; Steve Hubbard</t>
  </si>
  <si>
    <t>Manchester, UK</t>
  </si>
  <si>
    <t>May'2024</t>
  </si>
  <si>
    <t>pd him 24 May</t>
  </si>
  <si>
    <t>for May 2024</t>
  </si>
  <si>
    <t xml:space="preserve"> for May 2024</t>
  </si>
  <si>
    <t>Grant's Sister &amp; Father</t>
  </si>
  <si>
    <t>Shelley Traverso</t>
  </si>
  <si>
    <t>Faheem Khan</t>
  </si>
  <si>
    <t>biscuits and chocolates outlayed by us for cabins</t>
  </si>
  <si>
    <t>Jun</t>
  </si>
  <si>
    <t>Wed 1</t>
  </si>
  <si>
    <t>Anastasia Moraites</t>
  </si>
  <si>
    <t>Hannah &amp; Alex Ponimayer</t>
  </si>
  <si>
    <t>Austria</t>
  </si>
  <si>
    <t>Tue 11</t>
  </si>
  <si>
    <t>Wed 12</t>
  </si>
  <si>
    <t>Thu 13</t>
  </si>
  <si>
    <t>Mon 10</t>
  </si>
  <si>
    <t>Kealan Chainee</t>
  </si>
  <si>
    <t>CPT, SA</t>
  </si>
  <si>
    <t>food for Lazi</t>
  </si>
  <si>
    <t>Pet Pool &amp; Home</t>
  </si>
  <si>
    <t>creepy adapter</t>
  </si>
  <si>
    <t>window squeegee</t>
  </si>
  <si>
    <t>Protea</t>
  </si>
  <si>
    <t>print manual, advertise on FB page</t>
  </si>
  <si>
    <t>Wood Supplier</t>
  </si>
  <si>
    <t>wood &amp; packing</t>
  </si>
  <si>
    <t>we bought wood to stock farmhouse</t>
  </si>
  <si>
    <t>Antonia &amp; Angelo Wesolowski</t>
  </si>
  <si>
    <t>Garrett Langnese</t>
  </si>
  <si>
    <t>Caz &amp; Simon</t>
  </si>
  <si>
    <t>Takealot</t>
  </si>
  <si>
    <t>Wed 19</t>
  </si>
  <si>
    <t>Thu 20</t>
  </si>
  <si>
    <t>LATER</t>
  </si>
  <si>
    <t>recheck all with Line</t>
  </si>
  <si>
    <t>redo manuals on canva</t>
  </si>
  <si>
    <t xml:space="preserve">white vinegar </t>
  </si>
  <si>
    <t>Paul Whitburn</t>
  </si>
  <si>
    <t>Emma Wilmans</t>
  </si>
  <si>
    <t>Gardner</t>
  </si>
  <si>
    <t>Anthony Watson</t>
  </si>
  <si>
    <t>Client</t>
  </si>
  <si>
    <t>Prep</t>
  </si>
  <si>
    <t>Address</t>
  </si>
  <si>
    <t>Jeanne &amp; Marc-Steven Havinga</t>
  </si>
  <si>
    <t>7 Main Street</t>
  </si>
  <si>
    <t>Place</t>
  </si>
  <si>
    <t>Name</t>
  </si>
  <si>
    <t>Hill Sea-View Apartment</t>
  </si>
  <si>
    <t>Bedr</t>
  </si>
  <si>
    <t>Bathr</t>
  </si>
  <si>
    <t>fireplace</t>
  </si>
  <si>
    <t>heaters</t>
  </si>
  <si>
    <t>LED lights</t>
  </si>
  <si>
    <t>inverter</t>
  </si>
  <si>
    <t>kettle</t>
  </si>
  <si>
    <t>drying rack clothes</t>
  </si>
  <si>
    <t>laundromat</t>
  </si>
  <si>
    <t>washing mach</t>
  </si>
  <si>
    <t>tumble dryer</t>
  </si>
  <si>
    <t>towels</t>
  </si>
  <si>
    <t>beach towels</t>
  </si>
  <si>
    <t>umbrella</t>
  </si>
  <si>
    <t>pets….</t>
  </si>
  <si>
    <t>coffee,tea,sug</t>
  </si>
  <si>
    <t>work desk</t>
  </si>
  <si>
    <t>dishes, cutlery</t>
  </si>
  <si>
    <t>blankets</t>
  </si>
  <si>
    <t>cleaning during stay</t>
  </si>
  <si>
    <t>Gate Code</t>
  </si>
  <si>
    <t>Wifi Name</t>
  </si>
  <si>
    <t>Password</t>
  </si>
  <si>
    <t>Bank</t>
  </si>
  <si>
    <t>Acc Holder</t>
  </si>
  <si>
    <t>Type</t>
  </si>
  <si>
    <t>Acc No</t>
  </si>
  <si>
    <t>Florian &amp; Gina Winkler</t>
  </si>
  <si>
    <t>Wolfsburg, GER</t>
  </si>
  <si>
    <t>a card bought with Steve's card when the braai cleaner was bought</t>
  </si>
  <si>
    <t>Cleaner</t>
  </si>
  <si>
    <t>Contact</t>
  </si>
  <si>
    <t>When</t>
  </si>
  <si>
    <t>J = 082 378 9102</t>
  </si>
  <si>
    <t>S = 082 451 0053</t>
  </si>
  <si>
    <t>D = 063 685 3901</t>
  </si>
  <si>
    <t>Clifftop Cabin</t>
  </si>
  <si>
    <t>Wildside Cabin</t>
  </si>
  <si>
    <t>Rondebos Retreat</t>
  </si>
  <si>
    <t>Portal</t>
  </si>
  <si>
    <t>AirBnB</t>
  </si>
  <si>
    <t>Booking.com</t>
  </si>
  <si>
    <t>Apartment</t>
  </si>
  <si>
    <t>House</t>
  </si>
  <si>
    <t>Hill Penthouse Plett</t>
  </si>
  <si>
    <t>9 Hill House</t>
  </si>
  <si>
    <t>Size</t>
  </si>
  <si>
    <t>1:Q,2:D,3:2S</t>
  </si>
  <si>
    <t>Bed Sizes</t>
  </si>
  <si>
    <t>300m2</t>
  </si>
  <si>
    <t>A/C</t>
  </si>
  <si>
    <t>Fan</t>
  </si>
  <si>
    <t>Heat</t>
  </si>
  <si>
    <t>TV</t>
  </si>
  <si>
    <t>BBQ</t>
  </si>
  <si>
    <t>Iron</t>
  </si>
  <si>
    <t>H2O</t>
  </si>
  <si>
    <t>Bisc</t>
  </si>
  <si>
    <t>Desk</t>
  </si>
  <si>
    <t>Inv</t>
  </si>
  <si>
    <t>Pets</t>
  </si>
  <si>
    <t>Inst</t>
  </si>
  <si>
    <t>Stephen &amp; Darren Brown</t>
  </si>
  <si>
    <t>S: 19/08/66</t>
  </si>
  <si>
    <t>Mon 24</t>
  </si>
  <si>
    <t>Tue 25</t>
  </si>
  <si>
    <t>Wed 26</t>
  </si>
  <si>
    <t>Thu 27</t>
  </si>
  <si>
    <t>Us</t>
  </si>
  <si>
    <t>add catalog to WhatsApp</t>
  </si>
  <si>
    <t>Relax@Toplis</t>
  </si>
  <si>
    <t>8 Toplis</t>
  </si>
  <si>
    <t>2ea</t>
  </si>
  <si>
    <t>Milk</t>
  </si>
  <si>
    <t>Rusk</t>
  </si>
  <si>
    <t>pd him 25 Jun</t>
  </si>
  <si>
    <t>Sanne &amp; Niels Scholten</t>
  </si>
  <si>
    <t>Leigh Cooper</t>
  </si>
  <si>
    <t>Knysna, SA</t>
  </si>
  <si>
    <t>Emily Porter (via Vanessa)</t>
  </si>
  <si>
    <t>Andrew, Sandy, James Sparks (via Steve)</t>
  </si>
  <si>
    <t>STD</t>
  </si>
  <si>
    <t>inv RB003</t>
  </si>
  <si>
    <t>Clive Battell</t>
  </si>
  <si>
    <t>Wifi</t>
  </si>
  <si>
    <t>inv HH0001</t>
  </si>
  <si>
    <t xml:space="preserve"> 083 448 7401</t>
  </si>
  <si>
    <t>milk</t>
  </si>
  <si>
    <t>Pick 'n Pay</t>
  </si>
  <si>
    <t>guest welcome chocolates</t>
  </si>
  <si>
    <t>waters,milk,rusks</t>
  </si>
  <si>
    <t>coffee,sugar,toiletpaper,adapter</t>
  </si>
  <si>
    <t>coffee,sugar</t>
  </si>
  <si>
    <t>The Print Shop</t>
  </si>
  <si>
    <t>printing,laminate books x2</t>
  </si>
  <si>
    <t>printing,laminate book</t>
  </si>
  <si>
    <t xml:space="preserve">some reprinting and laminating of the books paid via eft </t>
  </si>
  <si>
    <t>Bodywash</t>
  </si>
  <si>
    <t>body wash</t>
  </si>
  <si>
    <t>Jun'2024</t>
  </si>
  <si>
    <t>BR0005</t>
  </si>
  <si>
    <t>Emily Porter</t>
  </si>
  <si>
    <t>deposit: 14-18 Nov</t>
  </si>
  <si>
    <t xml:space="preserve"> invoice BR0005 on 1 Jul 2024</t>
  </si>
  <si>
    <t>for June 2024</t>
  </si>
  <si>
    <t>Private Deposit</t>
  </si>
  <si>
    <t>Emma Watson 28/2-4/3 @ 20%</t>
  </si>
  <si>
    <t xml:space="preserve"> for Jun 2024</t>
  </si>
  <si>
    <t>Alex van Dyk</t>
  </si>
  <si>
    <t>Farm B12, Roodeplaat</t>
  </si>
  <si>
    <t>Cabin 1</t>
  </si>
  <si>
    <t>48m2</t>
  </si>
  <si>
    <t>Built</t>
  </si>
  <si>
    <t>YES</t>
  </si>
  <si>
    <t>Listing owner</t>
  </si>
  <si>
    <t>Firm</t>
  </si>
  <si>
    <t>&gt; 30 days</t>
  </si>
  <si>
    <t>7-30 days</t>
  </si>
  <si>
    <t>https://airbnb.com/h/clifftop-luxury-cabin-plett</t>
  </si>
  <si>
    <t>Custom Link</t>
  </si>
  <si>
    <t>lockbox</t>
  </si>
  <si>
    <t>halcyon40</t>
  </si>
  <si>
    <t>12m</t>
  </si>
  <si>
    <t>Stephen SG Brown</t>
  </si>
  <si>
    <t>Current</t>
  </si>
  <si>
    <t>1012 124 5290</t>
  </si>
  <si>
    <t>051001</t>
  </si>
  <si>
    <t>Zip</t>
  </si>
  <si>
    <t>SBZAZAJJ</t>
  </si>
  <si>
    <t>CW Split</t>
  </si>
  <si>
    <t>073 875 9322</t>
  </si>
  <si>
    <t>ad hoc</t>
  </si>
  <si>
    <t>Amos</t>
  </si>
  <si>
    <t>082 097 4120</t>
  </si>
  <si>
    <t>Cabin 2</t>
  </si>
  <si>
    <t>42m2</t>
  </si>
  <si>
    <t>https://airbnb.com/h/wildside-escape-luxury-cabin-plett</t>
  </si>
  <si>
    <t>rage</t>
  </si>
  <si>
    <t>Farmhouse</t>
  </si>
  <si>
    <t>1Q</t>
  </si>
  <si>
    <t>1:K,2:Q,3:2S,4:sofa</t>
  </si>
  <si>
    <t>150m2</t>
  </si>
  <si>
    <t>2 b+a</t>
  </si>
  <si>
    <t>in=out</t>
  </si>
  <si>
    <t>Jul</t>
  </si>
  <si>
    <t>inv RB004 - to pay 20 Aug</t>
  </si>
  <si>
    <t>https://airbnb.com/h/rondebos-countryside-farmhouse-plett</t>
  </si>
  <si>
    <t>Kecia</t>
  </si>
  <si>
    <t>add b+a</t>
  </si>
  <si>
    <t>0-30 days</t>
  </si>
  <si>
    <t>Flex</t>
  </si>
  <si>
    <t>Tue 9</t>
  </si>
  <si>
    <t>Dennis Geyer</t>
  </si>
  <si>
    <t>Mueltal, GER</t>
  </si>
  <si>
    <t>Landi Nienaber</t>
  </si>
  <si>
    <t>Trisha Agrawal</t>
  </si>
  <si>
    <t>Louisa Schulz</t>
  </si>
  <si>
    <t>pool floater</t>
  </si>
  <si>
    <t>Melville Spar</t>
  </si>
  <si>
    <t>HTH Granules</t>
  </si>
  <si>
    <t>Call out fee</t>
  </si>
  <si>
    <t>for wood, pool</t>
  </si>
  <si>
    <t>provisional booking</t>
  </si>
  <si>
    <t>Tarryn du Toit</t>
  </si>
  <si>
    <t>Photos taken</t>
  </si>
  <si>
    <t>Redo Photos</t>
  </si>
  <si>
    <t>Wash Mach</t>
  </si>
  <si>
    <t>Tum Dry</t>
  </si>
  <si>
    <t>Dish Wash</t>
  </si>
  <si>
    <t>Fire Place</t>
  </si>
  <si>
    <t>Fire Ext</t>
  </si>
  <si>
    <t>First Aid</t>
  </si>
  <si>
    <t>Mic Wave</t>
  </si>
  <si>
    <t>Hair Dry</t>
  </si>
  <si>
    <t>Cof Tea</t>
  </si>
  <si>
    <t>Char/Wood</t>
  </si>
  <si>
    <t>Bod Wash</t>
  </si>
  <si>
    <t>Keys Cut</t>
  </si>
  <si>
    <t>Check-in Method</t>
  </si>
  <si>
    <t>Min Stay</t>
  </si>
  <si>
    <t>1Dec-15Jan HIGH (5)</t>
  </si>
  <si>
    <t>16Jan-15May 16Oct-30Nov MID (3)</t>
  </si>
  <si>
    <t>16May-15Oct LOW (3,2,1)</t>
  </si>
  <si>
    <t>Max Stay</t>
  </si>
  <si>
    <t>Advanc Notice</t>
  </si>
  <si>
    <t>Prep Time</t>
  </si>
  <si>
    <t>Cal Win- dow</t>
  </si>
  <si>
    <t>Cancel Policy</t>
  </si>
  <si>
    <t>100% Refund</t>
  </si>
  <si>
    <t>50% Refund</t>
  </si>
  <si>
    <t>Link to Airbnb</t>
  </si>
  <si>
    <t>Link to LekkSl</t>
  </si>
  <si>
    <t>Link to Bk.com</t>
  </si>
  <si>
    <t>Link to diary</t>
  </si>
  <si>
    <t>Photos sorted</t>
  </si>
  <si>
    <t>QR Code</t>
  </si>
  <si>
    <t>Adv owner to connect</t>
  </si>
  <si>
    <t>Booklet printed</t>
  </si>
  <si>
    <t>Loaded on CW</t>
  </si>
  <si>
    <t>Grounds Man</t>
  </si>
  <si>
    <t>Hill Sea-View</t>
  </si>
  <si>
    <t xml:space="preserve"> - </t>
  </si>
  <si>
    <t>Sep'25</t>
  </si>
  <si>
    <t xml:space="preserve">LekkeSlaap </t>
  </si>
  <si>
    <t>(TravelGround,Viya)</t>
  </si>
  <si>
    <t>DSTV</t>
  </si>
  <si>
    <t>Kevin Mckenna</t>
  </si>
  <si>
    <t>Apr'25</t>
  </si>
  <si>
    <t>One Shot</t>
  </si>
  <si>
    <t>Prepayment</t>
  </si>
  <si>
    <t xml:space="preserve"> @ home</t>
  </si>
  <si>
    <t>1x KXL fitted sheet</t>
  </si>
  <si>
    <t>card declined, needed new linen set for CT</t>
  </si>
  <si>
    <t>pg3</t>
  </si>
  <si>
    <t>Abdulrahman Alothaim</t>
  </si>
  <si>
    <t>Riyadh, Saudi A</t>
  </si>
  <si>
    <t>Samantha Rabine, Carla, Evelyn</t>
  </si>
  <si>
    <t>Seoul, South Korea</t>
  </si>
  <si>
    <t>weir, timer, backwash</t>
  </si>
  <si>
    <t>Dülmen, GER</t>
  </si>
  <si>
    <t>Marius Lewe</t>
  </si>
  <si>
    <t>(1986)</t>
  </si>
  <si>
    <t>Mod</t>
  </si>
  <si>
    <t>way</t>
  </si>
  <si>
    <t>check-in</t>
  </si>
  <si>
    <t>*3*1234</t>
  </si>
  <si>
    <t>Brown</t>
  </si>
  <si>
    <t>haleyon34#</t>
  </si>
  <si>
    <t>https://airbnb.com/h/hill-penthouse-plett</t>
  </si>
  <si>
    <t>darrenbrown9710@gmail.com</t>
  </si>
  <si>
    <t>PW = 19Arsenal97</t>
  </si>
  <si>
    <t>5 Matjesfontein Estate</t>
  </si>
  <si>
    <t>Keurbooms River, Plett</t>
  </si>
  <si>
    <t>1012 124 5975</t>
  </si>
  <si>
    <t>via the Trust</t>
  </si>
  <si>
    <t>split 88/12 with Daz</t>
  </si>
  <si>
    <t>660819 5071 083</t>
  </si>
  <si>
    <t>971001 5130 086</t>
  </si>
  <si>
    <t>ad hoc, Wed</t>
  </si>
  <si>
    <t>Stafford</t>
  </si>
  <si>
    <t>073 336 1211</t>
  </si>
  <si>
    <t>outside</t>
  </si>
  <si>
    <t>Darren Brown</t>
  </si>
  <si>
    <r>
      <t xml:space="preserve">Rondebos </t>
    </r>
    <r>
      <rPr>
        <sz val="8"/>
        <color theme="1"/>
        <rFont val="Calibri"/>
        <family val="2"/>
        <scheme val="minor"/>
      </rPr>
      <t>(tv)</t>
    </r>
  </si>
  <si>
    <t>Bank DetailsLoaded</t>
  </si>
  <si>
    <t>Mr Stephen Brown</t>
  </si>
  <si>
    <t>Marc-Steven Havinga</t>
  </si>
  <si>
    <t xml:space="preserve">MS = 083 252 6557 </t>
  </si>
  <si>
    <t>770420 5154 081</t>
  </si>
  <si>
    <t>4200 251 03</t>
  </si>
  <si>
    <t>Jacky</t>
  </si>
  <si>
    <t>weekly as adv</t>
  </si>
  <si>
    <t>065 317 5284</t>
  </si>
  <si>
    <t>Menlyn Park</t>
  </si>
  <si>
    <t>002345</t>
  </si>
  <si>
    <t>DanJor0825!@</t>
  </si>
  <si>
    <t>Danjor!@852</t>
  </si>
  <si>
    <t>Kimberley van den Brink</t>
  </si>
  <si>
    <t>Duane Schipp</t>
  </si>
  <si>
    <t>St Francis, SA</t>
  </si>
  <si>
    <t>Sabrina Heintze</t>
  </si>
  <si>
    <t>Gernsheim, GER</t>
  </si>
  <si>
    <t>1:KXL,2:2S,3:2S</t>
  </si>
  <si>
    <t>216m2</t>
  </si>
  <si>
    <t>Hill House 7</t>
  </si>
  <si>
    <t>H@v!ng@H!ll</t>
  </si>
  <si>
    <t>Jeanne</t>
  </si>
  <si>
    <t>Marc Steven</t>
  </si>
  <si>
    <t>https://airbnb.com/h/hill-seaview-apartment-plett</t>
  </si>
  <si>
    <t>Dec'25</t>
  </si>
  <si>
    <t>083 344 1599</t>
  </si>
  <si>
    <t>Jul'25</t>
  </si>
  <si>
    <t>Proteadale</t>
  </si>
  <si>
    <t>Gaby &amp; Gary Berman</t>
  </si>
  <si>
    <t>GB = 076 181 9042</t>
  </si>
  <si>
    <t>GR = 082 457 2570</t>
  </si>
  <si>
    <t>1 Odland Street</t>
  </si>
  <si>
    <t>8 Arrowood</t>
  </si>
  <si>
    <t>530418 5051 084</t>
  </si>
  <si>
    <t>1:2S, 2:2S</t>
  </si>
  <si>
    <t>80m2</t>
  </si>
  <si>
    <t>https://airbnb.com/h/3arrowood-plett</t>
  </si>
  <si>
    <t>Arrowood3</t>
  </si>
  <si>
    <t>0824572570</t>
  </si>
  <si>
    <t xml:space="preserve">Gaby </t>
  </si>
  <si>
    <t>FNB</t>
  </si>
  <si>
    <t>Gary S Berman</t>
  </si>
  <si>
    <t>530 803 952 98</t>
  </si>
  <si>
    <t>210314</t>
  </si>
  <si>
    <t>FIRNZAJJ</t>
  </si>
  <si>
    <t>078 261 6433</t>
  </si>
  <si>
    <t>Pattinson</t>
  </si>
  <si>
    <t>073 893 3090</t>
  </si>
  <si>
    <t>Saeed Almatrooshi (via Rizelle)</t>
  </si>
  <si>
    <t>pd him 25 Jul</t>
  </si>
  <si>
    <t>over p/holiday</t>
  </si>
  <si>
    <t>over easter</t>
  </si>
  <si>
    <t>over christmas</t>
  </si>
  <si>
    <t>1 Oct….</t>
  </si>
  <si>
    <t>Deborah Sherry</t>
  </si>
  <si>
    <t>Daria Hillegeist</t>
  </si>
  <si>
    <t>Princess Ngqoleka</t>
  </si>
  <si>
    <t>Lund, SWE</t>
  </si>
  <si>
    <t>Oct'25</t>
  </si>
  <si>
    <t>outside, more pics</t>
  </si>
  <si>
    <t>May'25</t>
  </si>
  <si>
    <t>Tlotli Mangope</t>
  </si>
  <si>
    <t>071 602 3035</t>
  </si>
  <si>
    <t>Jacqui Blignaut</t>
  </si>
  <si>
    <t>Siviwe Unathi Mfono</t>
  </si>
  <si>
    <t>073 204 0661</t>
  </si>
  <si>
    <t>dd</t>
  </si>
  <si>
    <t>Nadia &amp; Grant Dunkley</t>
  </si>
  <si>
    <t>yes, more prof</t>
  </si>
  <si>
    <t>1:1K,2:1K,3:2S,4:1Q,5:2S,1:Q</t>
  </si>
  <si>
    <t>NO</t>
  </si>
  <si>
    <t>https://airbnb.com/h/toplis</t>
  </si>
  <si>
    <t>8Toplis</t>
  </si>
  <si>
    <t>Grant</t>
  </si>
  <si>
    <t>G = 082 704 9398</t>
  </si>
  <si>
    <t>N = 081 436 9108</t>
  </si>
  <si>
    <t>Vivian</t>
  </si>
  <si>
    <t>078 099 3904</t>
  </si>
  <si>
    <t>Fri 10:00-14:00</t>
  </si>
  <si>
    <t>Lloyd &amp; Lara Teasdale</t>
  </si>
  <si>
    <r>
      <t xml:space="preserve">Hills PH </t>
    </r>
    <r>
      <rPr>
        <sz val="8"/>
        <color theme="1"/>
        <rFont val="Calibri"/>
        <family val="2"/>
        <scheme val="minor"/>
      </rPr>
      <t>(tv)</t>
    </r>
  </si>
  <si>
    <r>
      <t xml:space="preserve">Hills 7 </t>
    </r>
    <r>
      <rPr>
        <sz val="8"/>
        <color theme="1"/>
        <rFont val="Calibri"/>
        <family val="2"/>
        <scheme val="minor"/>
      </rPr>
      <t>(wifi)</t>
    </r>
  </si>
  <si>
    <t>Lushen Rajaruthnam</t>
  </si>
  <si>
    <t>Vanderbijlpark, SA</t>
  </si>
  <si>
    <t>Stutterheim, SA</t>
  </si>
  <si>
    <t>Ll = 082 446 8793</t>
  </si>
  <si>
    <t>La = 073 064 5995</t>
  </si>
  <si>
    <t>Anchor Crescent</t>
  </si>
  <si>
    <t>8 Panorama</t>
  </si>
  <si>
    <t>TO DO</t>
  </si>
  <si>
    <t>120m3</t>
  </si>
  <si>
    <t>4hearts4eva</t>
  </si>
  <si>
    <t>Lloyd</t>
  </si>
  <si>
    <t>Alana</t>
  </si>
  <si>
    <t>071 919 5372</t>
  </si>
  <si>
    <t>consumables for guests</t>
  </si>
  <si>
    <t>Coastal Cleaners</t>
  </si>
  <si>
    <t>full linen - wash &amp; iron</t>
  </si>
  <si>
    <t>Anne &amp; Nico Biegel</t>
  </si>
  <si>
    <t>Bad Camberg, GER</t>
  </si>
  <si>
    <t>Jul'2024</t>
  </si>
  <si>
    <t>Aug</t>
  </si>
  <si>
    <t>new carpet for CT</t>
  </si>
  <si>
    <t>BR0006</t>
  </si>
  <si>
    <t>Card declined - linen for CT</t>
  </si>
  <si>
    <t>Carpet via Takealot for CT</t>
  </si>
  <si>
    <t>Gaby Berman</t>
  </si>
  <si>
    <t>Janine &amp; Steve Oosthuizen</t>
  </si>
  <si>
    <t>pro rata for July 2024</t>
  </si>
  <si>
    <t xml:space="preserve"> </t>
  </si>
  <si>
    <t>Saeed Almatrooshi</t>
  </si>
  <si>
    <t>for July 2024</t>
  </si>
  <si>
    <t>minus Retainer</t>
  </si>
  <si>
    <t>Commission due</t>
  </si>
  <si>
    <t>Total Expenses</t>
  </si>
  <si>
    <t>Invoice TOTAL</t>
  </si>
  <si>
    <t>PH Commission @ 10%</t>
  </si>
  <si>
    <t>Our Cut</t>
  </si>
  <si>
    <t>in credit</t>
  </si>
  <si>
    <t>send via WA</t>
  </si>
  <si>
    <t>for Jul 2024</t>
  </si>
  <si>
    <t>Lorika Tobias</t>
  </si>
  <si>
    <t>Mon</t>
  </si>
  <si>
    <t>Wed</t>
  </si>
  <si>
    <t>Fri</t>
  </si>
  <si>
    <t>3 days or longer</t>
  </si>
  <si>
    <t>Price Matter</t>
  </si>
  <si>
    <t>lock box</t>
  </si>
  <si>
    <t>guest consumables</t>
  </si>
  <si>
    <t>Ryan Pringle</t>
  </si>
  <si>
    <t>Exeter, UK</t>
  </si>
  <si>
    <t>Wed 7</t>
  </si>
  <si>
    <t>Fri 9</t>
  </si>
  <si>
    <t>CT &amp; WS</t>
  </si>
  <si>
    <t>Carm</t>
  </si>
  <si>
    <t>Lile Manisa</t>
  </si>
  <si>
    <t>Svenja Sonntag</t>
  </si>
  <si>
    <t>additional safari booking!</t>
  </si>
  <si>
    <t>fitting lock box, pool backwash, &amp; clean, laundry delivery &amp; collection = 2hours</t>
  </si>
  <si>
    <t>Loads of Laundry</t>
  </si>
  <si>
    <t>17kgs of laundry - linen &amp; towels</t>
  </si>
  <si>
    <t>2x box of 6 long life milk</t>
  </si>
  <si>
    <t>toilet paper</t>
  </si>
  <si>
    <t>Nobum Williams</t>
  </si>
  <si>
    <t>Call out</t>
  </si>
  <si>
    <t>1/2 hour for fixing gas valve for heater</t>
  </si>
  <si>
    <t>Louis MacLaren</t>
  </si>
  <si>
    <t>Plett, SA</t>
  </si>
  <si>
    <t>Chris Greyling</t>
  </si>
  <si>
    <t>redo some photos, spend nights there</t>
  </si>
  <si>
    <t>check</t>
  </si>
  <si>
    <t>Credit roll over</t>
  </si>
  <si>
    <t>Bruce Thompson</t>
  </si>
  <si>
    <r>
      <t xml:space="preserve">Hills PH </t>
    </r>
    <r>
      <rPr>
        <sz val="8"/>
        <color theme="1"/>
        <rFont val="Calibri"/>
        <family val="2"/>
        <scheme val="minor"/>
      </rPr>
      <t>(dstv)</t>
    </r>
  </si>
  <si>
    <t>scourers,guest chocolates</t>
  </si>
  <si>
    <t>Woolworths</t>
  </si>
  <si>
    <t>linen:2x3/4 sheet, 2xD duvet, 1xK flat sh</t>
  </si>
  <si>
    <t>soap dispensers</t>
  </si>
  <si>
    <t>Wim &amp; Judith Besselink</t>
  </si>
  <si>
    <t>Simon Pietz</t>
  </si>
  <si>
    <t>Sat 17</t>
  </si>
  <si>
    <t>Sun 18</t>
  </si>
  <si>
    <t>strip and make beds first, gull clean after guests</t>
  </si>
  <si>
    <t>complete cleaning and get house ready for new guests</t>
  </si>
  <si>
    <t>Lionel will mee you at AW - turn AW, make beds, do linen, get it guest ready</t>
  </si>
  <si>
    <t>both guests left Sunday, clean and turn both cabins, leave cushions inside, as guests are checking in on Wed</t>
  </si>
  <si>
    <t xml:space="preserve">usual cleaning </t>
  </si>
  <si>
    <t>linen ironing, RR and all downstairs cleaning (incl new bathroom)</t>
  </si>
  <si>
    <t>guests arrive, outside ready, clean - paid R300 by guest</t>
  </si>
  <si>
    <t>cleaning, housework - paid by us</t>
  </si>
  <si>
    <t>cleaning, housework - paid R450 by guest</t>
  </si>
  <si>
    <t>cleaning, housework - paid 600 by guest</t>
  </si>
  <si>
    <t xml:space="preserve">CT  </t>
  </si>
  <si>
    <t>turn &amp; clean CT, leave cushions inside after</t>
  </si>
  <si>
    <t>turn &amp; clean WS, leave cushions inside after</t>
  </si>
  <si>
    <t>Zoe Scott</t>
  </si>
  <si>
    <t>047 331 9181</t>
  </si>
  <si>
    <t>Mon12</t>
  </si>
  <si>
    <t>black bags, cleaning products</t>
  </si>
  <si>
    <t>linen, towels and bath mats</t>
  </si>
  <si>
    <t>Leigh Saayman</t>
  </si>
  <si>
    <t>Pennington, SA</t>
  </si>
  <si>
    <t>580930 5022 088</t>
  </si>
  <si>
    <t>John Dunkley</t>
  </si>
  <si>
    <t>400m2</t>
  </si>
  <si>
    <t>Ned</t>
  </si>
  <si>
    <t>1933 056 290</t>
  </si>
  <si>
    <t>NEDSZAJJ</t>
  </si>
  <si>
    <t>washing powder</t>
  </si>
  <si>
    <t>Plett Handigas</t>
  </si>
  <si>
    <t>gas exchange</t>
  </si>
</sst>
</file>

<file path=xl/styles.xml><?xml version="1.0" encoding="utf-8"?>
<styleSheet xmlns="http://schemas.openxmlformats.org/spreadsheetml/2006/main">
  <numFmts count="2">
    <numFmt numFmtId="164" formatCode="_-[$R-1C09]* #,##0.00_-;\-[$R-1C09]* #,##0.00_-;_-[$R-1C09]* &quot;-&quot;??_-;_-@_-"/>
    <numFmt numFmtId="165" formatCode="_-[$R-1C09]* #,##0_-;\-[$R-1C09]* #,##0_-;_-[$R-1C09]* &quot;-&quot;??_-;_-@_-"/>
  </numFmts>
  <fonts count="4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sz val="11"/>
      <color rgb="FFFF66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0"/>
      <color rgb="FF000000"/>
      <name val="Arial"/>
      <family val="2"/>
    </font>
    <font>
      <strike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i/>
      <sz val="11"/>
      <name val="Calibri"/>
      <family val="2"/>
      <scheme val="minor"/>
    </font>
    <font>
      <b/>
      <sz val="9"/>
      <color rgb="FFFF66FF"/>
      <name val="Calibri"/>
      <family val="2"/>
      <scheme val="minor"/>
    </font>
    <font>
      <b/>
      <sz val="9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B0F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D2F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DF8B"/>
        <bgColor indexed="64"/>
      </patternFill>
    </fill>
    <fill>
      <patternFill patternType="solid">
        <fgColor rgb="FFF9FCD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1F9FD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8BEF4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9" fontId="19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</cellStyleXfs>
  <cellXfs count="1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5" fontId="0" fillId="4" borderId="0" xfId="0" applyNumberFormat="1" applyFill="1"/>
    <xf numFmtId="164" fontId="0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4" xfId="0" applyBorder="1"/>
    <xf numFmtId="164" fontId="4" fillId="0" borderId="0" xfId="0" applyNumberFormat="1" applyFont="1"/>
    <xf numFmtId="164" fontId="2" fillId="0" borderId="0" xfId="0" applyNumberFormat="1" applyFont="1"/>
    <xf numFmtId="0" fontId="0" fillId="0" borderId="0" xfId="0" applyFill="1" applyAlignment="1">
      <alignment horizontal="center"/>
    </xf>
    <xf numFmtId="15" fontId="0" fillId="0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2" fillId="0" borderId="1" xfId="0" applyNumberFormat="1" applyFont="1" applyBorder="1"/>
    <xf numFmtId="0" fontId="0" fillId="0" borderId="3" xfId="0" applyBorder="1"/>
    <xf numFmtId="0" fontId="0" fillId="2" borderId="1" xfId="0" applyFill="1" applyBorder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5" fontId="0" fillId="2" borderId="0" xfId="0" applyNumberFormat="1" applyFill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164" fontId="0" fillId="0" borderId="0" xfId="0" applyNumberFormat="1" applyFill="1"/>
    <xf numFmtId="164" fontId="1" fillId="0" borderId="4" xfId="0" applyNumberFormat="1" applyFont="1" applyBorder="1"/>
    <xf numFmtId="0" fontId="1" fillId="0" borderId="4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5" fontId="0" fillId="5" borderId="0" xfId="0" applyNumberFormat="1" applyFill="1" applyBorder="1"/>
    <xf numFmtId="164" fontId="0" fillId="0" borderId="0" xfId="0" applyNumberFormat="1" applyFill="1" applyBorder="1"/>
    <xf numFmtId="0" fontId="3" fillId="7" borderId="11" xfId="0" applyFont="1" applyFill="1" applyBorder="1" applyAlignment="1">
      <alignment horizontal="center" vertical="center"/>
    </xf>
    <xf numFmtId="15" fontId="0" fillId="0" borderId="4" xfId="0" applyNumberFormat="1" applyBorder="1"/>
    <xf numFmtId="164" fontId="3" fillId="3" borderId="11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15" fontId="0" fillId="0" borderId="7" xfId="0" applyNumberFormat="1" applyBorder="1"/>
    <xf numFmtId="164" fontId="9" fillId="0" borderId="0" xfId="0" applyNumberFormat="1" applyFont="1" applyFill="1" applyBorder="1"/>
    <xf numFmtId="164" fontId="9" fillId="0" borderId="0" xfId="0" applyNumberFormat="1" applyFont="1" applyBorder="1"/>
    <xf numFmtId="15" fontId="0" fillId="0" borderId="8" xfId="0" applyNumberFormat="1" applyBorder="1"/>
    <xf numFmtId="164" fontId="1" fillId="8" borderId="10" xfId="0" applyNumberFormat="1" applyFont="1" applyFill="1" applyBorder="1"/>
    <xf numFmtId="164" fontId="1" fillId="8" borderId="11" xfId="0" applyNumberFormat="1" applyFont="1" applyFill="1" applyBorder="1"/>
    <xf numFmtId="164" fontId="1" fillId="8" borderId="12" xfId="0" applyNumberFormat="1" applyFont="1" applyFill="1" applyBorder="1"/>
    <xf numFmtId="164" fontId="0" fillId="0" borderId="10" xfId="0" applyNumberFormat="1" applyBorder="1"/>
    <xf numFmtId="164" fontId="0" fillId="0" borderId="11" xfId="0" applyNumberFormat="1" applyBorder="1"/>
    <xf numFmtId="0" fontId="0" fillId="4" borderId="0" xfId="0" applyFill="1" applyBorder="1"/>
    <xf numFmtId="15" fontId="0" fillId="0" borderId="1" xfId="0" applyNumberFormat="1" applyBorder="1"/>
    <xf numFmtId="164" fontId="1" fillId="0" borderId="0" xfId="0" applyNumberFormat="1" applyFont="1" applyFill="1" applyBorder="1"/>
    <xf numFmtId="15" fontId="1" fillId="0" borderId="0" xfId="0" applyNumberFormat="1" applyFont="1" applyFill="1"/>
    <xf numFmtId="0" fontId="1" fillId="10" borderId="0" xfId="0" applyFont="1" applyFill="1" applyBorder="1"/>
    <xf numFmtId="0" fontId="1" fillId="10" borderId="0" xfId="0" applyFont="1" applyFill="1" applyBorder="1" applyAlignment="1">
      <alignment horizontal="center"/>
    </xf>
    <xf numFmtId="164" fontId="1" fillId="10" borderId="0" xfId="0" applyNumberFormat="1" applyFont="1" applyFill="1" applyBorder="1"/>
    <xf numFmtId="164" fontId="4" fillId="10" borderId="0" xfId="0" applyNumberFormat="1" applyFont="1" applyFill="1" applyBorder="1"/>
    <xf numFmtId="164" fontId="0" fillId="10" borderId="0" xfId="0" applyNumberFormat="1" applyFill="1"/>
    <xf numFmtId="15" fontId="0" fillId="10" borderId="0" xfId="0" applyNumberFormat="1" applyFill="1"/>
    <xf numFmtId="0" fontId="11" fillId="0" borderId="0" xfId="0" applyFont="1"/>
    <xf numFmtId="0" fontId="12" fillId="0" borderId="0" xfId="0" applyFont="1"/>
    <xf numFmtId="164" fontId="0" fillId="0" borderId="1" xfId="0" applyNumberFormat="1" applyFill="1" applyBorder="1"/>
    <xf numFmtId="164" fontId="0" fillId="0" borderId="0" xfId="0" applyNumberFormat="1" applyFont="1" applyFill="1"/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164" fontId="13" fillId="0" borderId="0" xfId="0" applyNumberFormat="1" applyFont="1" applyBorder="1"/>
    <xf numFmtId="164" fontId="13" fillId="0" borderId="0" xfId="0" applyNumberFormat="1" applyFont="1"/>
    <xf numFmtId="0" fontId="14" fillId="0" borderId="4" xfId="0" applyFont="1" applyBorder="1"/>
    <xf numFmtId="15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4" xfId="0" applyFont="1" applyBorder="1"/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4" borderId="14" xfId="0" applyFill="1" applyBorder="1" applyAlignment="1">
      <alignment horizontal="center" vertical="center"/>
    </xf>
    <xf numFmtId="164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/>
    <xf numFmtId="164" fontId="3" fillId="3" borderId="12" xfId="0" applyNumberFormat="1" applyFont="1" applyFill="1" applyBorder="1" applyAlignment="1">
      <alignment horizontal="center"/>
    </xf>
    <xf numFmtId="164" fontId="7" fillId="0" borderId="4" xfId="0" applyNumberFormat="1" applyFont="1" applyFill="1" applyBorder="1"/>
    <xf numFmtId="164" fontId="16" fillId="0" borderId="5" xfId="0" applyNumberFormat="1" applyFont="1" applyFill="1" applyBorder="1"/>
    <xf numFmtId="164" fontId="3" fillId="3" borderId="10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0" fontId="2" fillId="0" borderId="0" xfId="0" applyFont="1"/>
    <xf numFmtId="0" fontId="10" fillId="0" borderId="0" xfId="0" applyFont="1"/>
    <xf numFmtId="164" fontId="2" fillId="0" borderId="0" xfId="0" applyNumberFormat="1" applyFont="1" applyFill="1" applyBorder="1"/>
    <xf numFmtId="0" fontId="1" fillId="12" borderId="0" xfId="0" applyFont="1" applyFill="1"/>
    <xf numFmtId="15" fontId="1" fillId="0" borderId="1" xfId="0" applyNumberFormat="1" applyFont="1" applyFill="1" applyBorder="1"/>
    <xf numFmtId="0" fontId="14" fillId="0" borderId="0" xfId="0" applyFont="1"/>
    <xf numFmtId="164" fontId="13" fillId="0" borderId="10" xfId="0" applyNumberFormat="1" applyFont="1" applyBorder="1"/>
    <xf numFmtId="164" fontId="17" fillId="0" borderId="11" xfId="0" applyNumberFormat="1" applyFont="1" applyBorder="1"/>
    <xf numFmtId="0" fontId="0" fillId="0" borderId="12" xfId="0" applyBorder="1"/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0" borderId="11" xfId="0" applyFont="1" applyBorder="1"/>
    <xf numFmtId="0" fontId="18" fillId="0" borderId="0" xfId="0" applyFont="1" applyFill="1" applyBorder="1"/>
    <xf numFmtId="0" fontId="17" fillId="0" borderId="12" xfId="0" applyFont="1" applyBorder="1"/>
    <xf numFmtId="0" fontId="3" fillId="7" borderId="9" xfId="0" applyFont="1" applyFill="1" applyBorder="1" applyAlignment="1">
      <alignment horizontal="center" vertical="center"/>
    </xf>
    <xf numFmtId="0" fontId="0" fillId="6" borderId="0" xfId="0" applyFill="1" applyBorder="1"/>
    <xf numFmtId="15" fontId="0" fillId="6" borderId="0" xfId="0" applyNumberFormat="1" applyFill="1" applyBorder="1"/>
    <xf numFmtId="9" fontId="1" fillId="0" borderId="0" xfId="2" applyFont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1" xfId="0" applyFont="1" applyFill="1" applyBorder="1" applyAlignment="1">
      <alignment horizontal="center"/>
    </xf>
    <xf numFmtId="9" fontId="1" fillId="3" borderId="11" xfId="2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  <xf numFmtId="0" fontId="1" fillId="0" borderId="15" xfId="0" applyFont="1" applyBorder="1"/>
    <xf numFmtId="0" fontId="0" fillId="0" borderId="15" xfId="0" applyFill="1" applyBorder="1" applyAlignment="1">
      <alignment horizontal="center"/>
    </xf>
    <xf numFmtId="9" fontId="0" fillId="0" borderId="15" xfId="2" applyFon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7" fontId="1" fillId="0" borderId="14" xfId="0" applyNumberFormat="1" applyFont="1" applyBorder="1"/>
    <xf numFmtId="0" fontId="1" fillId="0" borderId="14" xfId="0" applyFont="1" applyBorder="1"/>
    <xf numFmtId="0" fontId="3" fillId="0" borderId="15" xfId="0" applyFont="1" applyBorder="1" applyAlignment="1">
      <alignment horizontal="center"/>
    </xf>
    <xf numFmtId="0" fontId="1" fillId="10" borderId="3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9" fontId="1" fillId="10" borderId="1" xfId="2" applyFont="1" applyFill="1" applyBorder="1" applyAlignment="1">
      <alignment horizontal="center"/>
    </xf>
    <xf numFmtId="165" fontId="1" fillId="10" borderId="1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165" fontId="4" fillId="3" borderId="12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6" fillId="11" borderId="5" xfId="0" applyFont="1" applyFill="1" applyBorder="1" applyAlignment="1">
      <alignment horizontal="center" vertical="center"/>
    </xf>
    <xf numFmtId="0" fontId="20" fillId="0" borderId="0" xfId="0" applyFont="1"/>
    <xf numFmtId="0" fontId="13" fillId="0" borderId="0" xfId="0" applyFont="1"/>
    <xf numFmtId="164" fontId="13" fillId="0" borderId="0" xfId="0" applyNumberFormat="1" applyFont="1" applyFill="1" applyBorder="1"/>
    <xf numFmtId="0" fontId="6" fillId="0" borderId="0" xfId="0" applyFont="1"/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0" fontId="1" fillId="0" borderId="5" xfId="0" applyFont="1" applyBorder="1"/>
    <xf numFmtId="0" fontId="10" fillId="0" borderId="4" xfId="0" applyFont="1" applyBorder="1"/>
    <xf numFmtId="0" fontId="0" fillId="15" borderId="6" xfId="0" applyFill="1" applyBorder="1"/>
    <xf numFmtId="0" fontId="0" fillId="15" borderId="7" xfId="0" applyFill="1" applyBorder="1"/>
    <xf numFmtId="164" fontId="0" fillId="15" borderId="7" xfId="0" applyNumberFormat="1" applyFill="1" applyBorder="1"/>
    <xf numFmtId="164" fontId="4" fillId="15" borderId="7" xfId="0" applyNumberFormat="1" applyFont="1" applyFill="1" applyBorder="1"/>
    <xf numFmtId="0" fontId="0" fillId="11" borderId="0" xfId="0" applyFill="1"/>
    <xf numFmtId="15" fontId="0" fillId="0" borderId="0" xfId="0" applyNumberFormat="1" applyFont="1" applyFill="1"/>
    <xf numFmtId="0" fontId="6" fillId="0" borderId="15" xfId="0" applyFont="1" applyBorder="1"/>
    <xf numFmtId="164" fontId="6" fillId="0" borderId="16" xfId="0" applyNumberFormat="1" applyFont="1" applyFill="1" applyBorder="1"/>
    <xf numFmtId="0" fontId="6" fillId="0" borderId="0" xfId="0" applyFont="1" applyBorder="1"/>
    <xf numFmtId="164" fontId="6" fillId="0" borderId="4" xfId="0" applyNumberFormat="1" applyFont="1" applyFill="1" applyBorder="1"/>
    <xf numFmtId="164" fontId="0" fillId="0" borderId="4" xfId="0" applyNumberFormat="1" applyFill="1" applyBorder="1"/>
    <xf numFmtId="164" fontId="1" fillId="0" borderId="4" xfId="0" applyNumberFormat="1" applyFont="1" applyFill="1" applyBorder="1"/>
    <xf numFmtId="0" fontId="0" fillId="0" borderId="5" xfId="0" applyBorder="1"/>
    <xf numFmtId="15" fontId="0" fillId="0" borderId="6" xfId="0" applyNumberFormat="1" applyBorder="1"/>
    <xf numFmtId="164" fontId="0" fillId="0" borderId="15" xfId="0" applyNumberFormat="1" applyBorder="1"/>
    <xf numFmtId="0" fontId="0" fillId="12" borderId="0" xfId="0" applyFill="1"/>
    <xf numFmtId="164" fontId="0" fillId="12" borderId="0" xfId="0" applyNumberFormat="1" applyFill="1" applyBorder="1"/>
    <xf numFmtId="164" fontId="6" fillId="0" borderId="0" xfId="0" applyNumberFormat="1" applyFont="1" applyBorder="1"/>
    <xf numFmtId="0" fontId="21" fillId="0" borderId="4" xfId="0" applyFont="1" applyBorder="1"/>
    <xf numFmtId="164" fontId="0" fillId="12" borderId="0" xfId="0" applyNumberFormat="1" applyFill="1"/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164" fontId="0" fillId="0" borderId="0" xfId="0" applyNumberFormat="1" applyFont="1" applyBorder="1"/>
    <xf numFmtId="0" fontId="7" fillId="0" borderId="0" xfId="0" applyFont="1"/>
    <xf numFmtId="16" fontId="0" fillId="0" borderId="0" xfId="0" applyNumberFormat="1"/>
    <xf numFmtId="0" fontId="22" fillId="0" borderId="0" xfId="0" applyFont="1" applyAlignment="1">
      <alignment horizontal="center" vertical="center"/>
    </xf>
    <xf numFmtId="0" fontId="7" fillId="0" borderId="0" xfId="0" applyFont="1" applyBorder="1"/>
    <xf numFmtId="0" fontId="10" fillId="0" borderId="1" xfId="0" applyFont="1" applyBorder="1"/>
    <xf numFmtId="164" fontId="7" fillId="0" borderId="16" xfId="0" applyNumberFormat="1" applyFont="1" applyBorder="1" applyAlignment="1">
      <alignment horizontal="center" wrapText="1"/>
    </xf>
    <xf numFmtId="164" fontId="0" fillId="0" borderId="2" xfId="0" applyNumberFormat="1" applyFont="1" applyBorder="1"/>
    <xf numFmtId="164" fontId="7" fillId="0" borderId="4" xfId="0" applyNumberFormat="1" applyFont="1" applyBorder="1"/>
    <xf numFmtId="164" fontId="3" fillId="17" borderId="14" xfId="0" applyNumberFormat="1" applyFont="1" applyFill="1" applyBorder="1" applyAlignment="1">
      <alignment horizontal="center" wrapText="1"/>
    </xf>
    <xf numFmtId="164" fontId="0" fillId="17" borderId="2" xfId="0" applyNumberFormat="1" applyFont="1" applyFill="1" applyBorder="1"/>
    <xf numFmtId="164" fontId="7" fillId="17" borderId="4" xfId="0" applyNumberFormat="1" applyFont="1" applyFill="1" applyBorder="1"/>
    <xf numFmtId="164" fontId="0" fillId="17" borderId="3" xfId="0" applyNumberFormat="1" applyFont="1" applyFill="1" applyBorder="1"/>
    <xf numFmtId="164" fontId="7" fillId="17" borderId="5" xfId="0" applyNumberFormat="1" applyFont="1" applyFill="1" applyBorder="1"/>
    <xf numFmtId="15" fontId="0" fillId="0" borderId="3" xfId="0" applyNumberFormat="1" applyFont="1" applyFill="1" applyBorder="1"/>
    <xf numFmtId="0" fontId="0" fillId="11" borderId="0" xfId="0" applyFill="1" applyAlignment="1">
      <alignment horizontal="center"/>
    </xf>
    <xf numFmtId="15" fontId="0" fillId="11" borderId="0" xfId="0" applyNumberFormat="1" applyFill="1"/>
    <xf numFmtId="15" fontId="0" fillId="0" borderId="15" xfId="0" applyNumberFormat="1" applyFont="1" applyFill="1" applyBorder="1"/>
    <xf numFmtId="15" fontId="0" fillId="0" borderId="0" xfId="0" applyNumberFormat="1" applyFont="1" applyFill="1" applyBorder="1"/>
    <xf numFmtId="164" fontId="7" fillId="0" borderId="16" xfId="0" applyNumberFormat="1" applyFont="1" applyFill="1" applyBorder="1"/>
    <xf numFmtId="0" fontId="1" fillId="0" borderId="7" xfId="0" applyFont="1" applyBorder="1"/>
    <xf numFmtId="0" fontId="1" fillId="0" borderId="8" xfId="0" applyFont="1" applyBorder="1"/>
    <xf numFmtId="0" fontId="6" fillId="9" borderId="1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2" fillId="0" borderId="0" xfId="0" applyFont="1" applyFill="1" applyBorder="1"/>
    <xf numFmtId="0" fontId="0" fillId="11" borderId="0" xfId="0" applyFill="1" applyBorder="1"/>
    <xf numFmtId="0" fontId="2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1" borderId="0" xfId="0" applyFont="1" applyFill="1"/>
    <xf numFmtId="15" fontId="1" fillId="0" borderId="5" xfId="0" applyNumberFormat="1" applyFont="1" applyFill="1" applyBorder="1"/>
    <xf numFmtId="0" fontId="6" fillId="11" borderId="16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6" borderId="0" xfId="0" applyFill="1"/>
    <xf numFmtId="0" fontId="6" fillId="11" borderId="12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5" borderId="0" xfId="0" applyFill="1"/>
    <xf numFmtId="0" fontId="0" fillId="16" borderId="0" xfId="0" applyFill="1" applyBorder="1"/>
    <xf numFmtId="0" fontId="0" fillId="11" borderId="12" xfId="0" applyFill="1" applyBorder="1" applyAlignment="1">
      <alignment horizontal="center" vertical="center"/>
    </xf>
    <xf numFmtId="15" fontId="0" fillId="0" borderId="14" xfId="0" applyNumberFormat="1" applyFont="1" applyFill="1" applyBorder="1"/>
    <xf numFmtId="0" fontId="0" fillId="0" borderId="15" xfId="0" applyFill="1" applyBorder="1"/>
    <xf numFmtId="15" fontId="0" fillId="0" borderId="2" xfId="0" applyNumberFormat="1" applyFont="1" applyFill="1" applyBorder="1"/>
    <xf numFmtId="164" fontId="0" fillId="0" borderId="16" xfId="0" applyNumberFormat="1" applyFill="1" applyBorder="1"/>
    <xf numFmtId="164" fontId="1" fillId="0" borderId="5" xfId="0" applyNumberFormat="1" applyFont="1" applyFill="1" applyBorder="1"/>
    <xf numFmtId="15" fontId="0" fillId="0" borderId="1" xfId="0" applyNumberFormat="1" applyFont="1" applyFill="1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15" fontId="0" fillId="9" borderId="0" xfId="0" applyNumberFormat="1" applyFill="1" applyBorder="1"/>
    <xf numFmtId="164" fontId="0" fillId="0" borderId="5" xfId="0" applyNumberFormat="1" applyFill="1" applyBorder="1"/>
    <xf numFmtId="0" fontId="0" fillId="15" borderId="8" xfId="0" applyFill="1" applyBorder="1"/>
    <xf numFmtId="16" fontId="0" fillId="0" borderId="0" xfId="0" applyNumberFormat="1" applyBorder="1"/>
    <xf numFmtId="15" fontId="1" fillId="0" borderId="4" xfId="0" applyNumberFormat="1" applyFont="1" applyFill="1" applyBorder="1"/>
    <xf numFmtId="0" fontId="23" fillId="0" borderId="0" xfId="0" applyFont="1" applyFill="1" applyBorder="1"/>
    <xf numFmtId="0" fontId="1" fillId="3" borderId="6" xfId="0" applyFont="1" applyFill="1" applyBorder="1"/>
    <xf numFmtId="0" fontId="1" fillId="0" borderId="9" xfId="0" applyFont="1" applyBorder="1"/>
    <xf numFmtId="0" fontId="0" fillId="0" borderId="9" xfId="0" applyBorder="1" applyAlignment="1">
      <alignment horizontal="center"/>
    </xf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7" xfId="0" applyBorder="1"/>
    <xf numFmtId="164" fontId="1" fillId="14" borderId="8" xfId="0" applyNumberFormat="1" applyFont="1" applyFill="1" applyBorder="1"/>
    <xf numFmtId="164" fontId="25" fillId="0" borderId="8" xfId="0" applyNumberFormat="1" applyFont="1" applyFill="1" applyBorder="1"/>
    <xf numFmtId="164" fontId="26" fillId="0" borderId="4" xfId="0" applyNumberFormat="1" applyFont="1" applyFill="1" applyBorder="1"/>
    <xf numFmtId="164" fontId="24" fillId="14" borderId="8" xfId="0" applyNumberFormat="1" applyFont="1" applyFill="1" applyBorder="1"/>
    <xf numFmtId="0" fontId="0" fillId="16" borderId="0" xfId="0" applyFill="1" applyAlignment="1">
      <alignment horizontal="center"/>
    </xf>
    <xf numFmtId="15" fontId="0" fillId="16" borderId="0" xfId="0" applyNumberFormat="1" applyFill="1"/>
    <xf numFmtId="0" fontId="8" fillId="22" borderId="0" xfId="0" applyFont="1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0" xfId="0" applyFont="1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20" fillId="0" borderId="9" xfId="0" applyFont="1" applyBorder="1"/>
    <xf numFmtId="0" fontId="0" fillId="15" borderId="9" xfId="0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0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0" xfId="0" applyNumberFormat="1" applyFont="1" applyFill="1"/>
    <xf numFmtId="0" fontId="1" fillId="0" borderId="0" xfId="0" applyFont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23" fillId="0" borderId="0" xfId="0" applyFont="1" applyFill="1" applyAlignment="1">
      <alignment horizontal="center"/>
    </xf>
    <xf numFmtId="15" fontId="23" fillId="0" borderId="0" xfId="0" applyNumberFormat="1" applyFont="1" applyFill="1"/>
    <xf numFmtId="0" fontId="23" fillId="25" borderId="0" xfId="0" applyFont="1" applyFill="1" applyAlignment="1">
      <alignment horizontal="center" vertical="center"/>
    </xf>
    <xf numFmtId="15" fontId="0" fillId="0" borderId="5" xfId="0" applyNumberFormat="1" applyBorder="1"/>
    <xf numFmtId="164" fontId="1" fillId="0" borderId="5" xfId="0" applyNumberFormat="1" applyFont="1" applyBorder="1"/>
    <xf numFmtId="0" fontId="1" fillId="14" borderId="17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64" fontId="7" fillId="0" borderId="0" xfId="0" applyNumberFormat="1" applyFont="1" applyFill="1" applyBorder="1"/>
    <xf numFmtId="0" fontId="0" fillId="0" borderId="6" xfId="0" applyBorder="1"/>
    <xf numFmtId="164" fontId="0" fillId="0" borderId="15" xfId="0" applyNumberFormat="1" applyFill="1" applyBorder="1"/>
    <xf numFmtId="0" fontId="0" fillId="0" borderId="15" xfId="0" applyBorder="1"/>
    <xf numFmtId="0" fontId="0" fillId="0" borderId="7" xfId="0" applyFill="1" applyBorder="1"/>
    <xf numFmtId="0" fontId="0" fillId="0" borderId="2" xfId="0" applyFill="1" applyBorder="1"/>
    <xf numFmtId="15" fontId="1" fillId="0" borderId="10" xfId="0" applyNumberFormat="1" applyFont="1" applyFill="1" applyBorder="1"/>
    <xf numFmtId="0" fontId="1" fillId="5" borderId="11" xfId="0" applyFont="1" applyFill="1" applyBorder="1"/>
    <xf numFmtId="164" fontId="1" fillId="0" borderId="12" xfId="0" applyNumberFormat="1" applyFont="1" applyFill="1" applyBorder="1"/>
    <xf numFmtId="0" fontId="1" fillId="16" borderId="17" xfId="0" applyFont="1" applyFill="1" applyBorder="1" applyAlignment="1">
      <alignment horizontal="center"/>
    </xf>
    <xf numFmtId="164" fontId="10" fillId="0" borderId="5" xfId="0" applyNumberFormat="1" applyFont="1" applyFill="1" applyBorder="1"/>
    <xf numFmtId="0" fontId="6" fillId="9" borderId="0" xfId="0" applyFont="1" applyFill="1" applyBorder="1" applyAlignment="1">
      <alignment horizontal="center" vertical="center"/>
    </xf>
    <xf numFmtId="16" fontId="0" fillId="0" borderId="3" xfId="0" applyNumberFormat="1" applyBorder="1"/>
    <xf numFmtId="164" fontId="2" fillId="0" borderId="5" xfId="0" applyNumberFormat="1" applyFont="1" applyFill="1" applyBorder="1"/>
    <xf numFmtId="164" fontId="1" fillId="0" borderId="3" xfId="0" applyNumberFormat="1" applyFont="1" applyFill="1" applyBorder="1" applyAlignment="1">
      <alignment horizontal="right"/>
    </xf>
    <xf numFmtId="0" fontId="27" fillId="0" borderId="0" xfId="0" applyFont="1"/>
    <xf numFmtId="0" fontId="31" fillId="3" borderId="7" xfId="0" applyFont="1" applyFill="1" applyBorder="1" applyAlignment="1">
      <alignment horizontal="center" vertical="center"/>
    </xf>
    <xf numFmtId="0" fontId="0" fillId="16" borderId="0" xfId="0" applyFill="1"/>
    <xf numFmtId="0" fontId="24" fillId="0" borderId="9" xfId="0" applyFont="1" applyBorder="1"/>
    <xf numFmtId="0" fontId="3" fillId="0" borderId="0" xfId="0" applyFont="1" applyFill="1" applyBorder="1" applyAlignment="1">
      <alignment horizontal="center"/>
    </xf>
    <xf numFmtId="165" fontId="0" fillId="0" borderId="0" xfId="0" applyNumberFormat="1" applyFill="1" applyBorder="1"/>
    <xf numFmtId="0" fontId="3" fillId="23" borderId="9" xfId="0" applyFont="1" applyFill="1" applyBorder="1" applyAlignment="1">
      <alignment horizontal="center"/>
    </xf>
    <xf numFmtId="165" fontId="0" fillId="23" borderId="9" xfId="0" applyNumberFormat="1" applyFill="1" applyBorder="1"/>
    <xf numFmtId="165" fontId="0" fillId="0" borderId="9" xfId="0" applyNumberFormat="1" applyFill="1" applyBorder="1"/>
    <xf numFmtId="165" fontId="0" fillId="4" borderId="9" xfId="0" applyNumberFormat="1" applyFill="1" applyBorder="1"/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3" fillId="17" borderId="7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3" fillId="21" borderId="7" xfId="0" applyFont="1" applyFill="1" applyBorder="1" applyAlignment="1">
      <alignment horizontal="center"/>
    </xf>
    <xf numFmtId="0" fontId="3" fillId="21" borderId="8" xfId="0" applyFont="1" applyFill="1" applyBorder="1" applyAlignment="1">
      <alignment horizontal="center"/>
    </xf>
    <xf numFmtId="0" fontId="3" fillId="26" borderId="9" xfId="0" applyFont="1" applyFill="1" applyBorder="1" applyAlignment="1">
      <alignment horizontal="center"/>
    </xf>
    <xf numFmtId="9" fontId="3" fillId="26" borderId="9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9" fontId="3" fillId="4" borderId="9" xfId="0" applyNumberFormat="1" applyFont="1" applyFill="1" applyBorder="1" applyAlignment="1">
      <alignment horizontal="center"/>
    </xf>
    <xf numFmtId="165" fontId="6" fillId="23" borderId="9" xfId="0" applyNumberFormat="1" applyFont="1" applyFill="1" applyBorder="1"/>
    <xf numFmtId="165" fontId="0" fillId="26" borderId="9" xfId="0" applyNumberFormat="1" applyFill="1" applyBorder="1"/>
    <xf numFmtId="165" fontId="7" fillId="0" borderId="0" xfId="0" applyNumberFormat="1" applyFont="1" applyFill="1" applyBorder="1" applyAlignment="1">
      <alignment horizontal="center"/>
    </xf>
    <xf numFmtId="165" fontId="0" fillId="26" borderId="9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0" fontId="1" fillId="14" borderId="9" xfId="0" applyFont="1" applyFill="1" applyBorder="1"/>
    <xf numFmtId="0" fontId="1" fillId="11" borderId="9" xfId="0" applyFont="1" applyFill="1" applyBorder="1"/>
    <xf numFmtId="0" fontId="0" fillId="5" borderId="0" xfId="0" applyFill="1" applyAlignment="1">
      <alignment horizontal="center"/>
    </xf>
    <xf numFmtId="15" fontId="0" fillId="5" borderId="0" xfId="0" applyNumberFormat="1" applyFill="1"/>
    <xf numFmtId="0" fontId="6" fillId="1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10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4" fontId="3" fillId="3" borderId="1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/>
    <xf numFmtId="164" fontId="2" fillId="12" borderId="0" xfId="0" applyNumberFormat="1" applyFont="1" applyFill="1"/>
    <xf numFmtId="0" fontId="0" fillId="3" borderId="4" xfId="0" applyFill="1" applyBorder="1" applyAlignment="1">
      <alignment horizontal="center" vertical="center"/>
    </xf>
    <xf numFmtId="0" fontId="0" fillId="16" borderId="1" xfId="0" applyFill="1" applyBorder="1"/>
    <xf numFmtId="164" fontId="0" fillId="0" borderId="1" xfId="0" applyNumberFormat="1" applyFont="1" applyBorder="1"/>
    <xf numFmtId="0" fontId="7" fillId="0" borderId="1" xfId="0" applyFont="1" applyBorder="1"/>
    <xf numFmtId="164" fontId="7" fillId="0" borderId="5" xfId="0" applyNumberFormat="1" applyFont="1" applyFill="1" applyBorder="1"/>
    <xf numFmtId="0" fontId="7" fillId="0" borderId="0" xfId="0" applyFont="1" applyAlignment="1">
      <alignment horizontal="center"/>
    </xf>
    <xf numFmtId="164" fontId="7" fillId="0" borderId="0" xfId="0" applyNumberFormat="1" applyFont="1"/>
    <xf numFmtId="164" fontId="7" fillId="0" borderId="15" xfId="0" applyNumberFormat="1" applyFont="1" applyBorder="1"/>
    <xf numFmtId="164" fontId="7" fillId="0" borderId="0" xfId="0" applyNumberFormat="1" applyFont="1" applyBorder="1"/>
    <xf numFmtId="164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  <xf numFmtId="165" fontId="4" fillId="10" borderId="1" xfId="0" applyNumberFormat="1" applyFont="1" applyFill="1" applyBorder="1" applyAlignment="1">
      <alignment horizontal="center"/>
    </xf>
    <xf numFmtId="165" fontId="4" fillId="10" borderId="10" xfId="0" applyNumberFormat="1" applyFont="1" applyFill="1" applyBorder="1" applyAlignment="1">
      <alignment horizontal="center"/>
    </xf>
    <xf numFmtId="165" fontId="4" fillId="10" borderId="11" xfId="0" applyNumberFormat="1" applyFont="1" applyFill="1" applyBorder="1" applyAlignment="1">
      <alignment horizontal="center"/>
    </xf>
    <xf numFmtId="165" fontId="4" fillId="10" borderId="1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164" fontId="0" fillId="0" borderId="1" xfId="0" applyNumberForma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right"/>
    </xf>
    <xf numFmtId="0" fontId="0" fillId="3" borderId="11" xfId="0" applyFill="1" applyBorder="1"/>
    <xf numFmtId="164" fontId="0" fillId="0" borderId="16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left" indent="5"/>
    </xf>
    <xf numFmtId="0" fontId="3" fillId="0" borderId="0" xfId="0" applyFont="1"/>
    <xf numFmtId="165" fontId="16" fillId="10" borderId="11" xfId="0" applyNumberFormat="1" applyFont="1" applyFill="1" applyBorder="1" applyAlignment="1">
      <alignment horizontal="center"/>
    </xf>
    <xf numFmtId="0" fontId="7" fillId="3" borderId="11" xfId="0" applyFont="1" applyFill="1" applyBorder="1"/>
    <xf numFmtId="164" fontId="0" fillId="0" borderId="5" xfId="0" applyNumberForma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27" borderId="0" xfId="0" applyFill="1" applyAlignment="1">
      <alignment horizontal="center"/>
    </xf>
    <xf numFmtId="15" fontId="0" fillId="27" borderId="0" xfId="0" applyNumberFormat="1" applyFill="1"/>
    <xf numFmtId="164" fontId="0" fillId="27" borderId="0" xfId="0" applyNumberFormat="1" applyFill="1"/>
    <xf numFmtId="164" fontId="2" fillId="27" borderId="0" xfId="0" applyNumberFormat="1" applyFont="1" applyFill="1"/>
    <xf numFmtId="0" fontId="0" fillId="27" borderId="0" xfId="0" applyFill="1"/>
    <xf numFmtId="164" fontId="0" fillId="27" borderId="0" xfId="0" applyNumberFormat="1" applyFill="1" applyBorder="1"/>
    <xf numFmtId="0" fontId="0" fillId="27" borderId="0" xfId="0" applyFill="1" applyBorder="1" applyAlignment="1">
      <alignment horizontal="center"/>
    </xf>
    <xf numFmtId="15" fontId="0" fillId="27" borderId="0" xfId="0" applyNumberFormat="1" applyFill="1" applyBorder="1"/>
    <xf numFmtId="164" fontId="2" fillId="27" borderId="0" xfId="0" applyNumberFormat="1" applyFont="1" applyFill="1" applyBorder="1"/>
    <xf numFmtId="0" fontId="0" fillId="27" borderId="0" xfId="0" applyFill="1" applyBorder="1"/>
    <xf numFmtId="0" fontId="0" fillId="27" borderId="1" xfId="0" applyFill="1" applyBorder="1" applyAlignment="1">
      <alignment horizontal="center"/>
    </xf>
    <xf numFmtId="15" fontId="0" fillId="27" borderId="1" xfId="0" applyNumberFormat="1" applyFill="1" applyBorder="1"/>
    <xf numFmtId="164" fontId="0" fillId="27" borderId="1" xfId="0" applyNumberFormat="1" applyFill="1" applyBorder="1"/>
    <xf numFmtId="164" fontId="2" fillId="27" borderId="1" xfId="0" applyNumberFormat="1" applyFont="1" applyFill="1" applyBorder="1"/>
    <xf numFmtId="15" fontId="0" fillId="0" borderId="3" xfId="0" applyNumberFormat="1" applyBorder="1"/>
    <xf numFmtId="164" fontId="1" fillId="0" borderId="0" xfId="0" applyNumberFormat="1" applyFont="1" applyFill="1" applyBorder="1" applyAlignment="1">
      <alignment horizontal="right"/>
    </xf>
    <xf numFmtId="15" fontId="10" fillId="0" borderId="1" xfId="0" applyNumberFormat="1" applyFont="1" applyBorder="1" applyAlignment="1">
      <alignment horizontal="right"/>
    </xf>
    <xf numFmtId="164" fontId="0" fillId="0" borderId="8" xfId="0" applyNumberFormat="1" applyFill="1" applyBorder="1"/>
    <xf numFmtId="164" fontId="1" fillId="0" borderId="0" xfId="0" applyNumberFormat="1" applyFont="1" applyAlignment="1">
      <alignment horizontal="right"/>
    </xf>
    <xf numFmtId="164" fontId="0" fillId="0" borderId="10" xfId="0" applyNumberFormat="1" applyFont="1" applyBorder="1"/>
    <xf numFmtId="164" fontId="0" fillId="0" borderId="11" xfId="0" applyNumberFormat="1" applyFont="1" applyBorder="1"/>
    <xf numFmtId="164" fontId="1" fillId="0" borderId="11" xfId="0" applyNumberFormat="1" applyFont="1" applyBorder="1"/>
    <xf numFmtId="164" fontId="1" fillId="11" borderId="11" xfId="0" applyNumberFormat="1" applyFont="1" applyFill="1" applyBorder="1"/>
    <xf numFmtId="0" fontId="7" fillId="0" borderId="12" xfId="0" applyFont="1" applyBorder="1"/>
    <xf numFmtId="0" fontId="8" fillId="0" borderId="0" xfId="0" applyFont="1" applyFill="1" applyAlignment="1">
      <alignment horizontal="center" vertical="center"/>
    </xf>
    <xf numFmtId="164" fontId="8" fillId="10" borderId="0" xfId="0" applyNumberFormat="1" applyFont="1" applyFill="1" applyBorder="1" applyAlignment="1">
      <alignment horizontal="center" vertical="center"/>
    </xf>
    <xf numFmtId="15" fontId="27" fillId="0" borderId="0" xfId="0" applyNumberFormat="1" applyFont="1" applyFill="1" applyAlignment="1">
      <alignment horizontal="center" vertical="center"/>
    </xf>
    <xf numFmtId="15" fontId="27" fillId="0" borderId="0" xfId="0" applyNumberFormat="1" applyFont="1" applyFill="1" applyBorder="1" applyAlignment="1">
      <alignment horizontal="center" vertical="center"/>
    </xf>
    <xf numFmtId="15" fontId="27" fillId="0" borderId="1" xfId="0" applyNumberFormat="1" applyFont="1" applyFill="1" applyBorder="1" applyAlignment="1">
      <alignment horizontal="center" vertical="center"/>
    </xf>
    <xf numFmtId="15" fontId="33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" fontId="0" fillId="0" borderId="15" xfId="0" applyNumberFormat="1" applyBorder="1"/>
    <xf numFmtId="15" fontId="1" fillId="0" borderId="16" xfId="0" applyNumberFormat="1" applyFont="1" applyFill="1" applyBorder="1"/>
    <xf numFmtId="0" fontId="1" fillId="0" borderId="6" xfId="0" applyFont="1" applyBorder="1"/>
    <xf numFmtId="164" fontId="10" fillId="0" borderId="4" xfId="0" applyNumberFormat="1" applyFont="1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15" fontId="0" fillId="9" borderId="0" xfId="0" applyNumberFormat="1" applyFill="1"/>
    <xf numFmtId="0" fontId="1" fillId="0" borderId="0" xfId="0" applyFont="1" applyAlignment="1">
      <alignment horizontal="center" vertical="center"/>
    </xf>
    <xf numFmtId="164" fontId="1" fillId="4" borderId="11" xfId="0" applyNumberFormat="1" applyFont="1" applyFill="1" applyBorder="1"/>
    <xf numFmtId="9" fontId="4" fillId="0" borderId="1" xfId="2" applyFont="1" applyBorder="1" applyAlignment="1">
      <alignment horizontal="center" vertical="center"/>
    </xf>
    <xf numFmtId="17" fontId="1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/>
    <xf numFmtId="17" fontId="1" fillId="0" borderId="14" xfId="0" applyNumberFormat="1" applyFont="1" applyFill="1" applyBorder="1"/>
    <xf numFmtId="0" fontId="24" fillId="0" borderId="0" xfId="0" applyFont="1" applyFill="1" applyAlignment="1">
      <alignment horizontal="center" vertical="center"/>
    </xf>
    <xf numFmtId="15" fontId="27" fillId="27" borderId="0" xfId="0" applyNumberFormat="1" applyFont="1" applyFill="1" applyBorder="1" applyAlignment="1">
      <alignment horizontal="center" vertical="center"/>
    </xf>
    <xf numFmtId="0" fontId="1" fillId="11" borderId="0" xfId="0" applyFont="1" applyFill="1" applyBorder="1"/>
    <xf numFmtId="0" fontId="1" fillId="4" borderId="0" xfId="0" applyFont="1" applyFill="1" applyBorder="1"/>
    <xf numFmtId="0" fontId="1" fillId="2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0" fontId="1" fillId="13" borderId="0" xfId="0" applyFont="1" applyFill="1" applyBorder="1"/>
    <xf numFmtId="0" fontId="24" fillId="9" borderId="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1" xfId="0" applyFont="1" applyFill="1" applyBorder="1"/>
    <xf numFmtId="0" fontId="1" fillId="10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 vertical="center"/>
    </xf>
    <xf numFmtId="15" fontId="27" fillId="27" borderId="0" xfId="0" applyNumberFormat="1" applyFont="1" applyFill="1" applyAlignment="1">
      <alignment horizontal="center" vertical="center"/>
    </xf>
    <xf numFmtId="0" fontId="6" fillId="27" borderId="0" xfId="0" applyFont="1" applyFill="1" applyBorder="1"/>
    <xf numFmtId="0" fontId="2" fillId="27" borderId="0" xfId="0" applyFont="1" applyFill="1" applyBorder="1"/>
    <xf numFmtId="0" fontId="0" fillId="27" borderId="3" xfId="0" applyFill="1" applyBorder="1"/>
    <xf numFmtId="0" fontId="0" fillId="27" borderId="1" xfId="0" applyFill="1" applyBorder="1"/>
    <xf numFmtId="15" fontId="27" fillId="27" borderId="1" xfId="0" applyNumberFormat="1" applyFont="1" applyFill="1" applyBorder="1" applyAlignment="1">
      <alignment horizontal="center" vertical="center"/>
    </xf>
    <xf numFmtId="0" fontId="0" fillId="19" borderId="0" xfId="0" applyFill="1" applyBorder="1"/>
    <xf numFmtId="0" fontId="0" fillId="19" borderId="0" xfId="0" applyFill="1" applyAlignment="1">
      <alignment horizontal="center"/>
    </xf>
    <xf numFmtId="15" fontId="0" fillId="19" borderId="0" xfId="0" applyNumberFormat="1" applyFill="1"/>
    <xf numFmtId="15" fontId="27" fillId="19" borderId="0" xfId="0" applyNumberFormat="1" applyFont="1" applyFill="1" applyAlignment="1">
      <alignment horizontal="center" vertical="center"/>
    </xf>
    <xf numFmtId="164" fontId="0" fillId="19" borderId="0" xfId="0" applyNumberFormat="1" applyFill="1"/>
    <xf numFmtId="164" fontId="2" fillId="19" borderId="0" xfId="0" applyNumberFormat="1" applyFont="1" applyFill="1"/>
    <xf numFmtId="164" fontId="0" fillId="19" borderId="0" xfId="0" applyNumberFormat="1" applyFill="1" applyBorder="1"/>
    <xf numFmtId="0" fontId="6" fillId="19" borderId="0" xfId="0" applyFont="1" applyFill="1" applyBorder="1"/>
    <xf numFmtId="0" fontId="0" fillId="19" borderId="0" xfId="0" applyFill="1" applyBorder="1" applyAlignment="1">
      <alignment horizontal="center"/>
    </xf>
    <xf numFmtId="15" fontId="0" fillId="19" borderId="0" xfId="0" applyNumberFormat="1" applyFill="1" applyBorder="1"/>
    <xf numFmtId="15" fontId="27" fillId="19" borderId="0" xfId="0" applyNumberFormat="1" applyFont="1" applyFill="1" applyBorder="1" applyAlignment="1">
      <alignment horizontal="center" vertical="center"/>
    </xf>
    <xf numFmtId="164" fontId="2" fillId="19" borderId="0" xfId="0" applyNumberFormat="1" applyFont="1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5" fontId="0" fillId="19" borderId="1" xfId="0" applyNumberFormat="1" applyFill="1" applyBorder="1"/>
    <xf numFmtId="15" fontId="27" fillId="19" borderId="1" xfId="0" applyNumberFormat="1" applyFont="1" applyFill="1" applyBorder="1" applyAlignment="1">
      <alignment horizontal="center" vertical="center"/>
    </xf>
    <xf numFmtId="164" fontId="0" fillId="19" borderId="1" xfId="0" applyNumberFormat="1" applyFill="1" applyBorder="1"/>
    <xf numFmtId="164" fontId="2" fillId="19" borderId="1" xfId="0" applyNumberFormat="1" applyFont="1" applyFill="1" applyBorder="1"/>
    <xf numFmtId="0" fontId="0" fillId="19" borderId="0" xfId="0" applyFill="1"/>
    <xf numFmtId="0" fontId="2" fillId="25" borderId="0" xfId="0" applyFont="1" applyFill="1" applyBorder="1"/>
    <xf numFmtId="0" fontId="0" fillId="25" borderId="0" xfId="0" applyFill="1" applyBorder="1"/>
    <xf numFmtId="0" fontId="0" fillId="25" borderId="0" xfId="0" applyFill="1" applyBorder="1" applyAlignment="1">
      <alignment horizontal="center"/>
    </xf>
    <xf numFmtId="15" fontId="0" fillId="25" borderId="0" xfId="0" applyNumberFormat="1" applyFill="1" applyBorder="1"/>
    <xf numFmtId="15" fontId="27" fillId="25" borderId="0" xfId="0" applyNumberFormat="1" applyFont="1" applyFill="1" applyBorder="1" applyAlignment="1">
      <alignment horizontal="center" vertical="center"/>
    </xf>
    <xf numFmtId="164" fontId="0" fillId="25" borderId="0" xfId="0" applyNumberFormat="1" applyFill="1" applyBorder="1"/>
    <xf numFmtId="164" fontId="2" fillId="25" borderId="0" xfId="0" applyNumberFormat="1" applyFont="1" applyFill="1" applyBorder="1"/>
    <xf numFmtId="0" fontId="0" fillId="25" borderId="0" xfId="0" applyFill="1"/>
    <xf numFmtId="164" fontId="0" fillId="25" borderId="0" xfId="0" applyNumberFormat="1" applyFill="1"/>
    <xf numFmtId="0" fontId="0" fillId="25" borderId="0" xfId="0" applyFill="1" applyAlignment="1">
      <alignment horizontal="center"/>
    </xf>
    <xf numFmtId="164" fontId="2" fillId="25" borderId="0" xfId="0" applyNumberFormat="1" applyFont="1" applyFill="1"/>
    <xf numFmtId="15" fontId="0" fillId="25" borderId="0" xfId="0" applyNumberFormat="1" applyFill="1"/>
    <xf numFmtId="15" fontId="27" fillId="25" borderId="0" xfId="0" applyNumberFormat="1" applyFont="1" applyFill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4" borderId="0" xfId="0" applyFont="1" applyFill="1" applyBorder="1" applyAlignment="1">
      <alignment horizontal="center" vertical="center"/>
    </xf>
    <xf numFmtId="0" fontId="8" fillId="19" borderId="0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/>
    </xf>
    <xf numFmtId="0" fontId="1" fillId="22" borderId="10" xfId="0" applyFont="1" applyFill="1" applyBorder="1"/>
    <xf numFmtId="0" fontId="1" fillId="22" borderId="11" xfId="0" applyFont="1" applyFill="1" applyBorder="1" applyAlignment="1">
      <alignment horizontal="center"/>
    </xf>
    <xf numFmtId="15" fontId="1" fillId="22" borderId="11" xfId="0" applyNumberFormat="1" applyFont="1" applyFill="1" applyBorder="1"/>
    <xf numFmtId="15" fontId="8" fillId="22" borderId="11" xfId="0" applyNumberFormat="1" applyFont="1" applyFill="1" applyBorder="1" applyAlignment="1">
      <alignment horizontal="center" vertical="center"/>
    </xf>
    <xf numFmtId="164" fontId="1" fillId="22" borderId="11" xfId="0" applyNumberFormat="1" applyFont="1" applyFill="1" applyBorder="1"/>
    <xf numFmtId="164" fontId="4" fillId="22" borderId="11" xfId="0" applyNumberFormat="1" applyFont="1" applyFill="1" applyBorder="1"/>
    <xf numFmtId="164" fontId="1" fillId="5" borderId="9" xfId="0" applyNumberFormat="1" applyFont="1" applyFill="1" applyBorder="1"/>
    <xf numFmtId="164" fontId="1" fillId="18" borderId="9" xfId="0" applyNumberFormat="1" applyFont="1" applyFill="1" applyBorder="1"/>
    <xf numFmtId="0" fontId="1" fillId="22" borderId="11" xfId="0" applyFont="1" applyFill="1" applyBorder="1"/>
    <xf numFmtId="164" fontId="1" fillId="12" borderId="19" xfId="0" applyNumberFormat="1" applyFont="1" applyFill="1" applyBorder="1"/>
    <xf numFmtId="164" fontId="1" fillId="16" borderId="9" xfId="0" applyNumberFormat="1" applyFont="1" applyFill="1" applyBorder="1"/>
    <xf numFmtId="164" fontId="1" fillId="18" borderId="20" xfId="0" applyNumberFormat="1" applyFont="1" applyFill="1" applyBorder="1"/>
    <xf numFmtId="164" fontId="1" fillId="11" borderId="9" xfId="0" applyNumberFormat="1" applyFont="1" applyFill="1" applyBorder="1"/>
    <xf numFmtId="0" fontId="1" fillId="22" borderId="11" xfId="0" applyFont="1" applyFill="1" applyBorder="1" applyAlignment="1">
      <alignment horizontal="center" vertical="center"/>
    </xf>
    <xf numFmtId="0" fontId="34" fillId="22" borderId="9" xfId="0" applyFont="1" applyFill="1" applyBorder="1" applyAlignment="1">
      <alignment horizontal="center" vertical="center"/>
    </xf>
    <xf numFmtId="0" fontId="1" fillId="22" borderId="12" xfId="0" applyFont="1" applyFill="1" applyBorder="1"/>
    <xf numFmtId="0" fontId="1" fillId="22" borderId="10" xfId="0" applyFont="1" applyFill="1" applyBorder="1" applyAlignment="1">
      <alignment horizontal="left" vertical="center"/>
    </xf>
    <xf numFmtId="165" fontId="6" fillId="0" borderId="4" xfId="0" applyNumberFormat="1" applyFont="1" applyFill="1" applyBorder="1"/>
    <xf numFmtId="165" fontId="6" fillId="0" borderId="0" xfId="0" applyNumberFormat="1" applyFont="1" applyFill="1" applyBorder="1"/>
    <xf numFmtId="17" fontId="1" fillId="22" borderId="10" xfId="0" applyNumberFormat="1" applyFont="1" applyFill="1" applyBorder="1" applyAlignment="1">
      <alignment vertical="center"/>
    </xf>
    <xf numFmtId="164" fontId="1" fillId="14" borderId="13" xfId="0" applyNumberFormat="1" applyFont="1" applyFill="1" applyBorder="1"/>
    <xf numFmtId="164" fontId="1" fillId="16" borderId="13" xfId="0" applyNumberFormat="1" applyFont="1" applyFill="1" applyBorder="1"/>
    <xf numFmtId="164" fontId="1" fillId="12" borderId="13" xfId="0" applyNumberFormat="1" applyFont="1" applyFill="1" applyBorder="1"/>
    <xf numFmtId="0" fontId="12" fillId="0" borderId="0" xfId="0" applyFont="1" applyFill="1"/>
    <xf numFmtId="164" fontId="4" fillId="0" borderId="0" xfId="0" applyNumberFormat="1" applyFont="1" applyFill="1"/>
    <xf numFmtId="164" fontId="1" fillId="4" borderId="9" xfId="0" applyNumberFormat="1" applyFont="1" applyFill="1" applyBorder="1"/>
    <xf numFmtId="165" fontId="7" fillId="22" borderId="9" xfId="0" applyNumberFormat="1" applyFont="1" applyFill="1" applyBorder="1" applyAlignment="1">
      <alignment horizontal="center"/>
    </xf>
    <xf numFmtId="165" fontId="7" fillId="22" borderId="12" xfId="0" applyNumberFormat="1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15" fontId="0" fillId="14" borderId="0" xfId="0" applyNumberFormat="1" applyFill="1"/>
    <xf numFmtId="0" fontId="0" fillId="28" borderId="0" xfId="0" applyFill="1"/>
    <xf numFmtId="15" fontId="27" fillId="28" borderId="0" xfId="0" applyNumberFormat="1" applyFont="1" applyFill="1" applyAlignment="1">
      <alignment horizontal="center" vertical="center"/>
    </xf>
    <xf numFmtId="164" fontId="0" fillId="28" borderId="0" xfId="0" applyNumberFormat="1" applyFill="1"/>
    <xf numFmtId="0" fontId="0" fillId="28" borderId="0" xfId="0" applyFill="1" applyAlignment="1">
      <alignment horizontal="center"/>
    </xf>
    <xf numFmtId="164" fontId="0" fillId="28" borderId="0" xfId="0" applyNumberFormat="1" applyFill="1" applyBorder="1"/>
    <xf numFmtId="164" fontId="2" fillId="28" borderId="0" xfId="0" applyNumberFormat="1" applyFont="1" applyFill="1" applyBorder="1"/>
    <xf numFmtId="15" fontId="0" fillId="28" borderId="0" xfId="0" applyNumberFormat="1" applyFill="1"/>
    <xf numFmtId="164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" fontId="0" fillId="0" borderId="15" xfId="0" applyNumberFormat="1" applyFill="1" applyBorder="1"/>
    <xf numFmtId="0" fontId="1" fillId="10" borderId="10" xfId="0" applyFont="1" applyFill="1" applyBorder="1"/>
    <xf numFmtId="9" fontId="1" fillId="10" borderId="11" xfId="2" applyFont="1" applyFill="1" applyBorder="1" applyAlignment="1">
      <alignment horizontal="center"/>
    </xf>
    <xf numFmtId="165" fontId="1" fillId="10" borderId="11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64" fontId="3" fillId="10" borderId="0" xfId="0" applyNumberFormat="1" applyFont="1" applyFill="1" applyBorder="1" applyAlignment="1">
      <alignment horizontal="center"/>
    </xf>
    <xf numFmtId="0" fontId="0" fillId="10" borderId="0" xfId="0" applyFill="1" applyBorder="1"/>
    <xf numFmtId="164" fontId="0" fillId="10" borderId="0" xfId="0" applyNumberFormat="1" applyFill="1" applyBorder="1"/>
    <xf numFmtId="164" fontId="0" fillId="10" borderId="16" xfId="0" applyNumberFormat="1" applyFill="1" applyBorder="1"/>
    <xf numFmtId="164" fontId="6" fillId="10" borderId="4" xfId="0" applyNumberFormat="1" applyFont="1" applyFill="1" applyBorder="1"/>
    <xf numFmtId="164" fontId="1" fillId="10" borderId="5" xfId="0" applyNumberFormat="1" applyFont="1" applyFill="1" applyBorder="1"/>
    <xf numFmtId="164" fontId="3" fillId="10" borderId="12" xfId="0" applyNumberFormat="1" applyFont="1" applyFill="1" applyBorder="1" applyAlignment="1">
      <alignment horizontal="center"/>
    </xf>
    <xf numFmtId="164" fontId="0" fillId="10" borderId="4" xfId="0" applyNumberFormat="1" applyFill="1" applyBorder="1"/>
    <xf numFmtId="164" fontId="26" fillId="10" borderId="4" xfId="0" applyNumberFormat="1" applyFont="1" applyFill="1" applyBorder="1"/>
    <xf numFmtId="0" fontId="0" fillId="10" borderId="0" xfId="0" applyFill="1"/>
    <xf numFmtId="164" fontId="24" fillId="0" borderId="4" xfId="0" applyNumberFormat="1" applyFont="1" applyFill="1" applyBorder="1"/>
    <xf numFmtId="164" fontId="1" fillId="10" borderId="4" xfId="0" applyNumberFormat="1" applyFont="1" applyFill="1" applyBorder="1"/>
    <xf numFmtId="15" fontId="1" fillId="0" borderId="8" xfId="0" applyNumberFormat="1" applyFont="1" applyBorder="1"/>
    <xf numFmtId="0" fontId="24" fillId="0" borderId="0" xfId="0" applyFont="1" applyBorder="1"/>
    <xf numFmtId="164" fontId="25" fillId="0" borderId="7" xfId="0" applyNumberFormat="1" applyFont="1" applyFill="1" applyBorder="1"/>
    <xf numFmtId="164" fontId="3" fillId="10" borderId="9" xfId="0" applyNumberFormat="1" applyFont="1" applyFill="1" applyBorder="1" applyAlignment="1">
      <alignment horizontal="center"/>
    </xf>
    <xf numFmtId="164" fontId="0" fillId="10" borderId="7" xfId="0" applyNumberFormat="1" applyFill="1" applyBorder="1"/>
    <xf numFmtId="0" fontId="0" fillId="10" borderId="7" xfId="0" applyFill="1" applyBorder="1"/>
    <xf numFmtId="164" fontId="3" fillId="29" borderId="0" xfId="0" applyNumberFormat="1" applyFont="1" applyFill="1" applyBorder="1" applyAlignment="1">
      <alignment horizontal="center"/>
    </xf>
    <xf numFmtId="0" fontId="0" fillId="0" borderId="16" xfId="0" applyBorder="1"/>
    <xf numFmtId="164" fontId="3" fillId="29" borderId="4" xfId="0" applyNumberFormat="1" applyFont="1" applyFill="1" applyBorder="1" applyAlignment="1">
      <alignment horizontal="center"/>
    </xf>
    <xf numFmtId="164" fontId="24" fillId="0" borderId="0" xfId="0" applyNumberFormat="1" applyFont="1" applyFill="1" applyBorder="1"/>
    <xf numFmtId="165" fontId="24" fillId="0" borderId="4" xfId="0" applyNumberFormat="1" applyFont="1" applyFill="1" applyBorder="1"/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/>
    <xf numFmtId="0" fontId="0" fillId="10" borderId="5" xfId="0" applyFill="1" applyBorder="1"/>
    <xf numFmtId="0" fontId="2" fillId="19" borderId="0" xfId="0" applyFont="1" applyFill="1" applyBorder="1"/>
    <xf numFmtId="0" fontId="30" fillId="3" borderId="8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15" fontId="0" fillId="30" borderId="0" xfId="0" applyNumberFormat="1" applyFill="1"/>
    <xf numFmtId="0" fontId="24" fillId="30" borderId="0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23" borderId="9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31" borderId="9" xfId="0" applyFont="1" applyFill="1" applyBorder="1"/>
    <xf numFmtId="1" fontId="0" fillId="0" borderId="9" xfId="0" applyNumberForma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/>
    </xf>
    <xf numFmtId="0" fontId="3" fillId="32" borderId="7" xfId="0" applyFont="1" applyFill="1" applyBorder="1" applyAlignment="1">
      <alignment horizontal="center"/>
    </xf>
    <xf numFmtId="0" fontId="3" fillId="32" borderId="8" xfId="0" applyFont="1" applyFill="1" applyBorder="1" applyAlignment="1">
      <alignment horizontal="center"/>
    </xf>
    <xf numFmtId="165" fontId="7" fillId="32" borderId="12" xfId="0" applyNumberFormat="1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  <xf numFmtId="1" fontId="8" fillId="21" borderId="6" xfId="0" applyNumberFormat="1" applyFont="1" applyFill="1" applyBorder="1" applyAlignment="1">
      <alignment horizontal="center" vertical="center"/>
    </xf>
    <xf numFmtId="0" fontId="8" fillId="21" borderId="7" xfId="0" applyFont="1" applyFill="1" applyBorder="1" applyAlignment="1">
      <alignment horizontal="center"/>
    </xf>
    <xf numFmtId="1" fontId="8" fillId="21" borderId="7" xfId="0" applyNumberFormat="1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/>
    </xf>
    <xf numFmtId="1" fontId="8" fillId="21" borderId="8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/>
    </xf>
    <xf numFmtId="165" fontId="27" fillId="0" borderId="11" xfId="0" applyNumberFormat="1" applyFont="1" applyFill="1" applyBorder="1" applyAlignment="1">
      <alignment horizontal="center"/>
    </xf>
    <xf numFmtId="165" fontId="27" fillId="0" borderId="9" xfId="0" applyNumberFormat="1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165" fontId="0" fillId="14" borderId="9" xfId="0" applyNumberFormat="1" applyFill="1" applyBorder="1"/>
    <xf numFmtId="165" fontId="0" fillId="14" borderId="6" xfId="0" applyNumberFormat="1" applyFill="1" applyBorder="1"/>
    <xf numFmtId="1" fontId="0" fillId="14" borderId="9" xfId="0" applyNumberFormat="1" applyFill="1" applyBorder="1" applyAlignment="1">
      <alignment horizontal="center" vertical="center"/>
    </xf>
    <xf numFmtId="165" fontId="0" fillId="0" borderId="12" xfId="0" applyNumberFormat="1" applyFill="1" applyBorder="1"/>
    <xf numFmtId="1" fontId="0" fillId="0" borderId="12" xfId="0" applyNumberFormat="1" applyFill="1" applyBorder="1" applyAlignment="1">
      <alignment horizontal="center" vertical="center"/>
    </xf>
    <xf numFmtId="0" fontId="0" fillId="24" borderId="0" xfId="0" applyFill="1" applyBorder="1"/>
    <xf numFmtId="0" fontId="23" fillId="0" borderId="0" xfId="0" applyFont="1" applyBorder="1"/>
    <xf numFmtId="0" fontId="23" fillId="0" borderId="0" xfId="0" applyFont="1"/>
    <xf numFmtId="15" fontId="0" fillId="6" borderId="0" xfId="0" applyNumberFormat="1" applyFill="1"/>
    <xf numFmtId="0" fontId="0" fillId="0" borderId="1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5" xfId="0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0" fillId="10" borderId="5" xfId="0" applyNumberFormat="1" applyFill="1" applyBorder="1"/>
    <xf numFmtId="0" fontId="6" fillId="25" borderId="0" xfId="0" applyFont="1" applyFill="1" applyBorder="1"/>
    <xf numFmtId="0" fontId="0" fillId="28" borderId="10" xfId="0" applyFill="1" applyBorder="1"/>
    <xf numFmtId="0" fontId="0" fillId="30" borderId="1" xfId="0" applyFill="1" applyBorder="1"/>
    <xf numFmtId="0" fontId="0" fillId="33" borderId="0" xfId="0" applyFill="1" applyAlignment="1">
      <alignment horizontal="center" vertical="center"/>
    </xf>
    <xf numFmtId="0" fontId="6" fillId="33" borderId="0" xfId="0" applyFont="1" applyFill="1" applyAlignment="1">
      <alignment horizontal="center" vertical="center"/>
    </xf>
    <xf numFmtId="0" fontId="6" fillId="33" borderId="0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164" fontId="1" fillId="9" borderId="9" xfId="0" applyNumberFormat="1" applyFont="1" applyFill="1" applyBorder="1"/>
    <xf numFmtId="164" fontId="1" fillId="30" borderId="9" xfId="0" applyNumberFormat="1" applyFont="1" applyFill="1" applyBorder="1"/>
    <xf numFmtId="164" fontId="1" fillId="18" borderId="17" xfId="0" applyNumberFormat="1" applyFont="1" applyFill="1" applyBorder="1"/>
    <xf numFmtId="0" fontId="1" fillId="29" borderId="9" xfId="0" applyFont="1" applyFill="1" applyBorder="1"/>
    <xf numFmtId="0" fontId="1" fillId="18" borderId="21" xfId="0" applyFont="1" applyFill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/>
    </xf>
    <xf numFmtId="164" fontId="0" fillId="0" borderId="4" xfId="0" applyNumberFormat="1" applyBorder="1"/>
    <xf numFmtId="0" fontId="1" fillId="11" borderId="4" xfId="0" applyFont="1" applyFill="1" applyBorder="1" applyAlignment="1">
      <alignment horizontal="center" vertical="center"/>
    </xf>
    <xf numFmtId="164" fontId="1" fillId="22" borderId="12" xfId="0" applyNumberFormat="1" applyFont="1" applyFill="1" applyBorder="1"/>
    <xf numFmtId="164" fontId="0" fillId="0" borderId="5" xfId="0" applyNumberFormat="1" applyBorder="1"/>
    <xf numFmtId="164" fontId="0" fillId="27" borderId="4" xfId="0" applyNumberFormat="1" applyFill="1" applyBorder="1"/>
    <xf numFmtId="164" fontId="0" fillId="27" borderId="5" xfId="0" applyNumberFormat="1" applyFill="1" applyBorder="1"/>
    <xf numFmtId="164" fontId="11" fillId="0" borderId="4" xfId="0" applyNumberFormat="1" applyFont="1" applyBorder="1"/>
    <xf numFmtId="164" fontId="0" fillId="0" borderId="4" xfId="0" applyNumberFormat="1" applyFont="1" applyBorder="1"/>
    <xf numFmtId="0" fontId="6" fillId="28" borderId="0" xfId="0" applyFont="1" applyFill="1" applyBorder="1"/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15" fontId="0" fillId="14" borderId="0" xfId="0" applyNumberFormat="1" applyFill="1" applyBorder="1"/>
    <xf numFmtId="15" fontId="27" fillId="28" borderId="0" xfId="0" applyNumberFormat="1" applyFont="1" applyFill="1" applyBorder="1" applyAlignment="1">
      <alignment horizontal="center" vertical="center"/>
    </xf>
    <xf numFmtId="164" fontId="2" fillId="28" borderId="0" xfId="0" applyNumberFormat="1" applyFont="1" applyFill="1"/>
    <xf numFmtId="0" fontId="1" fillId="14" borderId="0" xfId="0" applyFont="1" applyFill="1" applyBorder="1" applyAlignment="1">
      <alignment horizontal="center" vertical="center"/>
    </xf>
    <xf numFmtId="0" fontId="2" fillId="28" borderId="0" xfId="0" applyFont="1" applyFill="1" applyBorder="1"/>
    <xf numFmtId="0" fontId="0" fillId="0" borderId="6" xfId="0" applyFill="1" applyBorder="1" applyAlignment="1">
      <alignment horizontal="center"/>
    </xf>
    <xf numFmtId="0" fontId="0" fillId="35" borderId="10" xfId="0" applyFill="1" applyBorder="1"/>
    <xf numFmtId="0" fontId="0" fillId="7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17" borderId="10" xfId="0" applyFill="1" applyBorder="1"/>
    <xf numFmtId="0" fontId="0" fillId="20" borderId="10" xfId="0" applyFill="1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34" borderId="10" xfId="0" applyFill="1" applyBorder="1"/>
    <xf numFmtId="0" fontId="0" fillId="32" borderId="10" xfId="0" applyFill="1" applyBorder="1"/>
    <xf numFmtId="0" fontId="0" fillId="22" borderId="10" xfId="0" applyFill="1" applyBorder="1"/>
    <xf numFmtId="0" fontId="0" fillId="41" borderId="10" xfId="0" applyFill="1" applyBorder="1"/>
    <xf numFmtId="0" fontId="0" fillId="0" borderId="0" xfId="0" applyFill="1" applyBorder="1" applyAlignment="1">
      <alignment horizontal="left"/>
    </xf>
    <xf numFmtId="0" fontId="0" fillId="4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0" fillId="37" borderId="0" xfId="0" applyFill="1" applyAlignment="1">
      <alignment horizontal="center"/>
    </xf>
    <xf numFmtId="15" fontId="2" fillId="25" borderId="0" xfId="0" applyNumberFormat="1" applyFont="1" applyFill="1"/>
    <xf numFmtId="15" fontId="2" fillId="0" borderId="0" xfId="0" applyNumberFormat="1" applyFont="1" applyFill="1"/>
    <xf numFmtId="164" fontId="2" fillId="25" borderId="4" xfId="0" applyNumberFormat="1" applyFont="1" applyFill="1" applyBorder="1"/>
    <xf numFmtId="0" fontId="2" fillId="43" borderId="0" xfId="0" applyFont="1" applyFill="1" applyBorder="1"/>
    <xf numFmtId="0" fontId="0" fillId="43" borderId="0" xfId="0" applyFill="1"/>
    <xf numFmtId="15" fontId="0" fillId="43" borderId="0" xfId="0" applyNumberFormat="1" applyFill="1"/>
    <xf numFmtId="15" fontId="27" fillId="43" borderId="0" xfId="0" applyNumberFormat="1" applyFont="1" applyFill="1" applyAlignment="1">
      <alignment horizontal="center" vertical="center"/>
    </xf>
    <xf numFmtId="164" fontId="0" fillId="43" borderId="0" xfId="0" applyNumberFormat="1" applyFill="1"/>
    <xf numFmtId="0" fontId="0" fillId="43" borderId="0" xfId="0" applyFill="1" applyAlignment="1">
      <alignment horizontal="center"/>
    </xf>
    <xf numFmtId="164" fontId="0" fillId="43" borderId="0" xfId="0" applyNumberFormat="1" applyFill="1" applyBorder="1"/>
    <xf numFmtId="164" fontId="2" fillId="43" borderId="0" xfId="0" applyNumberFormat="1" applyFont="1" applyFill="1" applyBorder="1"/>
    <xf numFmtId="0" fontId="6" fillId="43" borderId="0" xfId="0" applyFont="1" applyFill="1" applyBorder="1"/>
    <xf numFmtId="0" fontId="0" fillId="43" borderId="1" xfId="0" applyFill="1" applyBorder="1"/>
    <xf numFmtId="15" fontId="27" fillId="43" borderId="1" xfId="0" applyNumberFormat="1" applyFont="1" applyFill="1" applyBorder="1" applyAlignment="1">
      <alignment horizontal="center" vertical="center"/>
    </xf>
    <xf numFmtId="164" fontId="0" fillId="43" borderId="1" xfId="0" applyNumberFormat="1" applyFill="1" applyBorder="1"/>
    <xf numFmtId="0" fontId="0" fillId="43" borderId="1" xfId="0" applyFill="1" applyBorder="1" applyAlignment="1">
      <alignment horizontal="center"/>
    </xf>
    <xf numFmtId="164" fontId="2" fillId="43" borderId="1" xfId="0" applyNumberFormat="1" applyFont="1" applyFill="1" applyBorder="1"/>
    <xf numFmtId="15" fontId="0" fillId="43" borderId="1" xfId="0" applyNumberFormat="1" applyFill="1" applyBorder="1"/>
    <xf numFmtId="164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20" fillId="0" borderId="9" xfId="0" applyFont="1" applyBorder="1" applyAlignment="1">
      <alignment wrapText="1"/>
    </xf>
    <xf numFmtId="0" fontId="6" fillId="28" borderId="1" xfId="0" applyFont="1" applyFill="1" applyBorder="1"/>
    <xf numFmtId="0" fontId="0" fillId="28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15" fontId="0" fillId="14" borderId="1" xfId="0" applyNumberFormat="1" applyFill="1" applyBorder="1"/>
    <xf numFmtId="15" fontId="27" fillId="28" borderId="1" xfId="0" applyNumberFormat="1" applyFont="1" applyFill="1" applyBorder="1" applyAlignment="1">
      <alignment horizontal="center" vertical="center"/>
    </xf>
    <xf numFmtId="164" fontId="0" fillId="28" borderId="1" xfId="0" applyNumberFormat="1" applyFill="1" applyBorder="1"/>
    <xf numFmtId="0" fontId="0" fillId="28" borderId="1" xfId="0" applyFill="1" applyBorder="1" applyAlignment="1">
      <alignment horizontal="center"/>
    </xf>
    <xf numFmtId="164" fontId="2" fillId="28" borderId="1" xfId="0" applyNumberFormat="1" applyFont="1" applyFill="1" applyBorder="1"/>
    <xf numFmtId="15" fontId="0" fillId="28" borderId="1" xfId="0" applyNumberForma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4" borderId="7" xfId="0" applyFill="1" applyBorder="1" applyAlignment="1">
      <alignment horizontal="center" vertical="center"/>
    </xf>
    <xf numFmtId="0" fontId="0" fillId="44" borderId="8" xfId="0" applyFill="1" applyBorder="1" applyAlignment="1">
      <alignment horizontal="center" vertical="center"/>
    </xf>
    <xf numFmtId="0" fontId="1" fillId="44" borderId="7" xfId="0" applyFont="1" applyFill="1" applyBorder="1" applyAlignment="1">
      <alignment horizontal="center" vertical="center"/>
    </xf>
    <xf numFmtId="0" fontId="0" fillId="44" borderId="4" xfId="0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1" fillId="44" borderId="0" xfId="0" applyFont="1" applyFill="1" applyAlignment="1">
      <alignment horizontal="center" vertical="center"/>
    </xf>
    <xf numFmtId="0" fontId="0" fillId="44" borderId="6" xfId="0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wrapText="1"/>
    </xf>
    <xf numFmtId="15" fontId="10" fillId="0" borderId="0" xfId="0" applyNumberFormat="1" applyFont="1" applyBorder="1" applyAlignment="1">
      <alignment horizontal="right"/>
    </xf>
    <xf numFmtId="16" fontId="0" fillId="0" borderId="14" xfId="0" applyNumberFormat="1" applyBorder="1"/>
    <xf numFmtId="164" fontId="2" fillId="0" borderId="16" xfId="0" applyNumberFormat="1" applyFont="1" applyFill="1" applyBorder="1"/>
    <xf numFmtId="16" fontId="0" fillId="0" borderId="2" xfId="0" applyNumberFormat="1" applyBorder="1"/>
    <xf numFmtId="164" fontId="2" fillId="0" borderId="4" xfId="0" applyNumberFormat="1" applyFont="1" applyFill="1" applyBorder="1"/>
    <xf numFmtId="0" fontId="0" fillId="28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5" fontId="0" fillId="11" borderId="0" xfId="0" applyNumberFormat="1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15" fontId="0" fillId="30" borderId="1" xfId="0" applyNumberFormat="1" applyFill="1" applyBorder="1"/>
    <xf numFmtId="0" fontId="0" fillId="2" borderId="1" xfId="0" applyFill="1" applyBorder="1" applyAlignment="1">
      <alignment horizontal="center"/>
    </xf>
    <xf numFmtId="15" fontId="0" fillId="2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5" fontId="0" fillId="4" borderId="1" xfId="0" applyNumberFormat="1" applyFill="1" applyBorder="1"/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6" fillId="0" borderId="1" xfId="0" applyFont="1" applyBorder="1"/>
    <xf numFmtId="0" fontId="0" fillId="4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30" borderId="6" xfId="0" applyFont="1" applyFill="1" applyBorder="1" applyAlignment="1">
      <alignment horizontal="center" vertical="center"/>
    </xf>
    <xf numFmtId="0" fontId="6" fillId="30" borderId="7" xfId="0" applyFont="1" applyFill="1" applyBorder="1" applyAlignment="1">
      <alignment horizontal="center" vertical="center"/>
    </xf>
    <xf numFmtId="0" fontId="6" fillId="30" borderId="8" xfId="0" applyFon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30" borderId="16" xfId="0" applyFont="1" applyFill="1" applyBorder="1" applyAlignment="1">
      <alignment horizontal="center" vertical="center"/>
    </xf>
    <xf numFmtId="0" fontId="6" fillId="30" borderId="4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2" fillId="28" borderId="1" xfId="0" applyFont="1" applyFill="1" applyBorder="1"/>
    <xf numFmtId="0" fontId="6" fillId="43" borderId="1" xfId="0" applyFont="1" applyFill="1" applyBorder="1"/>
    <xf numFmtId="0" fontId="0" fillId="12" borderId="1" xfId="0" applyFill="1" applyBorder="1"/>
    <xf numFmtId="0" fontId="6" fillId="16" borderId="16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15" fontId="0" fillId="28" borderId="0" xfId="0" applyNumberFormat="1" applyFont="1" applyFill="1" applyBorder="1"/>
    <xf numFmtId="0" fontId="0" fillId="43" borderId="0" xfId="0" applyFill="1" applyBorder="1"/>
    <xf numFmtId="15" fontId="27" fillId="43" borderId="0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/>
    </xf>
    <xf numFmtId="15" fontId="0" fillId="43" borderId="0" xfId="0" applyNumberFormat="1" applyFill="1" applyBorder="1"/>
    <xf numFmtId="0" fontId="0" fillId="30" borderId="0" xfId="0" applyFill="1" applyBorder="1"/>
    <xf numFmtId="0" fontId="1" fillId="0" borderId="9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8" fillId="0" borderId="9" xfId="0" applyFont="1" applyBorder="1" applyAlignment="1">
      <alignment vertical="center" wrapText="1"/>
    </xf>
    <xf numFmtId="165" fontId="0" fillId="23" borderId="6" xfId="0" applyNumberFormat="1" applyFill="1" applyBorder="1"/>
    <xf numFmtId="0" fontId="7" fillId="0" borderId="15" xfId="0" applyFont="1" applyBorder="1"/>
    <xf numFmtId="0" fontId="7" fillId="0" borderId="15" xfId="0" applyFont="1" applyBorder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0" fillId="42" borderId="15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41" fillId="45" borderId="15" xfId="0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7" fillId="0" borderId="15" xfId="0" quotePrefix="1" applyFont="1" applyBorder="1"/>
    <xf numFmtId="0" fontId="7" fillId="0" borderId="0" xfId="0" applyFont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6" fillId="0" borderId="15" xfId="0" applyFont="1" applyBorder="1"/>
    <xf numFmtId="0" fontId="28" fillId="0" borderId="16" xfId="0" applyFont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1" xfId="0" quotePrefix="1" applyFont="1" applyBorder="1"/>
    <xf numFmtId="0" fontId="27" fillId="0" borderId="0" xfId="0" applyFont="1" applyFill="1" applyBorder="1"/>
    <xf numFmtId="0" fontId="27" fillId="0" borderId="0" xfId="0" applyFont="1" applyBorder="1"/>
    <xf numFmtId="0" fontId="27" fillId="0" borderId="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10" borderId="15" xfId="0" applyFont="1" applyFill="1" applyBorder="1"/>
    <xf numFmtId="0" fontId="7" fillId="4" borderId="15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7" fillId="3" borderId="9" xfId="0" applyFont="1" applyFill="1" applyBorder="1"/>
    <xf numFmtId="0" fontId="7" fillId="3" borderId="1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12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5" borderId="0" xfId="0" applyFont="1" applyFill="1" applyAlignment="1">
      <alignment horizontal="center"/>
    </xf>
    <xf numFmtId="0" fontId="0" fillId="15" borderId="0" xfId="0" applyFill="1"/>
    <xf numFmtId="0" fontId="7" fillId="15" borderId="0" xfId="0" applyFont="1" applyFill="1"/>
    <xf numFmtId="0" fontId="7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41" fillId="4" borderId="22" xfId="0" applyFont="1" applyFill="1" applyBorder="1" applyAlignment="1">
      <alignment horizontal="center"/>
    </xf>
    <xf numFmtId="0" fontId="36" fillId="0" borderId="23" xfId="0" applyFont="1" applyBorder="1"/>
    <xf numFmtId="0" fontId="7" fillId="0" borderId="23" xfId="0" applyFont="1" applyBorder="1"/>
    <xf numFmtId="0" fontId="7" fillId="0" borderId="23" xfId="0" applyFont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42" borderId="23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41" fillId="4" borderId="23" xfId="0" applyFont="1" applyFill="1" applyBorder="1" applyAlignment="1">
      <alignment horizontal="center"/>
    </xf>
    <xf numFmtId="0" fontId="28" fillId="0" borderId="24" xfId="0" applyFont="1" applyBorder="1" applyAlignment="1">
      <alignment horizontal="center"/>
    </xf>
    <xf numFmtId="165" fontId="0" fillId="23" borderId="25" xfId="0" applyNumberFormat="1" applyFill="1" applyBorder="1"/>
    <xf numFmtId="0" fontId="7" fillId="3" borderId="25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7" fillId="3" borderId="25" xfId="0" applyFont="1" applyFill="1" applyBorder="1"/>
    <xf numFmtId="0" fontId="7" fillId="0" borderId="23" xfId="0" quotePrefix="1" applyFont="1" applyBorder="1"/>
    <xf numFmtId="0" fontId="40" fillId="0" borderId="21" xfId="3" applyFont="1" applyBorder="1" applyAlignment="1" applyProtection="1"/>
    <xf numFmtId="0" fontId="41" fillId="2" borderId="26" xfId="0" applyFont="1" applyFill="1" applyBorder="1" applyAlignment="1">
      <alignment horizontal="center"/>
    </xf>
    <xf numFmtId="0" fontId="40" fillId="0" borderId="27" xfId="3" applyFont="1" applyBorder="1" applyAlignment="1" applyProtection="1"/>
    <xf numFmtId="0" fontId="41" fillId="45" borderId="28" xfId="0" applyFont="1" applyFill="1" applyBorder="1" applyAlignment="1">
      <alignment horizontal="center"/>
    </xf>
    <xf numFmtId="0" fontId="40" fillId="0" borderId="29" xfId="3" applyFont="1" applyBorder="1" applyAlignment="1" applyProtection="1"/>
    <xf numFmtId="0" fontId="40" fillId="0" borderId="30" xfId="3" applyFont="1" applyBorder="1" applyAlignment="1" applyProtection="1">
      <alignment horizontal="center"/>
    </xf>
    <xf numFmtId="0" fontId="27" fillId="0" borderId="31" xfId="0" applyFont="1" applyBorder="1"/>
    <xf numFmtId="0" fontId="11" fillId="0" borderId="26" xfId="0" applyFont="1" applyBorder="1" applyAlignment="1">
      <alignment horizontal="center"/>
    </xf>
    <xf numFmtId="0" fontId="27" fillId="0" borderId="27" xfId="0" applyFont="1" applyBorder="1"/>
    <xf numFmtId="0" fontId="41" fillId="26" borderId="30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41" fillId="26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7" fillId="0" borderId="33" xfId="0" applyFont="1" applyFill="1" applyBorder="1"/>
    <xf numFmtId="0" fontId="7" fillId="0" borderId="33" xfId="0" applyFont="1" applyBorder="1"/>
    <xf numFmtId="0" fontId="7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42" borderId="33" xfId="0" applyFill="1" applyBorder="1" applyAlignment="1">
      <alignment horizontal="center"/>
    </xf>
    <xf numFmtId="0" fontId="0" fillId="37" borderId="33" xfId="0" applyFill="1" applyBorder="1" applyAlignment="1">
      <alignment horizontal="center"/>
    </xf>
    <xf numFmtId="0" fontId="35" fillId="0" borderId="33" xfId="0" applyFont="1" applyBorder="1" applyAlignment="1">
      <alignment horizontal="center"/>
    </xf>
    <xf numFmtId="165" fontId="0" fillId="4" borderId="34" xfId="0" applyNumberFormat="1" applyFill="1" applyBorder="1"/>
    <xf numFmtId="0" fontId="7" fillId="3" borderId="34" xfId="0" applyFont="1" applyFill="1" applyBorder="1" applyAlignment="1">
      <alignment horizontal="center"/>
    </xf>
    <xf numFmtId="0" fontId="16" fillId="3" borderId="34" xfId="0" applyFont="1" applyFill="1" applyBorder="1" applyAlignment="1">
      <alignment horizontal="center"/>
    </xf>
    <xf numFmtId="0" fontId="7" fillId="3" borderId="34" xfId="0" applyFont="1" applyFill="1" applyBorder="1"/>
    <xf numFmtId="0" fontId="27" fillId="0" borderId="35" xfId="0" applyFont="1" applyBorder="1"/>
    <xf numFmtId="0" fontId="7" fillId="0" borderId="0" xfId="0" quotePrefix="1" applyFont="1" applyBorder="1"/>
    <xf numFmtId="0" fontId="7" fillId="0" borderId="2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12" borderId="0" xfId="0" applyFont="1" applyFill="1" applyBorder="1"/>
    <xf numFmtId="0" fontId="0" fillId="0" borderId="21" xfId="0" applyBorder="1"/>
    <xf numFmtId="0" fontId="0" fillId="0" borderId="31" xfId="0" applyBorder="1"/>
    <xf numFmtId="0" fontId="0" fillId="0" borderId="35" xfId="0" applyBorder="1"/>
    <xf numFmtId="0" fontId="44" fillId="0" borderId="22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46" fillId="0" borderId="32" xfId="0" applyFont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5" xfId="0" applyNumberFormat="1" applyFont="1" applyBorder="1" applyAlignment="1">
      <alignment horizontal="center"/>
    </xf>
    <xf numFmtId="9" fontId="7" fillId="0" borderId="16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7" fillId="15" borderId="23" xfId="0" applyFont="1" applyFill="1" applyBorder="1"/>
    <xf numFmtId="0" fontId="11" fillId="30" borderId="22" xfId="0" applyFont="1" applyFill="1" applyBorder="1" applyAlignment="1">
      <alignment horizontal="center"/>
    </xf>
    <xf numFmtId="0" fontId="7" fillId="37" borderId="23" xfId="0" applyFont="1" applyFill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11" fillId="30" borderId="23" xfId="0" applyFont="1" applyFill="1" applyBorder="1" applyAlignment="1">
      <alignment horizontal="center"/>
    </xf>
    <xf numFmtId="0" fontId="28" fillId="0" borderId="23" xfId="0" applyFont="1" applyBorder="1" applyAlignment="1">
      <alignment horizontal="center"/>
    </xf>
    <xf numFmtId="165" fontId="6" fillId="23" borderId="25" xfId="0" applyNumberFormat="1" applyFont="1" applyFill="1" applyBorder="1"/>
    <xf numFmtId="0" fontId="0" fillId="0" borderId="33" xfId="0" applyBorder="1"/>
    <xf numFmtId="0" fontId="27" fillId="0" borderId="33" xfId="0" applyFont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1" fontId="0" fillId="14" borderId="9" xfId="0" quotePrefix="1" applyNumberFormat="1" applyFill="1" applyBorder="1" applyAlignment="1">
      <alignment horizontal="center" vertical="center"/>
    </xf>
    <xf numFmtId="0" fontId="0" fillId="28" borderId="0" xfId="0" applyFill="1" applyBorder="1"/>
    <xf numFmtId="0" fontId="0" fillId="16" borderId="0" xfId="0" applyFill="1" applyBorder="1" applyAlignment="1">
      <alignment horizontal="center"/>
    </xf>
    <xf numFmtId="15" fontId="0" fillId="16" borderId="0" xfId="0" applyNumberFormat="1" applyFill="1" applyBorder="1"/>
    <xf numFmtId="0" fontId="6" fillId="16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15" fontId="0" fillId="28" borderId="0" xfId="0" applyNumberFormat="1" applyFill="1" applyBorder="1"/>
    <xf numFmtId="0" fontId="35" fillId="0" borderId="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0" fillId="0" borderId="33" xfId="0" applyFill="1" applyBorder="1"/>
    <xf numFmtId="0" fontId="7" fillId="15" borderId="2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0" fillId="15" borderId="23" xfId="0" applyFill="1" applyBorder="1"/>
    <xf numFmtId="0" fontId="0" fillId="15" borderId="23" xfId="0" applyFill="1" applyBorder="1" applyAlignment="1">
      <alignment horizontal="center"/>
    </xf>
    <xf numFmtId="0" fontId="11" fillId="15" borderId="23" xfId="0" applyFont="1" applyFill="1" applyBorder="1" applyAlignment="1">
      <alignment horizontal="center"/>
    </xf>
    <xf numFmtId="0" fontId="47" fillId="3" borderId="2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7" fillId="0" borderId="0" xfId="0" applyFont="1" applyFill="1" applyBorder="1"/>
    <xf numFmtId="165" fontId="0" fillId="0" borderId="33" xfId="0" applyNumberFormat="1" applyFill="1" applyBorder="1"/>
    <xf numFmtId="0" fontId="7" fillId="0" borderId="33" xfId="0" applyFont="1" applyFill="1" applyBorder="1" applyAlignment="1">
      <alignment horizontal="center"/>
    </xf>
    <xf numFmtId="0" fontId="16" fillId="0" borderId="33" xfId="0" applyFont="1" applyFill="1" applyBorder="1" applyAlignment="1">
      <alignment horizontal="center"/>
    </xf>
    <xf numFmtId="0" fontId="7" fillId="0" borderId="33" xfId="0" applyFont="1" applyFill="1" applyBorder="1"/>
    <xf numFmtId="0" fontId="11" fillId="12" borderId="22" xfId="0" applyFont="1" applyFill="1" applyBorder="1" applyAlignment="1">
      <alignment horizontal="center"/>
    </xf>
    <xf numFmtId="0" fontId="11" fillId="46" borderId="22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8" fillId="42" borderId="0" xfId="0" applyFont="1" applyFill="1" applyBorder="1" applyAlignment="1">
      <alignment horizontal="center"/>
    </xf>
    <xf numFmtId="0" fontId="8" fillId="42" borderId="0" xfId="0" applyFont="1" applyFill="1" applyBorder="1" applyAlignment="1">
      <alignment horizontal="center" wrapText="1"/>
    </xf>
    <xf numFmtId="0" fontId="8" fillId="37" borderId="0" xfId="0" applyFont="1" applyFill="1" applyBorder="1" applyAlignment="1">
      <alignment horizontal="center" wrapText="1"/>
    </xf>
    <xf numFmtId="0" fontId="8" fillId="37" borderId="0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wrapText="1"/>
    </xf>
    <xf numFmtId="0" fontId="3" fillId="21" borderId="6" xfId="0" applyFont="1" applyFill="1" applyBorder="1" applyAlignment="1">
      <alignment horizontal="center" wrapText="1"/>
    </xf>
    <xf numFmtId="0" fontId="42" fillId="0" borderId="0" xfId="0" applyFont="1" applyBorder="1" applyAlignment="1">
      <alignment horizontal="center" wrapText="1"/>
    </xf>
    <xf numFmtId="0" fontId="43" fillId="0" borderId="0" xfId="0" applyFont="1" applyBorder="1" applyAlignment="1">
      <alignment horizontal="center" wrapText="1"/>
    </xf>
    <xf numFmtId="0" fontId="28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9" fontId="3" fillId="0" borderId="0" xfId="0" applyNumberFormat="1" applyFont="1" applyBorder="1" applyAlignment="1">
      <alignment horizontal="center" wrapText="1"/>
    </xf>
    <xf numFmtId="0" fontId="3" fillId="0" borderId="0" xfId="0" applyFont="1" applyBorder="1"/>
    <xf numFmtId="0" fontId="8" fillId="0" borderId="0" xfId="0" applyFont="1" applyBorder="1" applyAlignment="1">
      <alignment horizontal="center" vertical="center"/>
    </xf>
    <xf numFmtId="0" fontId="11" fillId="15" borderId="38" xfId="0" applyFont="1" applyFill="1" applyBorder="1" applyAlignment="1">
      <alignment horizontal="center"/>
    </xf>
    <xf numFmtId="0" fontId="0" fillId="15" borderId="39" xfId="0" applyFill="1" applyBorder="1"/>
    <xf numFmtId="0" fontId="7" fillId="15" borderId="39" xfId="0" applyFont="1" applyFill="1" applyBorder="1"/>
    <xf numFmtId="0" fontId="7" fillId="15" borderId="39" xfId="0" applyFont="1" applyFill="1" applyBorder="1" applyAlignment="1">
      <alignment horizontal="center"/>
    </xf>
    <xf numFmtId="0" fontId="0" fillId="15" borderId="39" xfId="0" applyFill="1" applyBorder="1" applyAlignment="1">
      <alignment horizontal="center"/>
    </xf>
    <xf numFmtId="0" fontId="11" fillId="15" borderId="39" xfId="0" applyFont="1" applyFill="1" applyBorder="1" applyAlignment="1">
      <alignment horizontal="center"/>
    </xf>
    <xf numFmtId="0" fontId="27" fillId="15" borderId="17" xfId="0" applyFont="1" applyFill="1" applyBorder="1"/>
    <xf numFmtId="164" fontId="2" fillId="0" borderId="0" xfId="0" applyNumberFormat="1" applyFont="1" applyFill="1"/>
    <xf numFmtId="0" fontId="48" fillId="3" borderId="25" xfId="0" applyFont="1" applyFill="1" applyBorder="1" applyAlignment="1">
      <alignment horizontal="center"/>
    </xf>
    <xf numFmtId="0" fontId="48" fillId="3" borderId="9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165" fontId="0" fillId="0" borderId="25" xfId="0" applyNumberFormat="1" applyFill="1" applyBorder="1"/>
    <xf numFmtId="0" fontId="0" fillId="4" borderId="0" xfId="0" applyFill="1" applyBorder="1" applyAlignment="1">
      <alignment horizontal="center"/>
    </xf>
    <xf numFmtId="15" fontId="0" fillId="4" borderId="0" xfId="0" applyNumberFormat="1" applyFill="1" applyBorder="1"/>
    <xf numFmtId="0" fontId="0" fillId="30" borderId="6" xfId="0" applyFill="1" applyBorder="1" applyAlignment="1">
      <alignment horizontal="center" vertical="center"/>
    </xf>
    <xf numFmtId="0" fontId="0" fillId="30" borderId="8" xfId="0" applyFill="1" applyBorder="1" applyAlignment="1">
      <alignment horizontal="center" vertical="center"/>
    </xf>
    <xf numFmtId="0" fontId="0" fillId="30" borderId="7" xfId="0" applyFill="1" applyBorder="1" applyAlignment="1">
      <alignment horizontal="center" vertical="center"/>
    </xf>
    <xf numFmtId="164" fontId="1" fillId="14" borderId="11" xfId="0" applyNumberFormat="1" applyFont="1" applyFill="1" applyBorder="1"/>
    <xf numFmtId="0" fontId="39" fillId="0" borderId="21" xfId="3" applyBorder="1" applyAlignment="1" applyProtection="1"/>
    <xf numFmtId="164" fontId="11" fillId="0" borderId="0" xfId="0" applyNumberFormat="1" applyFont="1" applyBorder="1"/>
    <xf numFmtId="164" fontId="11" fillId="0" borderId="0" xfId="0" applyNumberFormat="1" applyFont="1" applyFill="1" applyBorder="1"/>
    <xf numFmtId="164" fontId="1" fillId="0" borderId="1" xfId="0" applyNumberFormat="1" applyFont="1" applyBorder="1" applyAlignment="1">
      <alignment horizontal="right"/>
    </xf>
    <xf numFmtId="164" fontId="3" fillId="0" borderId="7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6" fillId="28" borderId="0" xfId="0" applyNumberFormat="1" applyFont="1" applyFill="1" applyBorder="1"/>
    <xf numFmtId="164" fontId="1" fillId="0" borderId="0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3" fillId="0" borderId="6" xfId="0" applyNumberFormat="1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5" fontId="0" fillId="0" borderId="15" xfId="0" applyNumberFormat="1" applyBorder="1"/>
    <xf numFmtId="164" fontId="10" fillId="0" borderId="1" xfId="0" applyNumberFormat="1" applyFont="1" applyFill="1" applyBorder="1"/>
    <xf numFmtId="164" fontId="3" fillId="0" borderId="5" xfId="0" applyNumberFormat="1" applyFont="1" applyFill="1" applyBorder="1"/>
    <xf numFmtId="0" fontId="0" fillId="0" borderId="0" xfId="0" applyAlignment="1">
      <alignment horizontal="left"/>
    </xf>
    <xf numFmtId="0" fontId="0" fillId="0" borderId="4" xfId="0" applyFill="1" applyBorder="1"/>
    <xf numFmtId="164" fontId="1" fillId="14" borderId="5" xfId="0" applyNumberFormat="1" applyFont="1" applyFill="1" applyBorder="1"/>
    <xf numFmtId="164" fontId="3" fillId="10" borderId="6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6" fillId="10" borderId="7" xfId="0" applyNumberFormat="1" applyFont="1" applyFill="1" applyBorder="1"/>
    <xf numFmtId="164" fontId="1" fillId="10" borderId="7" xfId="0" applyNumberFormat="1" applyFont="1" applyFill="1" applyBorder="1"/>
    <xf numFmtId="164" fontId="26" fillId="10" borderId="7" xfId="0" applyNumberFormat="1" applyFont="1" applyFill="1" applyBorder="1"/>
    <xf numFmtId="164" fontId="1" fillId="0" borderId="8" xfId="0" applyNumberFormat="1" applyFont="1" applyFill="1" applyBorder="1"/>
    <xf numFmtId="164" fontId="25" fillId="0" borderId="3" xfId="0" applyNumberFormat="1" applyFont="1" applyFill="1" applyBorder="1"/>
    <xf numFmtId="0" fontId="0" fillId="3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0" fillId="0" borderId="12" xfId="0" applyFont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4" xfId="0" applyNumberFormat="1" applyFont="1" applyFill="1" applyBorder="1" applyAlignment="1">
      <alignment wrapText="1"/>
    </xf>
    <xf numFmtId="164" fontId="2" fillId="12" borderId="0" xfId="0" quotePrefix="1" applyNumberFormat="1" applyFont="1" applyFill="1" applyBorder="1"/>
    <xf numFmtId="0" fontId="0" fillId="30" borderId="0" xfId="0" applyFill="1" applyBorder="1" applyAlignment="1">
      <alignment horizontal="center"/>
    </xf>
    <xf numFmtId="15" fontId="0" fillId="30" borderId="0" xfId="0" applyNumberFormat="1" applyFill="1" applyBorder="1"/>
    <xf numFmtId="0" fontId="6" fillId="14" borderId="3" xfId="0" applyFont="1" applyFill="1" applyBorder="1" applyAlignment="1">
      <alignment horizontal="center" vertical="center"/>
    </xf>
    <xf numFmtId="164" fontId="11" fillId="0" borderId="0" xfId="0" applyNumberFormat="1" applyFont="1"/>
    <xf numFmtId="0" fontId="6" fillId="14" borderId="15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/>
    <xf numFmtId="0" fontId="7" fillId="12" borderId="9" xfId="0" applyFont="1" applyFill="1" applyBorder="1" applyAlignment="1">
      <alignment horizontal="center"/>
    </xf>
    <xf numFmtId="0" fontId="7" fillId="12" borderId="34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1" fillId="3" borderId="8" xfId="0" applyFont="1" applyFill="1" applyBorder="1" applyAlignment="1">
      <alignment horizontal="center" vertical="center"/>
    </xf>
    <xf numFmtId="164" fontId="6" fillId="43" borderId="1" xfId="0" quotePrefix="1" applyNumberFormat="1" applyFont="1" applyFill="1" applyBorder="1"/>
    <xf numFmtId="0" fontId="27" fillId="3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4" fontId="0" fillId="12" borderId="1" xfId="0" applyNumberFormat="1" applyFill="1" applyBorder="1"/>
    <xf numFmtId="0" fontId="0" fillId="12" borderId="0" xfId="0" applyFill="1" applyBorder="1"/>
    <xf numFmtId="0" fontId="36" fillId="0" borderId="0" xfId="0" applyFont="1" applyBorder="1" applyAlignment="1">
      <alignment horizontal="center"/>
    </xf>
    <xf numFmtId="9" fontId="7" fillId="0" borderId="2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D1F9FD"/>
      <color rgb="FFFF66FF"/>
      <color rgb="FFFAD2F7"/>
      <color rgb="FFF8BEF4"/>
      <color rgb="FF66FFFF"/>
      <color rgb="FFFDDF8B"/>
      <color rgb="FFFFFF66"/>
      <color rgb="FFFFFF99"/>
      <color rgb="FFF9FCD2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irbnb.com/h/3arrowood-plett" TargetMode="External"/><Relationship Id="rId3" Type="http://schemas.openxmlformats.org/officeDocument/2006/relationships/hyperlink" Target="mailto:darrenbrown9710@gmail.com" TargetMode="External"/><Relationship Id="rId7" Type="http://schemas.openxmlformats.org/officeDocument/2006/relationships/hyperlink" Target="mailto:H@v!ng@H!ll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airbnb.com/h/hill-penthouse-plett" TargetMode="External"/><Relationship Id="rId1" Type="http://schemas.openxmlformats.org/officeDocument/2006/relationships/hyperlink" Target="https://airbnb.com/h/clifftop-luxury-cabin-plett" TargetMode="External"/><Relationship Id="rId6" Type="http://schemas.openxmlformats.org/officeDocument/2006/relationships/hyperlink" Target="mailto:DanJor0825!@" TargetMode="External"/><Relationship Id="rId11" Type="http://schemas.openxmlformats.org/officeDocument/2006/relationships/hyperlink" Target="https://airbnb.com/h/hill-seaview-apartment-plett" TargetMode="External"/><Relationship Id="rId5" Type="http://schemas.openxmlformats.org/officeDocument/2006/relationships/hyperlink" Target="mailto:Danjor!@852" TargetMode="External"/><Relationship Id="rId10" Type="http://schemas.openxmlformats.org/officeDocument/2006/relationships/hyperlink" Target="mailto:Relax@Toplis" TargetMode="External"/><Relationship Id="rId4" Type="http://schemas.openxmlformats.org/officeDocument/2006/relationships/hyperlink" Target="mailto:DanJor0825!@" TargetMode="External"/><Relationship Id="rId9" Type="http://schemas.openxmlformats.org/officeDocument/2006/relationships/hyperlink" Target="https://airbnb.com/h/topli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I799"/>
  <sheetViews>
    <sheetView tabSelected="1" topLeftCell="K1" workbookViewId="0">
      <pane ySplit="1080" activePane="bottomLeft"/>
      <selection activeCell="I1" sqref="I1:K1048576"/>
      <selection pane="bottomLeft" activeCell="AD191" sqref="AD191"/>
    </sheetView>
  </sheetViews>
  <sheetFormatPr defaultRowHeight="14.5"/>
  <cols>
    <col min="1" max="1" width="4" style="23" customWidth="1"/>
    <col min="2" max="6" width="4" style="5" customWidth="1"/>
    <col min="7" max="7" width="4" style="23" customWidth="1"/>
    <col min="8" max="8" width="4" style="291" customWidth="1"/>
    <col min="9" max="9" width="28.81640625" style="43" customWidth="1"/>
    <col min="10" max="10" width="17.54296875" customWidth="1"/>
    <col min="11" max="11" width="13.54296875" bestFit="1" customWidth="1"/>
    <col min="12" max="12" width="4.1796875" style="1" customWidth="1"/>
    <col min="13" max="14" width="10" customWidth="1"/>
    <col min="15" max="16" width="3.54296875" style="431" customWidth="1"/>
    <col min="17" max="17" width="11.7265625" style="3" bestFit="1" customWidth="1"/>
    <col min="18" max="18" width="6.7265625" style="1" customWidth="1"/>
    <col min="19" max="19" width="12.7265625" style="3" customWidth="1"/>
    <col min="20" max="20" width="12.54296875" style="28" customWidth="1"/>
    <col min="21" max="21" width="12.7265625" style="3" customWidth="1"/>
    <col min="22" max="22" width="12.7265625" customWidth="1"/>
    <col min="23" max="23" width="13.1796875" customWidth="1"/>
    <col min="24" max="24" width="12.54296875" customWidth="1"/>
    <col min="25" max="27" width="13.7265625" customWidth="1"/>
    <col min="28" max="28" width="13.26953125" style="3" customWidth="1"/>
    <col min="29" max="29" width="12.7265625" style="24" bestFit="1" customWidth="1"/>
    <col min="30" max="30" width="13.453125" style="3" bestFit="1" customWidth="1"/>
    <col min="31" max="31" width="12.81640625" bestFit="1" customWidth="1"/>
    <col min="32" max="33" width="12.7265625" bestFit="1" customWidth="1"/>
    <col min="34" max="34" width="11.81640625" bestFit="1" customWidth="1"/>
    <col min="35" max="35" width="11.7265625" bestFit="1" customWidth="1"/>
  </cols>
  <sheetData>
    <row r="1" spans="1:34" s="6" customFormat="1">
      <c r="A1" s="278" t="s">
        <v>112</v>
      </c>
      <c r="B1" s="284"/>
      <c r="C1" s="284" t="s">
        <v>120</v>
      </c>
      <c r="D1" s="501" t="s">
        <v>110</v>
      </c>
      <c r="E1" s="232" t="s">
        <v>112</v>
      </c>
      <c r="F1" s="235" t="s">
        <v>115</v>
      </c>
      <c r="G1" s="236" t="s">
        <v>116</v>
      </c>
      <c r="H1" s="289" t="s">
        <v>552</v>
      </c>
      <c r="I1" s="14" t="s">
        <v>3</v>
      </c>
      <c r="L1" s="8"/>
      <c r="O1" s="425"/>
      <c r="P1" s="425"/>
      <c r="Q1" s="7"/>
      <c r="R1" s="8"/>
      <c r="S1" s="7"/>
      <c r="T1" s="27"/>
      <c r="U1" s="7"/>
      <c r="AB1" s="3"/>
      <c r="AC1" s="24"/>
      <c r="AD1" s="651"/>
    </row>
    <row r="2" spans="1:34" s="14" customFormat="1">
      <c r="A2" s="278" t="s">
        <v>113</v>
      </c>
      <c r="B2" s="502" t="s">
        <v>111</v>
      </c>
      <c r="C2" s="502" t="s">
        <v>119</v>
      </c>
      <c r="D2" s="501" t="s">
        <v>118</v>
      </c>
      <c r="E2" s="503" t="s">
        <v>114</v>
      </c>
      <c r="F2" s="236" t="s">
        <v>5</v>
      </c>
      <c r="G2" s="236" t="s">
        <v>5</v>
      </c>
      <c r="H2" s="289" t="s">
        <v>553</v>
      </c>
      <c r="I2" s="14" t="s">
        <v>4</v>
      </c>
      <c r="J2" s="248" t="s">
        <v>9</v>
      </c>
      <c r="K2" s="248" t="s">
        <v>20</v>
      </c>
      <c r="L2" s="248" t="s">
        <v>697</v>
      </c>
      <c r="M2" s="248" t="s">
        <v>21</v>
      </c>
      <c r="N2" s="248" t="s">
        <v>22</v>
      </c>
      <c r="O2" s="432" t="s">
        <v>117</v>
      </c>
      <c r="P2" s="432" t="s">
        <v>755</v>
      </c>
      <c r="Q2" s="504" t="s">
        <v>5</v>
      </c>
      <c r="R2" s="248" t="s">
        <v>17</v>
      </c>
      <c r="S2" s="504" t="s">
        <v>6</v>
      </c>
      <c r="T2" s="505" t="s">
        <v>7</v>
      </c>
      <c r="U2" s="504" t="s">
        <v>8</v>
      </c>
      <c r="V2" s="506" t="s">
        <v>216</v>
      </c>
      <c r="W2" s="507" t="s">
        <v>389</v>
      </c>
      <c r="X2" s="508" t="s">
        <v>390</v>
      </c>
      <c r="Y2" s="509" t="s">
        <v>391</v>
      </c>
      <c r="Z2" s="597" t="s">
        <v>793</v>
      </c>
      <c r="AA2" s="665" t="s">
        <v>890</v>
      </c>
      <c r="AB2" s="510" t="s">
        <v>600</v>
      </c>
      <c r="AC2" s="248" t="s">
        <v>52</v>
      </c>
      <c r="AD2" s="652" t="s">
        <v>310</v>
      </c>
      <c r="AE2" s="510" t="s">
        <v>464</v>
      </c>
      <c r="AF2" s="511" t="s">
        <v>465</v>
      </c>
      <c r="AG2" s="512" t="s">
        <v>59</v>
      </c>
      <c r="AH2" s="513" t="s">
        <v>466</v>
      </c>
    </row>
    <row r="3" spans="1:34" s="14" customFormat="1" ht="9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  <c r="M3" s="80"/>
      <c r="N3" s="80"/>
      <c r="O3" s="426"/>
      <c r="P3" s="426"/>
      <c r="Q3" s="82"/>
      <c r="R3" s="81"/>
      <c r="S3" s="82"/>
      <c r="T3" s="83"/>
      <c r="U3" s="82"/>
      <c r="V3" s="82"/>
      <c r="W3" s="80"/>
      <c r="X3" s="80"/>
      <c r="Y3" s="80"/>
      <c r="Z3" s="80"/>
      <c r="AA3" s="80"/>
      <c r="AB3" s="84"/>
      <c r="AC3" s="85"/>
      <c r="AD3" s="572"/>
      <c r="AE3" s="84"/>
      <c r="AF3" s="84"/>
      <c r="AG3" s="84"/>
      <c r="AH3" s="84"/>
    </row>
    <row r="4" spans="1:34">
      <c r="A4" s="279" t="s">
        <v>117</v>
      </c>
      <c r="B4" s="285" t="s">
        <v>117</v>
      </c>
      <c r="C4" s="285" t="s">
        <v>117</v>
      </c>
      <c r="D4" s="282" t="s">
        <v>117</v>
      </c>
      <c r="E4" s="233" t="s">
        <v>117</v>
      </c>
      <c r="F4" s="237">
        <v>5</v>
      </c>
      <c r="G4" s="238">
        <v>5</v>
      </c>
      <c r="H4" s="292" t="s">
        <v>554</v>
      </c>
      <c r="I4" s="43" t="s">
        <v>50</v>
      </c>
      <c r="J4" t="s">
        <v>60</v>
      </c>
      <c r="K4" s="18" t="s">
        <v>23</v>
      </c>
      <c r="L4" s="29">
        <v>2</v>
      </c>
      <c r="M4" s="30">
        <v>45212</v>
      </c>
      <c r="N4" s="30">
        <v>45214</v>
      </c>
      <c r="O4" s="427"/>
      <c r="P4" s="427"/>
      <c r="Q4" s="3">
        <v>1400</v>
      </c>
      <c r="R4" s="1">
        <v>2</v>
      </c>
      <c r="S4" s="3">
        <f>+Q4*R4</f>
        <v>2800</v>
      </c>
      <c r="T4" s="28">
        <v>-96.87</v>
      </c>
      <c r="U4" s="3">
        <f>SUM(S4:T4)</f>
        <v>2703.13</v>
      </c>
      <c r="V4" s="50">
        <v>486.61</v>
      </c>
      <c r="W4" s="50">
        <f>+U4-V4</f>
        <v>2216.52</v>
      </c>
      <c r="X4" s="50"/>
      <c r="Y4" s="50"/>
      <c r="Z4" s="50"/>
      <c r="AA4" s="50"/>
      <c r="AB4" s="3">
        <f t="shared" ref="AB4:AB15" si="0">V4</f>
        <v>486.61</v>
      </c>
      <c r="AC4" s="24">
        <v>45250</v>
      </c>
      <c r="AD4" s="651"/>
    </row>
    <row r="5" spans="1:34">
      <c r="A5" s="279" t="s">
        <v>117</v>
      </c>
      <c r="B5" s="285" t="s">
        <v>117</v>
      </c>
      <c r="C5" s="285" t="s">
        <v>117</v>
      </c>
      <c r="D5" s="282" t="s">
        <v>117</v>
      </c>
      <c r="E5" s="233" t="s">
        <v>117</v>
      </c>
      <c r="F5" s="237">
        <v>5</v>
      </c>
      <c r="G5" s="238"/>
      <c r="H5" s="292" t="s">
        <v>554</v>
      </c>
      <c r="I5" s="53" t="s">
        <v>47</v>
      </c>
      <c r="J5" t="s">
        <v>34</v>
      </c>
      <c r="K5" s="18" t="s">
        <v>23</v>
      </c>
      <c r="L5" s="29">
        <v>2</v>
      </c>
      <c r="M5" s="30">
        <v>45223</v>
      </c>
      <c r="N5" s="30">
        <v>45225</v>
      </c>
      <c r="O5" s="427"/>
      <c r="P5" s="427"/>
      <c r="Q5" s="3">
        <v>1400</v>
      </c>
      <c r="R5" s="1">
        <v>2</v>
      </c>
      <c r="S5" s="3">
        <f t="shared" ref="S5:S61" si="1">+Q5*R5</f>
        <v>2800</v>
      </c>
      <c r="T5" s="28">
        <v>-96.57</v>
      </c>
      <c r="U5" s="3">
        <f t="shared" ref="U5:U146" si="2">SUM(S5:T5)</f>
        <v>2703.43</v>
      </c>
      <c r="V5" s="50">
        <f t="shared" ref="V5:V146" si="3">+U5*0.18</f>
        <v>486.61739999999998</v>
      </c>
      <c r="W5" s="50">
        <f t="shared" ref="W5:W146" si="4">+U5-V5</f>
        <v>2216.8125999999997</v>
      </c>
      <c r="X5" s="50"/>
      <c r="Y5" s="50"/>
      <c r="Z5" s="50"/>
      <c r="AA5" s="50"/>
      <c r="AB5" s="3">
        <f t="shared" si="0"/>
        <v>486.61739999999998</v>
      </c>
      <c r="AC5" s="24">
        <v>45250</v>
      </c>
      <c r="AD5" s="651"/>
    </row>
    <row r="6" spans="1:34">
      <c r="A6" s="279" t="s">
        <v>117</v>
      </c>
      <c r="B6" s="285" t="s">
        <v>117</v>
      </c>
      <c r="C6" s="285" t="s">
        <v>117</v>
      </c>
      <c r="D6" s="282" t="s">
        <v>117</v>
      </c>
      <c r="E6" s="233" t="s">
        <v>117</v>
      </c>
      <c r="F6" s="237">
        <v>5</v>
      </c>
      <c r="G6" s="238">
        <v>5</v>
      </c>
      <c r="H6" s="292" t="s">
        <v>554</v>
      </c>
      <c r="I6" s="53" t="s">
        <v>40</v>
      </c>
      <c r="J6" t="s">
        <v>41</v>
      </c>
      <c r="K6" s="4" t="s">
        <v>24</v>
      </c>
      <c r="L6" s="29">
        <v>2</v>
      </c>
      <c r="M6" s="30">
        <v>45226</v>
      </c>
      <c r="N6" s="30">
        <v>45229</v>
      </c>
      <c r="O6" s="427"/>
      <c r="P6" s="427"/>
      <c r="Q6" s="3">
        <v>1400</v>
      </c>
      <c r="R6" s="1">
        <v>3</v>
      </c>
      <c r="S6" s="3">
        <f>+Q6*R6</f>
        <v>4200</v>
      </c>
      <c r="T6" s="28">
        <v>-144.9</v>
      </c>
      <c r="U6" s="3">
        <f>SUM(S6:T6)</f>
        <v>4055.1</v>
      </c>
      <c r="V6" s="50">
        <f t="shared" si="3"/>
        <v>729.91800000000001</v>
      </c>
      <c r="W6" s="50">
        <f t="shared" si="4"/>
        <v>3325.1819999999998</v>
      </c>
      <c r="X6" s="3"/>
      <c r="Y6" s="3"/>
      <c r="Z6" s="3"/>
      <c r="AA6" s="3"/>
      <c r="AB6" s="3">
        <f t="shared" si="0"/>
        <v>729.91800000000001</v>
      </c>
      <c r="AC6" s="24">
        <v>45250</v>
      </c>
      <c r="AD6" s="651"/>
      <c r="AE6" s="3"/>
    </row>
    <row r="7" spans="1:34">
      <c r="A7" s="279" t="s">
        <v>117</v>
      </c>
      <c r="B7" s="285" t="s">
        <v>117</v>
      </c>
      <c r="C7" s="285" t="s">
        <v>117</v>
      </c>
      <c r="D7" s="282" t="s">
        <v>117</v>
      </c>
      <c r="E7" s="233" t="s">
        <v>117</v>
      </c>
      <c r="F7" s="237">
        <v>5</v>
      </c>
      <c r="G7" s="238">
        <v>5</v>
      </c>
      <c r="H7" s="292" t="s">
        <v>554</v>
      </c>
      <c r="I7" s="53" t="s">
        <v>106</v>
      </c>
      <c r="J7" t="s">
        <v>107</v>
      </c>
      <c r="K7" s="18" t="s">
        <v>23</v>
      </c>
      <c r="L7" s="29">
        <v>2</v>
      </c>
      <c r="M7" s="30">
        <v>45226</v>
      </c>
      <c r="N7" s="30">
        <v>45228</v>
      </c>
      <c r="O7" s="427"/>
      <c r="P7" s="427"/>
      <c r="Q7" s="50">
        <v>1400</v>
      </c>
      <c r="R7" s="1">
        <v>2</v>
      </c>
      <c r="S7" s="3">
        <f>+Q7*R7</f>
        <v>2800</v>
      </c>
      <c r="T7" s="28">
        <v>-96.6</v>
      </c>
      <c r="U7" s="3">
        <f>SUM(S7:T7)</f>
        <v>2703.4</v>
      </c>
      <c r="V7" s="50">
        <f>+U7*0.18</f>
        <v>486.61200000000002</v>
      </c>
      <c r="W7" s="50">
        <f>+U7-V7</f>
        <v>2216.788</v>
      </c>
      <c r="X7" s="3"/>
      <c r="Y7" s="3"/>
      <c r="Z7" s="3"/>
      <c r="AA7" s="3"/>
      <c r="AB7" s="3">
        <f t="shared" si="0"/>
        <v>486.61200000000002</v>
      </c>
      <c r="AC7" s="24">
        <v>45250</v>
      </c>
      <c r="AD7" s="651"/>
    </row>
    <row r="8" spans="1:34">
      <c r="A8" s="279" t="s">
        <v>117</v>
      </c>
      <c r="B8" s="285" t="s">
        <v>117</v>
      </c>
      <c r="C8" s="285" t="s">
        <v>117</v>
      </c>
      <c r="D8" s="282" t="s">
        <v>117</v>
      </c>
      <c r="E8" s="233" t="s">
        <v>117</v>
      </c>
      <c r="F8" s="237">
        <v>5</v>
      </c>
      <c r="G8" s="238">
        <v>5</v>
      </c>
      <c r="H8" s="292" t="s">
        <v>554</v>
      </c>
      <c r="I8" s="53" t="s">
        <v>108</v>
      </c>
      <c r="J8" t="s">
        <v>109</v>
      </c>
      <c r="K8" s="18" t="s">
        <v>23</v>
      </c>
      <c r="L8" s="29">
        <v>2</v>
      </c>
      <c r="M8" s="30">
        <v>45229</v>
      </c>
      <c r="N8" s="30">
        <v>45231</v>
      </c>
      <c r="O8" s="427"/>
      <c r="P8" s="427"/>
      <c r="Q8" s="3">
        <v>1400</v>
      </c>
      <c r="R8" s="1">
        <v>2</v>
      </c>
      <c r="S8" s="3">
        <f>+Q8*R8</f>
        <v>2800</v>
      </c>
      <c r="T8" s="28">
        <v>-96.57</v>
      </c>
      <c r="U8" s="3">
        <f>SUM(S8:T8)</f>
        <v>2703.43</v>
      </c>
      <c r="V8" s="50">
        <f>+U8*0.18</f>
        <v>486.61739999999998</v>
      </c>
      <c r="W8" s="50">
        <f>+U8-V8</f>
        <v>2216.8125999999997</v>
      </c>
      <c r="X8" s="3"/>
      <c r="Y8" s="3"/>
      <c r="Z8" s="3"/>
      <c r="AA8" s="3"/>
      <c r="AB8" s="3">
        <f t="shared" si="0"/>
        <v>486.61739999999998</v>
      </c>
      <c r="AC8" s="24">
        <v>45230</v>
      </c>
      <c r="AD8" s="651"/>
    </row>
    <row r="9" spans="1:34" ht="15" thickBot="1">
      <c r="A9" s="279" t="s">
        <v>117</v>
      </c>
      <c r="B9" s="285" t="s">
        <v>117</v>
      </c>
      <c r="C9" s="285" t="s">
        <v>117</v>
      </c>
      <c r="D9" s="282" t="s">
        <v>117</v>
      </c>
      <c r="E9" s="233" t="s">
        <v>117</v>
      </c>
      <c r="F9" s="237">
        <v>5</v>
      </c>
      <c r="G9" s="238">
        <v>5</v>
      </c>
      <c r="H9" s="292" t="s">
        <v>554</v>
      </c>
      <c r="I9" s="53" t="s">
        <v>32</v>
      </c>
      <c r="J9" s="43" t="s">
        <v>33</v>
      </c>
      <c r="K9" s="44" t="s">
        <v>24</v>
      </c>
      <c r="L9" s="54">
        <v>2</v>
      </c>
      <c r="M9" s="55">
        <v>45229</v>
      </c>
      <c r="N9" s="55">
        <v>11627</v>
      </c>
      <c r="O9" s="428"/>
      <c r="P9" s="428"/>
      <c r="Q9" s="47">
        <v>1400</v>
      </c>
      <c r="R9" s="48">
        <v>1</v>
      </c>
      <c r="S9" s="47">
        <f t="shared" si="1"/>
        <v>1400</v>
      </c>
      <c r="T9" s="49">
        <v>-48.28</v>
      </c>
      <c r="U9" s="47">
        <f t="shared" si="2"/>
        <v>1351.72</v>
      </c>
      <c r="V9" s="62">
        <f t="shared" si="3"/>
        <v>243.30959999999999</v>
      </c>
      <c r="W9" s="62">
        <f t="shared" si="4"/>
        <v>1108.4104</v>
      </c>
      <c r="X9" s="47"/>
      <c r="Y9" s="47"/>
      <c r="Z9" s="47"/>
      <c r="AA9" s="47"/>
      <c r="AB9" s="3">
        <f t="shared" si="0"/>
        <v>243.30959999999999</v>
      </c>
      <c r="AC9" s="24">
        <v>45230</v>
      </c>
      <c r="AD9" s="651"/>
    </row>
    <row r="10" spans="1:34">
      <c r="A10" s="280" t="s">
        <v>117</v>
      </c>
      <c r="B10" s="286" t="s">
        <v>117</v>
      </c>
      <c r="C10" s="286" t="s">
        <v>117</v>
      </c>
      <c r="D10" s="283" t="s">
        <v>117</v>
      </c>
      <c r="E10" s="234" t="s">
        <v>117</v>
      </c>
      <c r="F10" s="239">
        <v>5</v>
      </c>
      <c r="G10" s="239">
        <v>5</v>
      </c>
      <c r="H10" s="293" t="s">
        <v>554</v>
      </c>
      <c r="I10" s="56" t="s">
        <v>122</v>
      </c>
      <c r="J10" s="31" t="s">
        <v>123</v>
      </c>
      <c r="K10" s="44" t="s">
        <v>24</v>
      </c>
      <c r="L10" s="54">
        <v>2</v>
      </c>
      <c r="M10" s="55">
        <v>45230</v>
      </c>
      <c r="N10" s="55">
        <v>45232</v>
      </c>
      <c r="O10" s="428"/>
      <c r="P10" s="428"/>
      <c r="Q10" s="47">
        <v>1400</v>
      </c>
      <c r="R10" s="48">
        <v>2</v>
      </c>
      <c r="S10" s="47">
        <f>+Q10*R10</f>
        <v>2800</v>
      </c>
      <c r="T10" s="49">
        <v>-96.55</v>
      </c>
      <c r="U10" s="47">
        <f>SUM(S10:T10)</f>
        <v>2703.45</v>
      </c>
      <c r="V10" s="62">
        <f>+U10*0.18</f>
        <v>486.62099999999992</v>
      </c>
      <c r="W10" s="62">
        <f>+U10-V10</f>
        <v>2216.8289999999997</v>
      </c>
      <c r="X10" s="47"/>
      <c r="Y10" s="47"/>
      <c r="Z10" s="47"/>
      <c r="AA10" s="47"/>
      <c r="AB10" s="47">
        <f t="shared" si="0"/>
        <v>486.62099999999992</v>
      </c>
      <c r="AC10" s="101">
        <v>45250</v>
      </c>
      <c r="AD10" s="651"/>
      <c r="AE10" s="649" t="s">
        <v>464</v>
      </c>
      <c r="AF10" s="43"/>
      <c r="AG10" s="43"/>
      <c r="AH10" s="516" t="s">
        <v>466</v>
      </c>
    </row>
    <row r="11" spans="1:34" s="6" customFormat="1">
      <c r="A11" s="533" t="s">
        <v>726</v>
      </c>
      <c r="B11" s="530"/>
      <c r="C11" s="530"/>
      <c r="D11" s="530"/>
      <c r="E11" s="530"/>
      <c r="F11" s="530"/>
      <c r="G11" s="530"/>
      <c r="H11" s="531"/>
      <c r="I11" s="525"/>
      <c r="J11" s="532"/>
      <c r="K11" s="517"/>
      <c r="L11" s="518"/>
      <c r="M11" s="519"/>
      <c r="N11" s="519"/>
      <c r="O11" s="520"/>
      <c r="P11" s="520"/>
      <c r="Q11" s="521"/>
      <c r="R11" s="518"/>
      <c r="S11" s="521"/>
      <c r="T11" s="522"/>
      <c r="U11" s="521"/>
      <c r="V11" s="542">
        <f>SUM(V4:V10)</f>
        <v>3406.3054000000002</v>
      </c>
      <c r="W11" s="523">
        <f>SUM(W4:W10)</f>
        <v>15517.354599999999</v>
      </c>
      <c r="X11" s="521"/>
      <c r="Y11" s="521"/>
      <c r="Z11" s="521"/>
      <c r="AA11" s="521"/>
      <c r="AB11" s="524">
        <f>SUM(AB4:AB10)</f>
        <v>3406.3054000000002</v>
      </c>
      <c r="AC11" s="519"/>
      <c r="AD11" s="653"/>
      <c r="AE11" s="528">
        <f>AB11</f>
        <v>3406.3054000000002</v>
      </c>
      <c r="AF11" s="525"/>
      <c r="AG11" s="525"/>
      <c r="AH11" s="526">
        <f>AE11/3</f>
        <v>1135.4351333333334</v>
      </c>
    </row>
    <row r="12" spans="1:34">
      <c r="A12" s="279" t="s">
        <v>117</v>
      </c>
      <c r="B12" s="285" t="s">
        <v>117</v>
      </c>
      <c r="C12" s="285" t="s">
        <v>117</v>
      </c>
      <c r="D12" s="282" t="s">
        <v>117</v>
      </c>
      <c r="E12" s="233" t="s">
        <v>117</v>
      </c>
      <c r="F12" s="237">
        <v>5</v>
      </c>
      <c r="G12" s="238"/>
      <c r="H12" s="292" t="s">
        <v>554</v>
      </c>
      <c r="I12" s="53" t="s">
        <v>42</v>
      </c>
      <c r="J12" t="s">
        <v>41</v>
      </c>
      <c r="K12" s="4" t="s">
        <v>24</v>
      </c>
      <c r="L12" s="29">
        <v>2</v>
      </c>
      <c r="M12" s="30">
        <v>45232</v>
      </c>
      <c r="N12" s="30">
        <v>45235</v>
      </c>
      <c r="O12" s="427"/>
      <c r="P12" s="427"/>
      <c r="Q12" s="3">
        <v>1400</v>
      </c>
      <c r="R12" s="1">
        <v>3</v>
      </c>
      <c r="S12" s="3">
        <f>+Q12*R12</f>
        <v>4200</v>
      </c>
      <c r="T12" s="28">
        <v>-144.9</v>
      </c>
      <c r="U12" s="3">
        <f>SUM(S12:T12)</f>
        <v>4055.1</v>
      </c>
      <c r="V12" s="50">
        <f t="shared" si="3"/>
        <v>729.91800000000001</v>
      </c>
      <c r="W12" s="50">
        <f t="shared" si="4"/>
        <v>3325.1819999999998</v>
      </c>
      <c r="X12" s="3"/>
      <c r="Y12" s="3"/>
      <c r="Z12" s="3"/>
      <c r="AA12" s="3"/>
      <c r="AB12" s="3">
        <f t="shared" si="0"/>
        <v>729.91800000000001</v>
      </c>
      <c r="AC12" s="24">
        <v>45250</v>
      </c>
      <c r="AD12" s="651"/>
    </row>
    <row r="13" spans="1:34">
      <c r="A13" s="279" t="s">
        <v>117</v>
      </c>
      <c r="B13" s="285" t="s">
        <v>117</v>
      </c>
      <c r="C13" s="285" t="s">
        <v>117</v>
      </c>
      <c r="D13" s="282" t="s">
        <v>117</v>
      </c>
      <c r="E13" s="233" t="s">
        <v>117</v>
      </c>
      <c r="F13" s="237">
        <v>5</v>
      </c>
      <c r="G13" s="238">
        <v>5</v>
      </c>
      <c r="H13" s="292" t="s">
        <v>554</v>
      </c>
      <c r="I13" s="53" t="s">
        <v>121</v>
      </c>
      <c r="J13" t="s">
        <v>82</v>
      </c>
      <c r="K13" s="18" t="s">
        <v>23</v>
      </c>
      <c r="L13" s="29">
        <v>2</v>
      </c>
      <c r="M13" s="30">
        <v>45233</v>
      </c>
      <c r="N13" s="30">
        <v>45235</v>
      </c>
      <c r="O13" s="427"/>
      <c r="P13" s="427"/>
      <c r="Q13" s="3">
        <v>1400</v>
      </c>
      <c r="R13" s="1">
        <v>2</v>
      </c>
      <c r="S13" s="3">
        <f>+Q13*R13</f>
        <v>2800</v>
      </c>
      <c r="T13" s="28">
        <v>-96.6</v>
      </c>
      <c r="U13" s="3">
        <f>SUM(S13:T13)</f>
        <v>2703.4</v>
      </c>
      <c r="V13" s="50">
        <f>+U13*0.18</f>
        <v>486.61200000000002</v>
      </c>
      <c r="W13" s="50">
        <f>+U13-V13</f>
        <v>2216.788</v>
      </c>
      <c r="X13" s="3"/>
      <c r="Y13" s="3"/>
      <c r="Z13" s="3"/>
      <c r="AA13" s="3"/>
      <c r="AB13" s="3">
        <f t="shared" si="0"/>
        <v>486.61200000000002</v>
      </c>
      <c r="AC13" s="24">
        <v>45250</v>
      </c>
      <c r="AD13" s="651"/>
    </row>
    <row r="14" spans="1:34">
      <c r="A14" s="279" t="s">
        <v>117</v>
      </c>
      <c r="B14" s="285" t="s">
        <v>117</v>
      </c>
      <c r="C14" s="285" t="s">
        <v>117</v>
      </c>
      <c r="D14" s="282" t="s">
        <v>117</v>
      </c>
      <c r="E14" s="233" t="s">
        <v>117</v>
      </c>
      <c r="F14" s="237">
        <v>5</v>
      </c>
      <c r="G14" s="238">
        <v>5</v>
      </c>
      <c r="H14" s="292" t="s">
        <v>554</v>
      </c>
      <c r="I14" s="53" t="s">
        <v>11</v>
      </c>
      <c r="J14" t="s">
        <v>10</v>
      </c>
      <c r="K14" s="18" t="s">
        <v>23</v>
      </c>
      <c r="L14" s="29">
        <v>2</v>
      </c>
      <c r="M14" s="30">
        <v>45235</v>
      </c>
      <c r="N14" s="30">
        <v>45237</v>
      </c>
      <c r="O14" s="427"/>
      <c r="P14" s="427"/>
      <c r="Q14" s="3">
        <v>1400</v>
      </c>
      <c r="R14" s="1">
        <v>2</v>
      </c>
      <c r="S14" s="3">
        <f t="shared" si="1"/>
        <v>2800</v>
      </c>
      <c r="T14" s="28">
        <v>-96.59</v>
      </c>
      <c r="U14" s="3">
        <f t="shared" si="2"/>
        <v>2703.41</v>
      </c>
      <c r="V14" s="50">
        <f t="shared" si="3"/>
        <v>486.61379999999997</v>
      </c>
      <c r="W14" s="50">
        <f t="shared" si="4"/>
        <v>2216.7961999999998</v>
      </c>
      <c r="X14" s="3"/>
      <c r="Y14" s="3"/>
      <c r="Z14" s="3"/>
      <c r="AA14" s="3"/>
      <c r="AB14" s="3">
        <f t="shared" si="0"/>
        <v>486.61379999999997</v>
      </c>
      <c r="AC14" s="24">
        <v>45250</v>
      </c>
      <c r="AD14" s="651"/>
    </row>
    <row r="15" spans="1:34">
      <c r="A15" s="279" t="s">
        <v>117</v>
      </c>
      <c r="B15" s="285" t="s">
        <v>117</v>
      </c>
      <c r="C15" s="285" t="s">
        <v>117</v>
      </c>
      <c r="D15" s="282" t="s">
        <v>117</v>
      </c>
      <c r="E15" s="233" t="s">
        <v>117</v>
      </c>
      <c r="F15" s="237">
        <v>5</v>
      </c>
      <c r="G15" s="238"/>
      <c r="H15" s="292" t="s">
        <v>554</v>
      </c>
      <c r="I15" s="53" t="s">
        <v>35</v>
      </c>
      <c r="J15" t="s">
        <v>10</v>
      </c>
      <c r="K15" s="4" t="s">
        <v>24</v>
      </c>
      <c r="L15" s="29">
        <v>2</v>
      </c>
      <c r="M15" s="30">
        <v>45237</v>
      </c>
      <c r="N15" s="30">
        <v>45241</v>
      </c>
      <c r="O15" s="427"/>
      <c r="P15" s="427"/>
      <c r="Q15" s="3">
        <v>1400</v>
      </c>
      <c r="R15" s="1">
        <v>4</v>
      </c>
      <c r="S15" s="3">
        <f t="shared" si="1"/>
        <v>5600</v>
      </c>
      <c r="T15" s="28">
        <v>-193.14</v>
      </c>
      <c r="U15" s="3">
        <f t="shared" si="2"/>
        <v>5406.86</v>
      </c>
      <c r="V15" s="50">
        <f t="shared" si="3"/>
        <v>973.23479999999995</v>
      </c>
      <c r="W15" s="50">
        <f t="shared" si="4"/>
        <v>4433.6251999999995</v>
      </c>
      <c r="X15" s="3"/>
      <c r="Y15" s="3"/>
      <c r="Z15" s="3"/>
      <c r="AA15" s="3"/>
      <c r="AB15" s="3">
        <f t="shared" si="0"/>
        <v>973.23479999999995</v>
      </c>
      <c r="AC15" s="24">
        <v>45250</v>
      </c>
      <c r="AD15" s="651"/>
    </row>
    <row r="16" spans="1:34">
      <c r="A16" s="279" t="s">
        <v>117</v>
      </c>
      <c r="B16" s="285" t="s">
        <v>117</v>
      </c>
      <c r="C16" s="285" t="s">
        <v>117</v>
      </c>
      <c r="D16" s="282" t="s">
        <v>117</v>
      </c>
      <c r="E16" s="233" t="s">
        <v>117</v>
      </c>
      <c r="F16" s="237">
        <v>5</v>
      </c>
      <c r="G16" s="238">
        <v>5</v>
      </c>
      <c r="H16" s="292" t="s">
        <v>554</v>
      </c>
      <c r="I16" s="53" t="s">
        <v>133</v>
      </c>
      <c r="J16" t="s">
        <v>70</v>
      </c>
      <c r="K16" s="18" t="s">
        <v>23</v>
      </c>
      <c r="L16" s="29">
        <v>2</v>
      </c>
      <c r="M16" s="30">
        <v>45237</v>
      </c>
      <c r="N16" s="30">
        <v>45240</v>
      </c>
      <c r="O16" s="427"/>
      <c r="P16" s="427"/>
      <c r="Q16" s="3">
        <v>1400</v>
      </c>
      <c r="R16" s="1">
        <v>3</v>
      </c>
      <c r="S16" s="3">
        <f t="shared" ref="S16:S23" si="5">+Q16*R16</f>
        <v>4200</v>
      </c>
      <c r="T16" s="28">
        <v>-144.9</v>
      </c>
      <c r="U16" s="3">
        <f t="shared" ref="U16:U23" si="6">SUM(S16:T16)</f>
        <v>4055.1</v>
      </c>
      <c r="V16" s="50">
        <f>+U16*0.18</f>
        <v>729.91800000000001</v>
      </c>
      <c r="W16" s="50">
        <f>+U16-V16+492</f>
        <v>3817.1819999999998</v>
      </c>
      <c r="X16" s="3"/>
      <c r="Y16" s="3"/>
      <c r="Z16" s="3"/>
      <c r="AA16" s="3"/>
      <c r="AB16" s="3">
        <f>V16+108</f>
        <v>837.91800000000001</v>
      </c>
      <c r="AC16" s="24">
        <v>45250</v>
      </c>
      <c r="AD16" s="651"/>
      <c r="AE16" s="122" t="s">
        <v>180</v>
      </c>
      <c r="AF16" s="122" t="s">
        <v>399</v>
      </c>
    </row>
    <row r="17" spans="1:34">
      <c r="A17" s="279" t="s">
        <v>117</v>
      </c>
      <c r="B17" s="285" t="s">
        <v>117</v>
      </c>
      <c r="C17" s="285" t="s">
        <v>117</v>
      </c>
      <c r="D17" s="282" t="s">
        <v>117</v>
      </c>
      <c r="E17" s="233" t="s">
        <v>117</v>
      </c>
      <c r="F17" s="237">
        <v>5</v>
      </c>
      <c r="G17" s="238"/>
      <c r="H17" s="292" t="s">
        <v>554</v>
      </c>
      <c r="I17" s="53" t="s">
        <v>81</v>
      </c>
      <c r="J17" t="s">
        <v>82</v>
      </c>
      <c r="K17" s="18" t="s">
        <v>23</v>
      </c>
      <c r="L17" s="29">
        <v>2</v>
      </c>
      <c r="M17" s="30">
        <v>45240</v>
      </c>
      <c r="N17" s="30">
        <v>45242</v>
      </c>
      <c r="O17" s="427"/>
      <c r="P17" s="427"/>
      <c r="Q17" s="3">
        <v>1430</v>
      </c>
      <c r="R17" s="1">
        <v>2</v>
      </c>
      <c r="S17" s="3">
        <f t="shared" si="5"/>
        <v>2860</v>
      </c>
      <c r="T17" s="28">
        <v>-98.67</v>
      </c>
      <c r="U17" s="3">
        <f t="shared" si="6"/>
        <v>2761.33</v>
      </c>
      <c r="V17" s="50">
        <f>+U17*0.18</f>
        <v>497.03939999999994</v>
      </c>
      <c r="W17" s="50">
        <f>+U17-V17</f>
        <v>2264.2905999999998</v>
      </c>
      <c r="X17" s="3"/>
      <c r="Y17" s="3"/>
      <c r="Z17" s="3"/>
      <c r="AA17" s="3"/>
      <c r="AB17" s="3">
        <f t="shared" ref="AB17:AB27" si="7">V17</f>
        <v>497.03939999999994</v>
      </c>
      <c r="AC17" s="24">
        <v>45252</v>
      </c>
      <c r="AD17" s="651"/>
    </row>
    <row r="18" spans="1:34">
      <c r="A18" s="279" t="s">
        <v>117</v>
      </c>
      <c r="B18" s="285" t="s">
        <v>117</v>
      </c>
      <c r="C18" s="285" t="s">
        <v>117</v>
      </c>
      <c r="D18" s="282" t="s">
        <v>117</v>
      </c>
      <c r="E18" s="233" t="s">
        <v>117</v>
      </c>
      <c r="F18" s="237">
        <v>5</v>
      </c>
      <c r="G18" s="238">
        <v>5</v>
      </c>
      <c r="H18" s="292" t="s">
        <v>554</v>
      </c>
      <c r="I18" s="53" t="s">
        <v>139</v>
      </c>
      <c r="J18" t="s">
        <v>140</v>
      </c>
      <c r="K18" s="18" t="s">
        <v>23</v>
      </c>
      <c r="L18" s="29">
        <v>2</v>
      </c>
      <c r="M18" s="30">
        <v>45243</v>
      </c>
      <c r="N18" s="30">
        <v>45245</v>
      </c>
      <c r="O18" s="427"/>
      <c r="P18" s="427"/>
      <c r="Q18" s="3">
        <v>1500</v>
      </c>
      <c r="R18" s="1">
        <v>2</v>
      </c>
      <c r="S18" s="3">
        <f>+Q18*R18</f>
        <v>3000</v>
      </c>
      <c r="T18" s="28">
        <v>-103.4</v>
      </c>
      <c r="U18" s="3">
        <f>SUM(S18:T18)</f>
        <v>2896.6</v>
      </c>
      <c r="V18" s="50">
        <f>+U18*0.18</f>
        <v>521.38799999999992</v>
      </c>
      <c r="W18" s="50">
        <f>+U18-V18</f>
        <v>2375.212</v>
      </c>
      <c r="X18" s="3"/>
      <c r="Y18" s="3"/>
      <c r="Z18" s="3"/>
      <c r="AA18" s="3"/>
      <c r="AB18" s="3">
        <f t="shared" si="7"/>
        <v>521.38799999999992</v>
      </c>
      <c r="AC18" s="24">
        <v>45248</v>
      </c>
      <c r="AD18" s="651"/>
    </row>
    <row r="19" spans="1:34">
      <c r="A19" s="279" t="s">
        <v>117</v>
      </c>
      <c r="B19" s="285" t="s">
        <v>117</v>
      </c>
      <c r="C19" s="285" t="s">
        <v>117</v>
      </c>
      <c r="D19" s="282" t="s">
        <v>117</v>
      </c>
      <c r="E19" s="233" t="s">
        <v>117</v>
      </c>
      <c r="F19" s="237">
        <v>5</v>
      </c>
      <c r="G19" s="238">
        <v>5</v>
      </c>
      <c r="H19" s="292" t="s">
        <v>554</v>
      </c>
      <c r="I19" s="53" t="s">
        <v>72</v>
      </c>
      <c r="J19" s="15" t="s">
        <v>73</v>
      </c>
      <c r="K19" s="4" t="s">
        <v>24</v>
      </c>
      <c r="L19" s="29">
        <v>2</v>
      </c>
      <c r="M19" s="30">
        <v>45243</v>
      </c>
      <c r="N19" s="30">
        <v>45247</v>
      </c>
      <c r="O19" s="427"/>
      <c r="P19" s="427"/>
      <c r="Q19" s="3">
        <v>1400</v>
      </c>
      <c r="R19" s="37">
        <v>4</v>
      </c>
      <c r="S19" s="21">
        <f t="shared" si="5"/>
        <v>5600</v>
      </c>
      <c r="T19" s="28">
        <v>-193.11</v>
      </c>
      <c r="U19" s="21">
        <f t="shared" si="6"/>
        <v>5406.89</v>
      </c>
      <c r="V19" s="89">
        <f>+U19*0.18</f>
        <v>973.24020000000007</v>
      </c>
      <c r="W19" s="50">
        <f>+U19-V19</f>
        <v>4433.6498000000001</v>
      </c>
      <c r="X19" s="3"/>
      <c r="Y19" s="3"/>
      <c r="Z19" s="3"/>
      <c r="AA19" s="3"/>
      <c r="AB19" s="3">
        <f t="shared" si="7"/>
        <v>973.24020000000007</v>
      </c>
      <c r="AC19" s="24">
        <v>45250</v>
      </c>
      <c r="AD19" s="651"/>
    </row>
    <row r="20" spans="1:34">
      <c r="A20" s="279" t="s">
        <v>117</v>
      </c>
      <c r="B20" s="285" t="s">
        <v>117</v>
      </c>
      <c r="C20" s="285" t="s">
        <v>117</v>
      </c>
      <c r="D20" s="282" t="s">
        <v>117</v>
      </c>
      <c r="E20" s="233" t="s">
        <v>117</v>
      </c>
      <c r="F20" s="237">
        <v>5</v>
      </c>
      <c r="G20" s="238">
        <v>5</v>
      </c>
      <c r="H20" s="292" t="s">
        <v>554</v>
      </c>
      <c r="I20" s="53" t="s">
        <v>51</v>
      </c>
      <c r="J20" s="15" t="s">
        <v>69</v>
      </c>
      <c r="K20" s="4" t="s">
        <v>24</v>
      </c>
      <c r="L20" s="29">
        <v>2</v>
      </c>
      <c r="M20" s="30">
        <v>45247</v>
      </c>
      <c r="N20" s="30">
        <v>45249</v>
      </c>
      <c r="O20" s="427"/>
      <c r="P20" s="427"/>
      <c r="Q20" s="3">
        <v>1435</v>
      </c>
      <c r="R20" s="1">
        <v>2</v>
      </c>
      <c r="S20" s="3">
        <f t="shared" si="5"/>
        <v>2870</v>
      </c>
      <c r="T20" s="28">
        <v>-98.91</v>
      </c>
      <c r="U20" s="3">
        <f t="shared" si="6"/>
        <v>2771.09</v>
      </c>
      <c r="V20" s="50">
        <f t="shared" si="3"/>
        <v>498.7962</v>
      </c>
      <c r="W20" s="50">
        <f t="shared" si="4"/>
        <v>2272.2938000000004</v>
      </c>
      <c r="X20" s="3"/>
      <c r="Y20" s="3"/>
      <c r="Z20" s="3"/>
      <c r="AA20" s="3"/>
      <c r="AB20" s="3">
        <f t="shared" si="7"/>
        <v>498.7962</v>
      </c>
      <c r="AC20" s="24">
        <v>45248</v>
      </c>
      <c r="AD20" s="651"/>
    </row>
    <row r="21" spans="1:34">
      <c r="A21" s="279" t="s">
        <v>117</v>
      </c>
      <c r="B21" s="285" t="s">
        <v>117</v>
      </c>
      <c r="C21" s="285" t="s">
        <v>117</v>
      </c>
      <c r="D21" s="282" t="s">
        <v>117</v>
      </c>
      <c r="E21" s="233" t="s">
        <v>117</v>
      </c>
      <c r="F21" s="237">
        <v>5</v>
      </c>
      <c r="G21" s="238">
        <v>5</v>
      </c>
      <c r="H21" s="292" t="s">
        <v>554</v>
      </c>
      <c r="I21" s="53" t="s">
        <v>164</v>
      </c>
      <c r="J21" t="s">
        <v>62</v>
      </c>
      <c r="K21" s="18" t="s">
        <v>23</v>
      </c>
      <c r="L21" s="29">
        <v>2</v>
      </c>
      <c r="M21" s="30">
        <v>45248</v>
      </c>
      <c r="N21" s="30">
        <v>45250</v>
      </c>
      <c r="O21" s="427"/>
      <c r="P21" s="427"/>
      <c r="Q21" s="3">
        <v>1405</v>
      </c>
      <c r="R21" s="1">
        <v>2</v>
      </c>
      <c r="S21" s="3">
        <f t="shared" si="5"/>
        <v>2810</v>
      </c>
      <c r="T21" s="28">
        <v>-96.87</v>
      </c>
      <c r="U21" s="3">
        <f t="shared" si="6"/>
        <v>2713.13</v>
      </c>
      <c r="V21" s="50">
        <f t="shared" si="3"/>
        <v>488.36340000000001</v>
      </c>
      <c r="W21" s="50">
        <f t="shared" si="4"/>
        <v>2224.7665999999999</v>
      </c>
      <c r="X21" s="3"/>
      <c r="Y21" s="3"/>
      <c r="Z21" s="3"/>
      <c r="AA21" s="3"/>
      <c r="AB21" s="3">
        <f t="shared" si="7"/>
        <v>488.36340000000001</v>
      </c>
      <c r="AC21" s="24">
        <v>45249</v>
      </c>
      <c r="AD21" s="651"/>
    </row>
    <row r="22" spans="1:34">
      <c r="A22" s="279" t="s">
        <v>117</v>
      </c>
      <c r="B22" s="285" t="s">
        <v>117</v>
      </c>
      <c r="C22" s="285" t="s">
        <v>117</v>
      </c>
      <c r="D22" s="282" t="s">
        <v>117</v>
      </c>
      <c r="E22" s="233" t="s">
        <v>117</v>
      </c>
      <c r="F22" s="237">
        <v>5</v>
      </c>
      <c r="G22" s="238">
        <v>5</v>
      </c>
      <c r="H22" s="292" t="s">
        <v>554</v>
      </c>
      <c r="I22" s="53" t="s">
        <v>104</v>
      </c>
      <c r="J22" s="15" t="s">
        <v>43</v>
      </c>
      <c r="K22" s="4" t="s">
        <v>24</v>
      </c>
      <c r="L22" s="29">
        <v>2</v>
      </c>
      <c r="M22" s="30">
        <v>45249</v>
      </c>
      <c r="N22" s="30">
        <v>45251</v>
      </c>
      <c r="O22" s="427"/>
      <c r="P22" s="427"/>
      <c r="Q22" s="3">
        <v>1400</v>
      </c>
      <c r="R22" s="1">
        <v>2</v>
      </c>
      <c r="S22" s="3">
        <f>+Q22*R22</f>
        <v>2800</v>
      </c>
      <c r="T22" s="28">
        <v>-96.53</v>
      </c>
      <c r="U22" s="3">
        <f>SUM(S22:T22)</f>
        <v>2703.47</v>
      </c>
      <c r="V22" s="50">
        <f>+U22*0.18</f>
        <v>486.62459999999993</v>
      </c>
      <c r="W22" s="50">
        <f>+U22-V22</f>
        <v>2216.8453999999997</v>
      </c>
      <c r="X22" s="3"/>
      <c r="Y22" s="3"/>
      <c r="Z22" s="3"/>
      <c r="AA22" s="3"/>
      <c r="AB22" s="3">
        <f t="shared" si="7"/>
        <v>486.62459999999993</v>
      </c>
      <c r="AC22" s="24">
        <v>45250</v>
      </c>
      <c r="AD22" s="651"/>
    </row>
    <row r="23" spans="1:34">
      <c r="A23" s="279" t="s">
        <v>117</v>
      </c>
      <c r="B23" s="285" t="s">
        <v>117</v>
      </c>
      <c r="C23" s="285" t="s">
        <v>117</v>
      </c>
      <c r="D23" s="282" t="s">
        <v>117</v>
      </c>
      <c r="E23" s="233" t="s">
        <v>117</v>
      </c>
      <c r="F23" s="237">
        <v>5</v>
      </c>
      <c r="G23" s="238">
        <v>5</v>
      </c>
      <c r="H23" s="292" t="s">
        <v>554</v>
      </c>
      <c r="I23" s="53" t="s">
        <v>38</v>
      </c>
      <c r="J23" s="15" t="s">
        <v>39</v>
      </c>
      <c r="K23" s="18" t="s">
        <v>23</v>
      </c>
      <c r="L23" s="29">
        <v>2</v>
      </c>
      <c r="M23" s="30">
        <v>45250</v>
      </c>
      <c r="N23" s="30">
        <v>45252</v>
      </c>
      <c r="O23" s="427"/>
      <c r="P23" s="427"/>
      <c r="Q23" s="3">
        <v>1400</v>
      </c>
      <c r="R23" s="37">
        <v>2</v>
      </c>
      <c r="S23" s="3">
        <f t="shared" si="5"/>
        <v>2800</v>
      </c>
      <c r="T23" s="28">
        <v>-96.61</v>
      </c>
      <c r="U23" s="21">
        <f t="shared" si="6"/>
        <v>2703.39</v>
      </c>
      <c r="V23" s="50">
        <f t="shared" si="3"/>
        <v>486.61019999999996</v>
      </c>
      <c r="W23" s="50">
        <f t="shared" si="4"/>
        <v>2216.7797999999998</v>
      </c>
      <c r="X23" s="3"/>
      <c r="Y23" s="3"/>
      <c r="Z23" s="3"/>
      <c r="AA23" s="3"/>
      <c r="AB23" s="3">
        <f t="shared" si="7"/>
        <v>486.61019999999996</v>
      </c>
      <c r="AC23" s="24">
        <v>45251</v>
      </c>
      <c r="AD23" s="651"/>
    </row>
    <row r="24" spans="1:34">
      <c r="A24" s="279" t="s">
        <v>117</v>
      </c>
      <c r="B24" s="285" t="s">
        <v>117</v>
      </c>
      <c r="C24" s="285" t="s">
        <v>117</v>
      </c>
      <c r="D24" s="282" t="s">
        <v>117</v>
      </c>
      <c r="E24" s="233" t="s">
        <v>117</v>
      </c>
      <c r="F24" s="237">
        <v>5</v>
      </c>
      <c r="G24" s="238">
        <v>5</v>
      </c>
      <c r="H24" s="292" t="s">
        <v>554</v>
      </c>
      <c r="I24" s="53" t="s">
        <v>168</v>
      </c>
      <c r="J24" t="s">
        <v>31</v>
      </c>
      <c r="K24" s="4" t="s">
        <v>24</v>
      </c>
      <c r="L24" s="29">
        <v>2</v>
      </c>
      <c r="M24" s="30">
        <v>45251</v>
      </c>
      <c r="N24" s="30">
        <v>45253</v>
      </c>
      <c r="O24" s="427"/>
      <c r="P24" s="427"/>
      <c r="Q24" s="3">
        <v>1400</v>
      </c>
      <c r="R24" s="1">
        <v>2</v>
      </c>
      <c r="S24" s="3">
        <f t="shared" si="1"/>
        <v>2800</v>
      </c>
      <c r="T24" s="28">
        <v>-96.6</v>
      </c>
      <c r="U24" s="3">
        <f t="shared" si="2"/>
        <v>2703.4</v>
      </c>
      <c r="V24" s="50">
        <f t="shared" si="3"/>
        <v>486.61200000000002</v>
      </c>
      <c r="W24" s="50">
        <f t="shared" si="4"/>
        <v>2216.788</v>
      </c>
      <c r="X24" s="3"/>
      <c r="Y24" s="3"/>
      <c r="Z24" s="3"/>
      <c r="AA24" s="3"/>
      <c r="AB24" s="3">
        <f t="shared" si="7"/>
        <v>486.61200000000002</v>
      </c>
      <c r="AC24" s="24">
        <v>45252</v>
      </c>
      <c r="AD24" s="651"/>
    </row>
    <row r="25" spans="1:34">
      <c r="A25" s="279" t="s">
        <v>117</v>
      </c>
      <c r="B25" s="285" t="s">
        <v>117</v>
      </c>
      <c r="C25" s="285" t="s">
        <v>117</v>
      </c>
      <c r="D25" s="282" t="s">
        <v>117</v>
      </c>
      <c r="E25" s="233" t="s">
        <v>117</v>
      </c>
      <c r="F25" s="237">
        <v>5</v>
      </c>
      <c r="G25" s="238">
        <v>4</v>
      </c>
      <c r="H25" s="292" t="s">
        <v>554</v>
      </c>
      <c r="I25" s="53" t="s">
        <v>127</v>
      </c>
      <c r="J25" t="s">
        <v>128</v>
      </c>
      <c r="K25" s="18" t="s">
        <v>23</v>
      </c>
      <c r="L25" s="29">
        <v>2</v>
      </c>
      <c r="M25" s="30">
        <v>45252</v>
      </c>
      <c r="N25" s="30">
        <v>45254</v>
      </c>
      <c r="O25" s="427"/>
      <c r="P25" s="427"/>
      <c r="Q25" s="3">
        <v>1500</v>
      </c>
      <c r="R25" s="1">
        <v>2</v>
      </c>
      <c r="S25" s="3">
        <f>+Q25*R25</f>
        <v>3000</v>
      </c>
      <c r="T25" s="28">
        <v>-103.5</v>
      </c>
      <c r="U25" s="3">
        <f>SUM(S25:T25)</f>
        <v>2896.5</v>
      </c>
      <c r="V25" s="50">
        <f>+U25*0.18</f>
        <v>521.37</v>
      </c>
      <c r="W25" s="50">
        <f>+U25-V25</f>
        <v>2375.13</v>
      </c>
      <c r="X25" s="3"/>
      <c r="Y25" s="3"/>
      <c r="Z25" s="3"/>
      <c r="AA25" s="3"/>
      <c r="AB25" s="3">
        <f t="shared" si="7"/>
        <v>521.37</v>
      </c>
      <c r="AC25" s="24">
        <v>45253</v>
      </c>
      <c r="AD25" s="651"/>
    </row>
    <row r="26" spans="1:34">
      <c r="A26" s="279" t="s">
        <v>117</v>
      </c>
      <c r="B26" s="285" t="s">
        <v>117</v>
      </c>
      <c r="C26" s="285" t="s">
        <v>117</v>
      </c>
      <c r="D26" s="282" t="s">
        <v>117</v>
      </c>
      <c r="E26" s="233" t="s">
        <v>117</v>
      </c>
      <c r="F26" s="237">
        <v>5</v>
      </c>
      <c r="G26" s="238">
        <v>5</v>
      </c>
      <c r="H26" s="292" t="s">
        <v>554</v>
      </c>
      <c r="I26" s="53" t="s">
        <v>45</v>
      </c>
      <c r="J26" t="s">
        <v>46</v>
      </c>
      <c r="K26" s="4" t="s">
        <v>24</v>
      </c>
      <c r="L26" s="29">
        <v>2</v>
      </c>
      <c r="M26" s="30">
        <v>45253</v>
      </c>
      <c r="N26" s="30">
        <v>45255</v>
      </c>
      <c r="O26" s="427"/>
      <c r="P26" s="427"/>
      <c r="Q26" s="3">
        <v>1400</v>
      </c>
      <c r="R26" s="1">
        <v>2</v>
      </c>
      <c r="S26" s="3">
        <f>+Q26*R26</f>
        <v>2800</v>
      </c>
      <c r="T26" s="28">
        <v>-96.5</v>
      </c>
      <c r="U26" s="3">
        <f>SUM(S26:T26)</f>
        <v>2703.5</v>
      </c>
      <c r="V26" s="50">
        <f t="shared" si="3"/>
        <v>486.63</v>
      </c>
      <c r="W26" s="50">
        <f t="shared" si="4"/>
        <v>2216.87</v>
      </c>
      <c r="X26" s="3"/>
      <c r="Y26" s="3"/>
      <c r="Z26" s="3"/>
      <c r="AA26" s="3"/>
      <c r="AB26" s="3">
        <f t="shared" si="7"/>
        <v>486.63</v>
      </c>
      <c r="AC26" s="24">
        <v>45254</v>
      </c>
      <c r="AD26" s="651"/>
    </row>
    <row r="27" spans="1:34">
      <c r="A27" s="279" t="s">
        <v>117</v>
      </c>
      <c r="B27" s="285" t="s">
        <v>117</v>
      </c>
      <c r="C27" s="285" t="s">
        <v>117</v>
      </c>
      <c r="D27" s="282" t="s">
        <v>117</v>
      </c>
      <c r="E27" s="233" t="s">
        <v>117</v>
      </c>
      <c r="F27" s="237">
        <v>5</v>
      </c>
      <c r="G27" s="238"/>
      <c r="H27" s="292" t="s">
        <v>554</v>
      </c>
      <c r="I27" s="53" t="s">
        <v>49</v>
      </c>
      <c r="J27" t="s">
        <v>63</v>
      </c>
      <c r="K27" s="18" t="s">
        <v>23</v>
      </c>
      <c r="L27" s="29">
        <v>2</v>
      </c>
      <c r="M27" s="30">
        <v>45254</v>
      </c>
      <c r="N27" s="30">
        <v>45257</v>
      </c>
      <c r="O27" s="427"/>
      <c r="P27" s="427"/>
      <c r="Q27" s="3">
        <v>1400</v>
      </c>
      <c r="R27" s="1">
        <v>3</v>
      </c>
      <c r="S27" s="3">
        <f>+Q27*R27</f>
        <v>4200</v>
      </c>
      <c r="T27" s="28">
        <v>-144.9</v>
      </c>
      <c r="U27" s="3">
        <f>SUM(S27:T27)</f>
        <v>4055.1</v>
      </c>
      <c r="V27" s="50">
        <f t="shared" si="3"/>
        <v>729.91800000000001</v>
      </c>
      <c r="W27" s="50">
        <f t="shared" si="4"/>
        <v>3325.1819999999998</v>
      </c>
      <c r="X27" s="3"/>
      <c r="Y27" s="3"/>
      <c r="Z27" s="3"/>
      <c r="AA27" s="3"/>
      <c r="AB27" s="3">
        <f t="shared" si="7"/>
        <v>729.91800000000001</v>
      </c>
      <c r="AC27" s="24">
        <v>45255</v>
      </c>
      <c r="AD27" s="651"/>
    </row>
    <row r="28" spans="1:34">
      <c r="A28" s="279" t="s">
        <v>117</v>
      </c>
      <c r="B28" s="285" t="s">
        <v>117</v>
      </c>
      <c r="C28" s="285" t="s">
        <v>117</v>
      </c>
      <c r="D28" s="282" t="s">
        <v>117</v>
      </c>
      <c r="E28" s="233" t="s">
        <v>117</v>
      </c>
      <c r="F28" s="237">
        <v>5</v>
      </c>
      <c r="G28" s="238">
        <v>5</v>
      </c>
      <c r="H28" s="292" t="s">
        <v>554</v>
      </c>
      <c r="I28" s="53" t="s">
        <v>125</v>
      </c>
      <c r="J28" t="s">
        <v>107</v>
      </c>
      <c r="K28" s="4" t="s">
        <v>24</v>
      </c>
      <c r="L28" s="29">
        <v>2</v>
      </c>
      <c r="M28" s="30">
        <v>45255</v>
      </c>
      <c r="N28" s="30">
        <v>45257</v>
      </c>
      <c r="O28" s="427"/>
      <c r="P28" s="427"/>
      <c r="Q28" s="3">
        <v>1520</v>
      </c>
      <c r="R28" s="1">
        <v>2</v>
      </c>
      <c r="S28" s="3">
        <f>+Q28*R28</f>
        <v>3040</v>
      </c>
      <c r="T28" s="28">
        <v>-104.88</v>
      </c>
      <c r="U28" s="3">
        <f>SUM(S28:T28)</f>
        <v>2935.12</v>
      </c>
      <c r="V28" s="50">
        <f>+U28*0.18</f>
        <v>528.32159999999999</v>
      </c>
      <c r="W28" s="50">
        <f>+U28-V28</f>
        <v>2406.7983999999997</v>
      </c>
      <c r="X28" s="3"/>
      <c r="Y28" s="3"/>
      <c r="Z28" s="3"/>
      <c r="AA28" s="3"/>
      <c r="AB28" s="3">
        <f>V28</f>
        <v>528.32159999999999</v>
      </c>
      <c r="AC28" s="24">
        <v>45257</v>
      </c>
      <c r="AD28" s="651"/>
    </row>
    <row r="29" spans="1:34" ht="15" thickBot="1">
      <c r="A29" s="279" t="s">
        <v>117</v>
      </c>
      <c r="B29" s="285" t="s">
        <v>117</v>
      </c>
      <c r="C29" s="285" t="s">
        <v>117</v>
      </c>
      <c r="D29" s="282" t="s">
        <v>117</v>
      </c>
      <c r="E29" s="233" t="s">
        <v>117</v>
      </c>
      <c r="F29" s="237">
        <v>5</v>
      </c>
      <c r="G29" s="238">
        <v>5</v>
      </c>
      <c r="H29" s="292" t="s">
        <v>554</v>
      </c>
      <c r="I29" s="53" t="s">
        <v>12</v>
      </c>
      <c r="J29" t="s">
        <v>13</v>
      </c>
      <c r="K29" s="18" t="s">
        <v>23</v>
      </c>
      <c r="L29" s="29">
        <v>2</v>
      </c>
      <c r="M29" s="30">
        <v>45259</v>
      </c>
      <c r="N29" s="30">
        <v>45262</v>
      </c>
      <c r="O29" s="427"/>
      <c r="P29" s="427"/>
      <c r="Q29" s="3">
        <v>1766.67</v>
      </c>
      <c r="R29" s="1">
        <v>3</v>
      </c>
      <c r="S29" s="3">
        <f t="shared" si="1"/>
        <v>5300.01</v>
      </c>
      <c r="T29" s="28">
        <v>-182.88</v>
      </c>
      <c r="U29" s="3">
        <f t="shared" si="2"/>
        <v>5117.13</v>
      </c>
      <c r="V29" s="50">
        <f t="shared" si="3"/>
        <v>921.08339999999998</v>
      </c>
      <c r="W29" s="50">
        <f t="shared" si="4"/>
        <v>4196.0465999999997</v>
      </c>
      <c r="X29" s="3"/>
      <c r="Y29" s="3"/>
      <c r="Z29" s="3"/>
      <c r="AA29" s="3"/>
      <c r="AB29" s="47">
        <f>V29</f>
        <v>921.08339999999998</v>
      </c>
      <c r="AC29" s="101">
        <v>45261</v>
      </c>
      <c r="AD29" s="651"/>
    </row>
    <row r="30" spans="1:34" ht="15" thickBot="1">
      <c r="A30" s="280" t="s">
        <v>117</v>
      </c>
      <c r="B30" s="286" t="s">
        <v>117</v>
      </c>
      <c r="C30" s="286" t="s">
        <v>117</v>
      </c>
      <c r="D30" s="283" t="s">
        <v>117</v>
      </c>
      <c r="E30" s="234" t="s">
        <v>117</v>
      </c>
      <c r="F30" s="239">
        <v>5</v>
      </c>
      <c r="G30" s="239">
        <v>5</v>
      </c>
      <c r="H30" s="293" t="s">
        <v>554</v>
      </c>
      <c r="I30" s="56" t="s">
        <v>48</v>
      </c>
      <c r="J30" s="31" t="s">
        <v>64</v>
      </c>
      <c r="K30" s="36" t="s">
        <v>24</v>
      </c>
      <c r="L30" s="57">
        <v>2</v>
      </c>
      <c r="M30" s="58">
        <v>45260</v>
      </c>
      <c r="N30" s="58">
        <v>45262</v>
      </c>
      <c r="O30" s="429"/>
      <c r="P30" s="429"/>
      <c r="Q30" s="32">
        <v>1950</v>
      </c>
      <c r="R30" s="33">
        <v>2</v>
      </c>
      <c r="S30" s="32">
        <f t="shared" ref="S30:S52" si="8">+Q30*R30</f>
        <v>3900</v>
      </c>
      <c r="T30" s="34">
        <v>-134.54</v>
      </c>
      <c r="U30" s="32">
        <f t="shared" ref="U30:U52" si="9">SUM(S30:T30)</f>
        <v>3765.46</v>
      </c>
      <c r="V30" s="88">
        <f t="shared" si="3"/>
        <v>677.78279999999995</v>
      </c>
      <c r="W30" s="88">
        <f t="shared" si="4"/>
        <v>3087.6772000000001</v>
      </c>
      <c r="X30" s="32"/>
      <c r="Y30" s="32"/>
      <c r="Z30" s="32"/>
      <c r="AA30" s="32"/>
      <c r="AB30" s="32">
        <f>V30</f>
        <v>677.78279999999995</v>
      </c>
      <c r="AC30" s="77">
        <v>45261</v>
      </c>
      <c r="AD30" s="654"/>
      <c r="AE30" s="650" t="s">
        <v>464</v>
      </c>
      <c r="AH30" s="311" t="s">
        <v>466</v>
      </c>
    </row>
    <row r="31" spans="1:34" s="6" customFormat="1">
      <c r="A31" s="533" t="s">
        <v>727</v>
      </c>
      <c r="B31" s="530"/>
      <c r="C31" s="530"/>
      <c r="D31" s="530"/>
      <c r="E31" s="530"/>
      <c r="F31" s="530"/>
      <c r="G31" s="530"/>
      <c r="H31" s="531"/>
      <c r="I31" s="525"/>
      <c r="J31" s="532"/>
      <c r="K31" s="517"/>
      <c r="L31" s="518"/>
      <c r="M31" s="519"/>
      <c r="N31" s="519"/>
      <c r="O31" s="520"/>
      <c r="P31" s="520"/>
      <c r="Q31" s="521"/>
      <c r="R31" s="518"/>
      <c r="S31" s="521"/>
      <c r="T31" s="522"/>
      <c r="U31" s="521"/>
      <c r="V31" s="542">
        <f>SUM(V12:V30)</f>
        <v>11710.076399999998</v>
      </c>
      <c r="W31" s="523">
        <f>SUM(W12:W30)</f>
        <v>53837.903599999991</v>
      </c>
      <c r="X31" s="521"/>
      <c r="Y31" s="521"/>
      <c r="Z31" s="521"/>
      <c r="AA31" s="521"/>
      <c r="AB31" s="524">
        <f>SUM(AB12:AB30)</f>
        <v>11818.076399999998</v>
      </c>
      <c r="AC31" s="519"/>
      <c r="AD31" s="653"/>
      <c r="AE31" s="528">
        <f>AB31</f>
        <v>11818.076399999998</v>
      </c>
      <c r="AF31" s="525"/>
      <c r="AG31" s="525"/>
      <c r="AH31" s="526">
        <f>AE31/3</f>
        <v>3939.3587999999995</v>
      </c>
    </row>
    <row r="32" spans="1:34">
      <c r="A32" s="279" t="s">
        <v>117</v>
      </c>
      <c r="B32" s="285" t="s">
        <v>117</v>
      </c>
      <c r="C32" s="285" t="s">
        <v>117</v>
      </c>
      <c r="D32" s="282" t="s">
        <v>117</v>
      </c>
      <c r="E32" s="233" t="s">
        <v>117</v>
      </c>
      <c r="F32" s="237">
        <v>5</v>
      </c>
      <c r="G32" s="238"/>
      <c r="H32" s="292" t="s">
        <v>554</v>
      </c>
      <c r="I32" s="53" t="s">
        <v>185</v>
      </c>
      <c r="J32" s="53" t="s">
        <v>186</v>
      </c>
      <c r="K32" s="44" t="s">
        <v>24</v>
      </c>
      <c r="L32" s="29">
        <v>2</v>
      </c>
      <c r="M32" s="30">
        <v>45262</v>
      </c>
      <c r="N32" s="30">
        <v>45265</v>
      </c>
      <c r="O32" s="427"/>
      <c r="P32" s="427"/>
      <c r="Q32" s="3">
        <v>2500</v>
      </c>
      <c r="R32" s="1">
        <v>3</v>
      </c>
      <c r="S32" s="3">
        <f t="shared" ref="S32" si="10">+Q32*R32</f>
        <v>7500</v>
      </c>
      <c r="T32" s="28">
        <v>-258.72000000000003</v>
      </c>
      <c r="U32" s="3">
        <f t="shared" ref="U32" si="11">SUM(S32:T32)</f>
        <v>7241.28</v>
      </c>
      <c r="V32" s="50">
        <f t="shared" ref="V32" si="12">+U32*0.18</f>
        <v>1303.4304</v>
      </c>
      <c r="W32" s="50">
        <f t="shared" ref="W32" si="13">+U32-V32</f>
        <v>5937.8495999999996</v>
      </c>
      <c r="X32" s="3"/>
      <c r="Y32" s="3"/>
      <c r="Z32" s="3"/>
      <c r="AA32" s="3"/>
      <c r="AB32" s="3">
        <f>V32</f>
        <v>1303.4304</v>
      </c>
      <c r="AC32" s="24">
        <v>45263</v>
      </c>
      <c r="AD32" s="651"/>
    </row>
    <row r="33" spans="1:31">
      <c r="A33" s="279" t="s">
        <v>117</v>
      </c>
      <c r="B33" s="285" t="s">
        <v>117</v>
      </c>
      <c r="C33" s="285" t="s">
        <v>117</v>
      </c>
      <c r="D33" s="282" t="s">
        <v>117</v>
      </c>
      <c r="E33" s="233" t="s">
        <v>117</v>
      </c>
      <c r="F33" s="237">
        <v>5</v>
      </c>
      <c r="G33" s="238">
        <v>5</v>
      </c>
      <c r="H33" s="292" t="s">
        <v>554</v>
      </c>
      <c r="I33" s="53" t="s">
        <v>188</v>
      </c>
      <c r="J33" s="53" t="s">
        <v>161</v>
      </c>
      <c r="K33" s="44" t="s">
        <v>24</v>
      </c>
      <c r="L33" s="29">
        <v>2</v>
      </c>
      <c r="M33" s="30">
        <v>45265</v>
      </c>
      <c r="N33" s="30">
        <v>45267</v>
      </c>
      <c r="O33" s="427"/>
      <c r="P33" s="427"/>
      <c r="Q33" s="3">
        <v>2500</v>
      </c>
      <c r="R33" s="1">
        <v>2</v>
      </c>
      <c r="S33" s="3">
        <f t="shared" ref="S33:S38" si="14">+Q33*R33</f>
        <v>5000</v>
      </c>
      <c r="T33" s="28">
        <v>-172.57</v>
      </c>
      <c r="U33" s="3">
        <f>SUM(S33:T33)</f>
        <v>4827.43</v>
      </c>
      <c r="V33" s="50">
        <f>+U33*0.18</f>
        <v>868.93740000000003</v>
      </c>
      <c r="W33" s="50">
        <f>+U33-V33</f>
        <v>3958.4926000000005</v>
      </c>
      <c r="X33" s="3"/>
      <c r="Y33" s="3"/>
      <c r="Z33" s="3"/>
      <c r="AA33" s="3"/>
      <c r="AB33" s="3">
        <f>V33</f>
        <v>868.93740000000003</v>
      </c>
      <c r="AC33" s="24">
        <v>45266</v>
      </c>
      <c r="AD33" s="651"/>
    </row>
    <row r="34" spans="1:31">
      <c r="A34" s="279" t="s">
        <v>117</v>
      </c>
      <c r="B34" s="285" t="s">
        <v>117</v>
      </c>
      <c r="C34" s="285" t="s">
        <v>117</v>
      </c>
      <c r="D34" s="282" t="s">
        <v>117</v>
      </c>
      <c r="E34" s="233" t="s">
        <v>117</v>
      </c>
      <c r="F34" s="237">
        <v>5</v>
      </c>
      <c r="G34" s="238">
        <v>5</v>
      </c>
      <c r="H34" s="292" t="s">
        <v>554</v>
      </c>
      <c r="I34" s="53" t="s">
        <v>194</v>
      </c>
      <c r="J34" s="53" t="s">
        <v>75</v>
      </c>
      <c r="K34" s="134" t="s">
        <v>85</v>
      </c>
      <c r="L34" s="29">
        <v>5</v>
      </c>
      <c r="M34" s="30">
        <v>45268</v>
      </c>
      <c r="N34" s="30">
        <v>45270</v>
      </c>
      <c r="O34" s="427"/>
      <c r="P34" s="427"/>
      <c r="Q34" s="3">
        <v>2500</v>
      </c>
      <c r="R34" s="1">
        <v>2</v>
      </c>
      <c r="S34" s="3">
        <f t="shared" si="14"/>
        <v>5000</v>
      </c>
      <c r="T34" s="28">
        <v>-172.57</v>
      </c>
      <c r="U34" s="3">
        <f t="shared" ref="U34" si="15">SUM(S34:T34)</f>
        <v>4827.43</v>
      </c>
      <c r="V34" s="50">
        <f t="shared" ref="V34" si="16">+U34*0.18</f>
        <v>868.93740000000003</v>
      </c>
      <c r="W34" s="50">
        <f t="shared" ref="W34" si="17">+U34-V34</f>
        <v>3958.4926000000005</v>
      </c>
      <c r="X34" s="3"/>
      <c r="Y34" s="3"/>
      <c r="Z34" s="3"/>
      <c r="AA34" s="3"/>
      <c r="AB34" s="3">
        <f t="shared" ref="AB34:AB35" si="18">V34</f>
        <v>868.93740000000003</v>
      </c>
      <c r="AC34" s="24">
        <v>45270</v>
      </c>
      <c r="AD34" s="651"/>
    </row>
    <row r="35" spans="1:31">
      <c r="A35" s="279" t="s">
        <v>117</v>
      </c>
      <c r="B35" s="285" t="s">
        <v>117</v>
      </c>
      <c r="C35" s="285" t="s">
        <v>117</v>
      </c>
      <c r="D35" s="282" t="s">
        <v>117</v>
      </c>
      <c r="E35" s="233" t="s">
        <v>117</v>
      </c>
      <c r="F35" s="237">
        <v>5</v>
      </c>
      <c r="G35" s="238">
        <v>5</v>
      </c>
      <c r="H35" s="292" t="s">
        <v>554</v>
      </c>
      <c r="I35" s="53" t="s">
        <v>198</v>
      </c>
      <c r="J35" s="53" t="s">
        <v>197</v>
      </c>
      <c r="K35" s="44" t="s">
        <v>24</v>
      </c>
      <c r="L35" s="29">
        <v>2</v>
      </c>
      <c r="M35" s="30">
        <v>45268</v>
      </c>
      <c r="N35" s="30">
        <v>45270</v>
      </c>
      <c r="O35" s="427"/>
      <c r="P35" s="427"/>
      <c r="Q35" s="3">
        <v>2500</v>
      </c>
      <c r="R35" s="1">
        <v>2</v>
      </c>
      <c r="S35" s="3">
        <f t="shared" si="14"/>
        <v>5000</v>
      </c>
      <c r="T35" s="28">
        <v>-172.57</v>
      </c>
      <c r="U35" s="3">
        <f>SUM(S35:T35)</f>
        <v>4827.43</v>
      </c>
      <c r="V35" s="62">
        <f>+U35*0.18</f>
        <v>868.93740000000003</v>
      </c>
      <c r="W35" s="62">
        <f>+U35-V35</f>
        <v>3958.4926000000005</v>
      </c>
      <c r="X35" s="62"/>
      <c r="Y35" s="62"/>
      <c r="Z35" s="62"/>
      <c r="AA35" s="62"/>
      <c r="AB35" s="3">
        <f t="shared" si="18"/>
        <v>868.93740000000003</v>
      </c>
      <c r="AC35" s="24">
        <v>45270</v>
      </c>
      <c r="AD35" s="651"/>
    </row>
    <row r="36" spans="1:31">
      <c r="A36" s="279" t="s">
        <v>117</v>
      </c>
      <c r="B36" s="285" t="s">
        <v>117</v>
      </c>
      <c r="C36" s="285" t="s">
        <v>117</v>
      </c>
      <c r="D36" s="282" t="s">
        <v>117</v>
      </c>
      <c r="E36" s="233" t="s">
        <v>117</v>
      </c>
      <c r="F36" s="237">
        <v>5</v>
      </c>
      <c r="G36" s="238"/>
      <c r="H36" s="292" t="s">
        <v>554</v>
      </c>
      <c r="I36" s="53" t="s">
        <v>134</v>
      </c>
      <c r="J36" t="s">
        <v>135</v>
      </c>
      <c r="K36" s="4" t="s">
        <v>24</v>
      </c>
      <c r="L36" s="29">
        <v>2</v>
      </c>
      <c r="M36" s="30">
        <v>45270</v>
      </c>
      <c r="N36" s="30">
        <v>45272</v>
      </c>
      <c r="O36" s="427"/>
      <c r="P36" s="427"/>
      <c r="Q36" s="3">
        <v>2500</v>
      </c>
      <c r="R36" s="1">
        <v>2</v>
      </c>
      <c r="S36" s="3">
        <f t="shared" si="14"/>
        <v>5000</v>
      </c>
      <c r="T36" s="28">
        <v>-172.49</v>
      </c>
      <c r="U36" s="3">
        <f>SUM(S36:T36)</f>
        <v>4827.51</v>
      </c>
      <c r="V36" s="50">
        <f>+U36*0.18</f>
        <v>868.95180000000005</v>
      </c>
      <c r="W36" s="50">
        <f>+U36-V36</f>
        <v>3958.5582000000004</v>
      </c>
      <c r="X36" s="3"/>
      <c r="Y36" s="3"/>
      <c r="Z36" s="3"/>
      <c r="AA36" s="3"/>
      <c r="AB36" s="3">
        <f>V36</f>
        <v>868.95180000000005</v>
      </c>
      <c r="AC36" s="24">
        <v>45271</v>
      </c>
      <c r="AD36" s="651"/>
    </row>
    <row r="37" spans="1:31">
      <c r="A37" s="279" t="s">
        <v>117</v>
      </c>
      <c r="B37" s="285" t="s">
        <v>117</v>
      </c>
      <c r="C37" s="285" t="s">
        <v>117</v>
      </c>
      <c r="D37" s="282" t="s">
        <v>117</v>
      </c>
      <c r="E37" s="233" t="s">
        <v>117</v>
      </c>
      <c r="F37" s="237">
        <v>5</v>
      </c>
      <c r="G37" s="238">
        <v>5</v>
      </c>
      <c r="H37" s="292" t="s">
        <v>554</v>
      </c>
      <c r="I37" s="53" t="s">
        <v>191</v>
      </c>
      <c r="J37" s="53" t="s">
        <v>192</v>
      </c>
      <c r="K37" s="44" t="s">
        <v>24</v>
      </c>
      <c r="L37" s="29">
        <v>2</v>
      </c>
      <c r="M37" s="30">
        <v>45272</v>
      </c>
      <c r="N37" s="30">
        <v>45274</v>
      </c>
      <c r="O37" s="427"/>
      <c r="P37" s="427"/>
      <c r="Q37" s="3">
        <v>2500</v>
      </c>
      <c r="R37" s="1">
        <v>2</v>
      </c>
      <c r="S37" s="3">
        <f t="shared" si="14"/>
        <v>5000</v>
      </c>
      <c r="T37" s="28">
        <v>-172.51</v>
      </c>
      <c r="U37" s="3">
        <f>SUM(S37:T37)</f>
        <v>4827.49</v>
      </c>
      <c r="V37" s="62">
        <f>+U37*0.18</f>
        <v>868.94819999999993</v>
      </c>
      <c r="W37" s="62">
        <f>+U37-V37</f>
        <v>3958.5418</v>
      </c>
      <c r="X37" s="62"/>
      <c r="Y37" s="62"/>
      <c r="Z37" s="62"/>
      <c r="AA37" s="62"/>
      <c r="AB37" s="3">
        <f>V37</f>
        <v>868.94819999999993</v>
      </c>
      <c r="AC37" s="24">
        <v>45273</v>
      </c>
      <c r="AD37" s="651"/>
    </row>
    <row r="38" spans="1:31">
      <c r="A38" s="279" t="s">
        <v>117</v>
      </c>
      <c r="B38" s="285" t="s">
        <v>117</v>
      </c>
      <c r="C38" s="285" t="s">
        <v>117</v>
      </c>
      <c r="D38" s="282" t="s">
        <v>117</v>
      </c>
      <c r="E38" s="233" t="s">
        <v>117</v>
      </c>
      <c r="F38" s="237">
        <v>5</v>
      </c>
      <c r="G38" s="238">
        <v>5</v>
      </c>
      <c r="H38" s="292" t="s">
        <v>554</v>
      </c>
      <c r="I38" s="53" t="s">
        <v>162</v>
      </c>
      <c r="J38" s="53" t="s">
        <v>19</v>
      </c>
      <c r="K38" s="76" t="s">
        <v>23</v>
      </c>
      <c r="L38" s="29">
        <v>2</v>
      </c>
      <c r="M38" s="30">
        <v>45273</v>
      </c>
      <c r="N38" s="30">
        <v>45276</v>
      </c>
      <c r="O38" s="427"/>
      <c r="P38" s="427"/>
      <c r="Q38" s="3">
        <v>2500</v>
      </c>
      <c r="R38" s="1">
        <v>3</v>
      </c>
      <c r="S38" s="3">
        <f t="shared" si="14"/>
        <v>7500</v>
      </c>
      <c r="T38" s="28">
        <v>-258.81</v>
      </c>
      <c r="U38" s="3">
        <f>SUM(S38:T38)</f>
        <v>7241.19</v>
      </c>
      <c r="V38" s="50">
        <f>+U38*0.18</f>
        <v>1303.4141999999999</v>
      </c>
      <c r="W38" s="50">
        <f>+U38-V38</f>
        <v>5937.7757999999994</v>
      </c>
      <c r="X38" s="3"/>
      <c r="Y38" s="3"/>
      <c r="Z38" s="3"/>
      <c r="AA38" s="3"/>
      <c r="AB38" s="3">
        <f>V38</f>
        <v>1303.4141999999999</v>
      </c>
      <c r="AC38" s="24">
        <v>45274</v>
      </c>
      <c r="AD38" s="651"/>
    </row>
    <row r="39" spans="1:31">
      <c r="A39" s="279" t="s">
        <v>117</v>
      </c>
      <c r="B39" s="285" t="s">
        <v>117</v>
      </c>
      <c r="C39" s="285" t="s">
        <v>117</v>
      </c>
      <c r="D39" s="282" t="s">
        <v>117</v>
      </c>
      <c r="E39" s="233" t="s">
        <v>117</v>
      </c>
      <c r="F39" s="237"/>
      <c r="G39" s="238"/>
      <c r="H39" s="290" t="s">
        <v>556</v>
      </c>
      <c r="I39" s="228" t="s">
        <v>83</v>
      </c>
      <c r="J39" t="s">
        <v>84</v>
      </c>
      <c r="K39" s="244" t="s">
        <v>85</v>
      </c>
      <c r="L39" s="29">
        <v>5</v>
      </c>
      <c r="M39" s="30">
        <v>45275</v>
      </c>
      <c r="N39" s="30">
        <v>45298</v>
      </c>
      <c r="O39" s="427"/>
      <c r="P39" s="427"/>
      <c r="Q39" s="3">
        <v>0</v>
      </c>
      <c r="R39" s="1">
        <v>3</v>
      </c>
      <c r="S39" s="3">
        <v>0</v>
      </c>
      <c r="T39" s="28">
        <v>0</v>
      </c>
      <c r="U39" s="3">
        <v>0</v>
      </c>
      <c r="V39" s="3">
        <v>0</v>
      </c>
      <c r="W39" s="50">
        <v>0</v>
      </c>
      <c r="X39" s="3"/>
      <c r="Y39" s="3"/>
      <c r="Z39" s="3"/>
      <c r="AA39" s="3"/>
      <c r="AC39" s="24">
        <v>0</v>
      </c>
      <c r="AD39" s="651"/>
    </row>
    <row r="40" spans="1:31" ht="16.5" customHeight="1">
      <c r="A40" s="279" t="s">
        <v>117</v>
      </c>
      <c r="B40" s="285" t="s">
        <v>117</v>
      </c>
      <c r="C40" s="285" t="s">
        <v>117</v>
      </c>
      <c r="D40" s="282" t="s">
        <v>117</v>
      </c>
      <c r="E40" s="233" t="s">
        <v>117</v>
      </c>
      <c r="F40" s="237"/>
      <c r="G40" s="238"/>
      <c r="H40" s="290" t="s">
        <v>555</v>
      </c>
      <c r="I40" s="228" t="s">
        <v>335</v>
      </c>
      <c r="J40" s="15" t="s">
        <v>84</v>
      </c>
      <c r="K40" s="249" t="s">
        <v>87</v>
      </c>
      <c r="L40" s="29">
        <v>5</v>
      </c>
      <c r="M40" s="30">
        <v>45275</v>
      </c>
      <c r="N40" s="30">
        <v>45293</v>
      </c>
      <c r="O40" s="427"/>
      <c r="P40" s="427"/>
      <c r="Q40" s="3">
        <v>7500</v>
      </c>
      <c r="R40" s="1">
        <v>18</v>
      </c>
      <c r="S40" s="3">
        <f>+Q40*R40</f>
        <v>135000</v>
      </c>
      <c r="T40" s="28">
        <v>0</v>
      </c>
      <c r="U40" s="3">
        <f>S40</f>
        <v>135000</v>
      </c>
      <c r="V40" s="50">
        <f>0.05*U40</f>
        <v>6750</v>
      </c>
      <c r="W40" s="50">
        <f t="shared" ref="W40:W47" si="19">+U40-V40</f>
        <v>128250</v>
      </c>
      <c r="X40" s="3"/>
      <c r="Y40" s="3"/>
      <c r="Z40" s="3"/>
      <c r="AA40" s="3"/>
      <c r="AB40" s="3">
        <f t="shared" ref="AB40:AB45" si="20">V40</f>
        <v>6750</v>
      </c>
      <c r="AC40" s="24">
        <v>0</v>
      </c>
      <c r="AD40" s="651"/>
      <c r="AE40" s="28"/>
    </row>
    <row r="41" spans="1:31">
      <c r="A41" s="279" t="s">
        <v>117</v>
      </c>
      <c r="B41" s="285" t="s">
        <v>117</v>
      </c>
      <c r="C41" s="285" t="s">
        <v>117</v>
      </c>
      <c r="D41" s="282" t="s">
        <v>117</v>
      </c>
      <c r="E41" s="233" t="s">
        <v>117</v>
      </c>
      <c r="F41" s="237">
        <v>5</v>
      </c>
      <c r="G41" s="238"/>
      <c r="H41" s="292" t="s">
        <v>554</v>
      </c>
      <c r="I41" s="53" t="s">
        <v>130</v>
      </c>
      <c r="J41" t="s">
        <v>131</v>
      </c>
      <c r="K41" s="4" t="s">
        <v>24</v>
      </c>
      <c r="L41" s="29">
        <v>2</v>
      </c>
      <c r="M41" s="30">
        <v>45276</v>
      </c>
      <c r="N41" s="30">
        <v>45278</v>
      </c>
      <c r="O41" s="427"/>
      <c r="P41" s="427"/>
      <c r="Q41" s="3">
        <v>2500</v>
      </c>
      <c r="R41" s="1">
        <v>2</v>
      </c>
      <c r="S41" s="3">
        <f>+Q41*R41</f>
        <v>5000</v>
      </c>
      <c r="T41" s="28">
        <v>-172.54</v>
      </c>
      <c r="U41" s="3">
        <f>SUM(S41:T41)</f>
        <v>4827.46</v>
      </c>
      <c r="V41" s="50">
        <f>+U41*0.18</f>
        <v>868.94279999999992</v>
      </c>
      <c r="W41" s="50">
        <f t="shared" si="19"/>
        <v>3958.5172000000002</v>
      </c>
      <c r="X41" s="3"/>
      <c r="Y41" s="3"/>
      <c r="Z41" s="3"/>
      <c r="AA41" s="3"/>
      <c r="AB41" s="3">
        <f t="shared" si="20"/>
        <v>868.94279999999992</v>
      </c>
      <c r="AC41" s="24">
        <v>45278</v>
      </c>
      <c r="AD41" s="651"/>
    </row>
    <row r="42" spans="1:31">
      <c r="A42" s="279" t="s">
        <v>117</v>
      </c>
      <c r="B42" s="285" t="s">
        <v>117</v>
      </c>
      <c r="C42" s="285" t="s">
        <v>117</v>
      </c>
      <c r="D42" s="282" t="s">
        <v>117</v>
      </c>
      <c r="E42" s="233" t="s">
        <v>117</v>
      </c>
      <c r="F42" s="237">
        <v>5</v>
      </c>
      <c r="G42" s="238">
        <v>5</v>
      </c>
      <c r="H42" s="292" t="s">
        <v>554</v>
      </c>
      <c r="I42" s="53" t="s">
        <v>80</v>
      </c>
      <c r="J42" t="s">
        <v>19</v>
      </c>
      <c r="K42" s="18" t="s">
        <v>23</v>
      </c>
      <c r="L42" s="29">
        <v>2</v>
      </c>
      <c r="M42" s="30">
        <v>45278</v>
      </c>
      <c r="N42" s="30">
        <v>45281</v>
      </c>
      <c r="O42" s="427"/>
      <c r="P42" s="427"/>
      <c r="Q42" s="3">
        <v>2500</v>
      </c>
      <c r="R42" s="1">
        <v>3</v>
      </c>
      <c r="S42" s="3">
        <f t="shared" si="8"/>
        <v>7500</v>
      </c>
      <c r="T42" s="28">
        <v>-258.77999999999997</v>
      </c>
      <c r="U42" s="3">
        <f t="shared" si="9"/>
        <v>7241.22</v>
      </c>
      <c r="V42" s="50">
        <f>+U42*0.18</f>
        <v>1303.4195999999999</v>
      </c>
      <c r="W42" s="50">
        <f t="shared" si="19"/>
        <v>5937.8004000000001</v>
      </c>
      <c r="X42" s="3"/>
      <c r="Y42" s="3"/>
      <c r="Z42" s="3"/>
      <c r="AA42" s="3"/>
      <c r="AB42" s="3">
        <f t="shared" si="20"/>
        <v>1303.4195999999999</v>
      </c>
      <c r="AC42" s="24">
        <v>45280</v>
      </c>
      <c r="AD42" s="651"/>
    </row>
    <row r="43" spans="1:31">
      <c r="A43" s="279" t="s">
        <v>117</v>
      </c>
      <c r="B43" s="285" t="s">
        <v>117</v>
      </c>
      <c r="C43" s="285" t="s">
        <v>117</v>
      </c>
      <c r="D43" s="282" t="s">
        <v>117</v>
      </c>
      <c r="E43" s="233" t="s">
        <v>117</v>
      </c>
      <c r="F43" s="237">
        <v>5</v>
      </c>
      <c r="G43" s="238">
        <v>5</v>
      </c>
      <c r="H43" s="292" t="s">
        <v>554</v>
      </c>
      <c r="I43" s="53" t="s">
        <v>334</v>
      </c>
      <c r="J43" t="s">
        <v>65</v>
      </c>
      <c r="K43" s="4" t="s">
        <v>24</v>
      </c>
      <c r="L43" s="29">
        <v>2</v>
      </c>
      <c r="M43" s="30">
        <v>45279</v>
      </c>
      <c r="N43" s="30">
        <v>45284</v>
      </c>
      <c r="O43" s="427"/>
      <c r="P43" s="427"/>
      <c r="Q43" s="3">
        <v>2500</v>
      </c>
      <c r="R43" s="1">
        <v>5</v>
      </c>
      <c r="S43" s="3">
        <f t="shared" si="8"/>
        <v>12500</v>
      </c>
      <c r="T43" s="28">
        <v>-431.25</v>
      </c>
      <c r="U43" s="3">
        <f t="shared" si="9"/>
        <v>12068.75</v>
      </c>
      <c r="V43" s="50">
        <f>+U43*0.18</f>
        <v>2172.375</v>
      </c>
      <c r="W43" s="50">
        <f t="shared" si="19"/>
        <v>9896.375</v>
      </c>
      <c r="X43" s="3"/>
      <c r="Y43" s="3"/>
      <c r="Z43" s="3"/>
      <c r="AA43" s="3"/>
      <c r="AB43" s="3">
        <f t="shared" si="20"/>
        <v>2172.375</v>
      </c>
      <c r="AC43" s="24">
        <v>45290</v>
      </c>
      <c r="AD43" s="651"/>
    </row>
    <row r="44" spans="1:31">
      <c r="A44" s="279" t="s">
        <v>117</v>
      </c>
      <c r="B44" s="285" t="s">
        <v>117</v>
      </c>
      <c r="C44" s="285" t="s">
        <v>117</v>
      </c>
      <c r="D44" s="282" t="s">
        <v>117</v>
      </c>
      <c r="E44" s="233" t="s">
        <v>117</v>
      </c>
      <c r="F44" s="237">
        <v>5</v>
      </c>
      <c r="G44" s="238"/>
      <c r="H44" s="292" t="s">
        <v>554</v>
      </c>
      <c r="I44" s="469" t="s">
        <v>218</v>
      </c>
      <c r="J44" s="469" t="s">
        <v>219</v>
      </c>
      <c r="K44" s="250" t="s">
        <v>210</v>
      </c>
      <c r="L44" s="470">
        <v>5</v>
      </c>
      <c r="M44" s="471">
        <v>45279</v>
      </c>
      <c r="N44" s="471">
        <v>45287</v>
      </c>
      <c r="O44" s="472"/>
      <c r="P44" s="472"/>
      <c r="Q44" s="473">
        <v>2800</v>
      </c>
      <c r="R44" s="470">
        <v>8</v>
      </c>
      <c r="S44" s="473">
        <f>+Q44*R44</f>
        <v>22400</v>
      </c>
      <c r="T44" s="474">
        <v>0</v>
      </c>
      <c r="U44" s="473">
        <f>SUM(S44:T44)</f>
        <v>22400</v>
      </c>
      <c r="V44" s="473">
        <v>4323.37</v>
      </c>
      <c r="W44" s="473"/>
      <c r="X44" s="473">
        <f>+U44-V44</f>
        <v>18076.63</v>
      </c>
      <c r="Y44" s="473"/>
      <c r="Z44" s="473"/>
      <c r="AA44" s="473"/>
      <c r="AB44" s="473">
        <f t="shared" si="20"/>
        <v>4323.37</v>
      </c>
      <c r="AC44" s="471">
        <v>45290</v>
      </c>
      <c r="AD44" s="651"/>
    </row>
    <row r="45" spans="1:31">
      <c r="A45" s="279" t="s">
        <v>117</v>
      </c>
      <c r="B45" s="285" t="s">
        <v>117</v>
      </c>
      <c r="C45" s="285" t="s">
        <v>117</v>
      </c>
      <c r="D45" s="282" t="s">
        <v>117</v>
      </c>
      <c r="E45" s="233" t="s">
        <v>117</v>
      </c>
      <c r="F45" s="237">
        <v>5</v>
      </c>
      <c r="G45" s="238">
        <v>5</v>
      </c>
      <c r="H45" s="292" t="s">
        <v>554</v>
      </c>
      <c r="I45" s="53" t="s">
        <v>228</v>
      </c>
      <c r="J45" s="53" t="s">
        <v>229</v>
      </c>
      <c r="K45" s="76" t="s">
        <v>23</v>
      </c>
      <c r="L45" s="29">
        <v>1</v>
      </c>
      <c r="M45" s="30">
        <v>45282</v>
      </c>
      <c r="N45" s="30">
        <v>45284</v>
      </c>
      <c r="O45" s="427"/>
      <c r="P45" s="427"/>
      <c r="Q45" s="3">
        <v>2500</v>
      </c>
      <c r="R45" s="1">
        <v>2</v>
      </c>
      <c r="S45" s="3">
        <f>+Q45*R45</f>
        <v>5000</v>
      </c>
      <c r="T45" s="28">
        <v>-172.09</v>
      </c>
      <c r="U45" s="3">
        <f t="shared" ref="U45" si="21">SUM(S45:T45)</f>
        <v>4827.91</v>
      </c>
      <c r="V45" s="50">
        <f>+U45*0.18</f>
        <v>869.02379999999994</v>
      </c>
      <c r="W45" s="50">
        <f>+U45-V45</f>
        <v>3958.8861999999999</v>
      </c>
      <c r="X45" s="3"/>
      <c r="Y45" s="3"/>
      <c r="Z45" s="3"/>
      <c r="AA45" s="3"/>
      <c r="AB45" s="3">
        <f t="shared" si="20"/>
        <v>869.02379999999994</v>
      </c>
      <c r="AC45" s="24">
        <v>45284</v>
      </c>
      <c r="AD45" s="651"/>
    </row>
    <row r="46" spans="1:31">
      <c r="A46" s="279" t="s">
        <v>117</v>
      </c>
      <c r="B46" s="285" t="s">
        <v>117</v>
      </c>
      <c r="C46" s="285" t="s">
        <v>117</v>
      </c>
      <c r="D46" s="282" t="s">
        <v>117</v>
      </c>
      <c r="E46" s="233" t="s">
        <v>117</v>
      </c>
      <c r="F46" s="237"/>
      <c r="G46" s="238"/>
      <c r="H46" s="290" t="s">
        <v>555</v>
      </c>
      <c r="I46" s="410" t="s">
        <v>212</v>
      </c>
      <c r="J46" s="410" t="s">
        <v>213</v>
      </c>
      <c r="K46" s="229" t="s">
        <v>217</v>
      </c>
      <c r="L46" s="401">
        <v>2</v>
      </c>
      <c r="M46" s="402">
        <v>45282</v>
      </c>
      <c r="N46" s="402">
        <v>45295</v>
      </c>
      <c r="O46" s="463"/>
      <c r="P46" s="463"/>
      <c r="Q46" s="403">
        <v>1000</v>
      </c>
      <c r="R46" s="401">
        <v>13</v>
      </c>
      <c r="S46" s="403">
        <f>+Q46*R46</f>
        <v>13000</v>
      </c>
      <c r="T46" s="404">
        <v>0</v>
      </c>
      <c r="U46" s="403">
        <f>SUM(S46:T46)</f>
        <v>13000</v>
      </c>
      <c r="V46" s="403"/>
      <c r="W46" s="405"/>
      <c r="X46" s="402"/>
      <c r="Y46" s="402"/>
      <c r="Z46" s="402"/>
      <c r="AA46" s="402"/>
      <c r="AB46" s="403"/>
      <c r="AC46" s="402">
        <v>45275</v>
      </c>
      <c r="AD46" s="655"/>
    </row>
    <row r="47" spans="1:31">
      <c r="A47" s="279" t="s">
        <v>117</v>
      </c>
      <c r="B47" s="285" t="s">
        <v>117</v>
      </c>
      <c r="C47" s="285" t="s">
        <v>117</v>
      </c>
      <c r="D47" s="282" t="s">
        <v>117</v>
      </c>
      <c r="E47" s="233" t="s">
        <v>117</v>
      </c>
      <c r="F47" s="237">
        <v>5</v>
      </c>
      <c r="G47" s="238"/>
      <c r="H47" s="292" t="s">
        <v>554</v>
      </c>
      <c r="I47" s="53" t="s">
        <v>132</v>
      </c>
      <c r="J47" t="s">
        <v>107</v>
      </c>
      <c r="K47" s="18" t="s">
        <v>23</v>
      </c>
      <c r="L47" s="29">
        <v>2</v>
      </c>
      <c r="M47" s="30">
        <v>45284</v>
      </c>
      <c r="N47" s="30">
        <v>45286</v>
      </c>
      <c r="O47" s="427"/>
      <c r="P47" s="427"/>
      <c r="Q47" s="3">
        <v>2500</v>
      </c>
      <c r="R47" s="1">
        <v>2</v>
      </c>
      <c r="S47" s="3">
        <f>+Q47*R47</f>
        <v>5000</v>
      </c>
      <c r="T47" s="28">
        <v>-172.5</v>
      </c>
      <c r="U47" s="3">
        <f>SUM(S47:T47)</f>
        <v>4827.5</v>
      </c>
      <c r="V47" s="50">
        <f>+U47*0.18</f>
        <v>868.94999999999993</v>
      </c>
      <c r="W47" s="50">
        <f t="shared" si="19"/>
        <v>3958.55</v>
      </c>
      <c r="X47" s="3"/>
      <c r="Y47" s="3"/>
      <c r="Z47" s="3"/>
      <c r="AA47" s="3"/>
      <c r="AB47" s="3">
        <f>V47</f>
        <v>868.94999999999993</v>
      </c>
      <c r="AC47" s="24">
        <v>45285</v>
      </c>
      <c r="AD47" s="651"/>
    </row>
    <row r="48" spans="1:31">
      <c r="A48" s="279" t="s">
        <v>117</v>
      </c>
      <c r="B48" s="285" t="s">
        <v>117</v>
      </c>
      <c r="C48" s="285" t="s">
        <v>117</v>
      </c>
      <c r="D48" s="282" t="s">
        <v>117</v>
      </c>
      <c r="E48" s="233" t="s">
        <v>117</v>
      </c>
      <c r="F48" s="237">
        <v>5</v>
      </c>
      <c r="G48" s="238">
        <v>5</v>
      </c>
      <c r="H48" s="292" t="s">
        <v>554</v>
      </c>
      <c r="I48" s="53" t="s">
        <v>253</v>
      </c>
      <c r="J48" s="53" t="s">
        <v>182</v>
      </c>
      <c r="K48" s="44" t="s">
        <v>24</v>
      </c>
      <c r="L48" s="29">
        <v>2</v>
      </c>
      <c r="M48" s="30">
        <v>45284</v>
      </c>
      <c r="N48" s="30">
        <v>45287</v>
      </c>
      <c r="O48" s="427"/>
      <c r="P48" s="427"/>
      <c r="Q48" s="3">
        <v>2500</v>
      </c>
      <c r="R48" s="1">
        <v>3</v>
      </c>
      <c r="S48" s="3">
        <f t="shared" ref="S48" si="22">+Q48*R48</f>
        <v>7500</v>
      </c>
      <c r="T48" s="28">
        <v>-258.66000000000003</v>
      </c>
      <c r="U48" s="3">
        <f t="shared" ref="U48:U49" si="23">SUM(S48:T48)</f>
        <v>7241.34</v>
      </c>
      <c r="V48" s="50">
        <f t="shared" ref="V48:V49" si="24">+U48*0.18</f>
        <v>1303.4412</v>
      </c>
      <c r="W48" s="50">
        <f t="shared" ref="W48:W49" si="25">+U48-V48</f>
        <v>5937.8987999999999</v>
      </c>
      <c r="X48" s="3"/>
      <c r="Y48" s="3"/>
      <c r="Z48" s="3"/>
      <c r="AA48" s="3"/>
      <c r="AB48" s="3">
        <f>V48</f>
        <v>1303.4412</v>
      </c>
      <c r="AC48" s="24">
        <v>45285</v>
      </c>
      <c r="AD48" s="651"/>
    </row>
    <row r="49" spans="1:35">
      <c r="A49" s="279" t="s">
        <v>117</v>
      </c>
      <c r="B49" s="285" t="s">
        <v>117</v>
      </c>
      <c r="C49" s="285" t="s">
        <v>117</v>
      </c>
      <c r="D49" s="282" t="s">
        <v>117</v>
      </c>
      <c r="E49" s="233" t="s">
        <v>117</v>
      </c>
      <c r="F49" s="237">
        <v>5</v>
      </c>
      <c r="G49" s="238"/>
      <c r="H49" s="292" t="s">
        <v>554</v>
      </c>
      <c r="I49" s="228" t="s">
        <v>256</v>
      </c>
      <c r="J49" s="53" t="s">
        <v>257</v>
      </c>
      <c r="K49" s="76" t="s">
        <v>23</v>
      </c>
      <c r="L49" s="29">
        <v>2</v>
      </c>
      <c r="M49" s="30">
        <v>45286</v>
      </c>
      <c r="N49" s="30">
        <v>45288</v>
      </c>
      <c r="O49" s="427"/>
      <c r="P49" s="427"/>
      <c r="Q49" s="3">
        <v>2442.5</v>
      </c>
      <c r="R49" s="1">
        <v>2</v>
      </c>
      <c r="S49" s="3">
        <v>4885</v>
      </c>
      <c r="T49" s="28">
        <v>0</v>
      </c>
      <c r="U49" s="3">
        <f t="shared" si="23"/>
        <v>4885</v>
      </c>
      <c r="V49" s="50">
        <f t="shared" si="24"/>
        <v>879.3</v>
      </c>
      <c r="W49" s="50">
        <f t="shared" si="25"/>
        <v>4005.7</v>
      </c>
      <c r="X49" s="3"/>
      <c r="Y49" s="3"/>
      <c r="Z49" s="3"/>
      <c r="AA49" s="3"/>
      <c r="AB49" s="3">
        <f>V49</f>
        <v>879.3</v>
      </c>
      <c r="AC49" s="24">
        <v>0</v>
      </c>
      <c r="AD49" s="651"/>
    </row>
    <row r="50" spans="1:35">
      <c r="A50" s="279" t="s">
        <v>117</v>
      </c>
      <c r="B50" s="285" t="s">
        <v>117</v>
      </c>
      <c r="C50" s="285" t="s">
        <v>117</v>
      </c>
      <c r="D50" s="282" t="s">
        <v>117</v>
      </c>
      <c r="E50" s="233" t="s">
        <v>117</v>
      </c>
      <c r="F50" s="237">
        <v>5</v>
      </c>
      <c r="G50" s="238">
        <v>5</v>
      </c>
      <c r="H50" s="292" t="s">
        <v>554</v>
      </c>
      <c r="I50" s="53" t="s">
        <v>67</v>
      </c>
      <c r="J50" t="s">
        <v>68</v>
      </c>
      <c r="K50" s="4" t="s">
        <v>24</v>
      </c>
      <c r="L50" s="29">
        <v>2</v>
      </c>
      <c r="M50" s="30">
        <v>45287</v>
      </c>
      <c r="N50" s="30">
        <v>45289</v>
      </c>
      <c r="O50" s="427"/>
      <c r="P50" s="427"/>
      <c r="Q50" s="3">
        <v>2500</v>
      </c>
      <c r="R50" s="1">
        <v>2</v>
      </c>
      <c r="S50" s="3">
        <f t="shared" si="8"/>
        <v>5000</v>
      </c>
      <c r="T50" s="28">
        <v>-172.52</v>
      </c>
      <c r="U50" s="3">
        <f t="shared" si="9"/>
        <v>4827.4799999999996</v>
      </c>
      <c r="V50" s="50">
        <f>+U50*0.18</f>
        <v>868.94639999999993</v>
      </c>
      <c r="W50" s="3">
        <f>+U50-V50</f>
        <v>3958.5335999999998</v>
      </c>
      <c r="X50" s="3"/>
      <c r="Y50" s="3"/>
      <c r="Z50" s="3"/>
      <c r="AA50" s="3"/>
      <c r="AB50" s="3">
        <f t="shared" ref="AB50:AB57" si="26">V50</f>
        <v>868.94639999999993</v>
      </c>
      <c r="AC50" s="24">
        <v>45288</v>
      </c>
      <c r="AD50" s="651"/>
    </row>
    <row r="51" spans="1:35">
      <c r="A51" s="279" t="s">
        <v>117</v>
      </c>
      <c r="B51" s="285" t="s">
        <v>117</v>
      </c>
      <c r="C51" s="285" t="s">
        <v>117</v>
      </c>
      <c r="D51" s="282" t="s">
        <v>117</v>
      </c>
      <c r="E51" s="233" t="s">
        <v>117</v>
      </c>
      <c r="F51" s="237">
        <v>5</v>
      </c>
      <c r="G51" s="238">
        <v>5</v>
      </c>
      <c r="H51" s="292" t="s">
        <v>554</v>
      </c>
      <c r="I51" s="469" t="s">
        <v>220</v>
      </c>
      <c r="J51" s="469" t="s">
        <v>221</v>
      </c>
      <c r="K51" s="250" t="s">
        <v>210</v>
      </c>
      <c r="L51" s="470">
        <v>5</v>
      </c>
      <c r="M51" s="471">
        <v>45287</v>
      </c>
      <c r="N51" s="471">
        <v>45295</v>
      </c>
      <c r="O51" s="472"/>
      <c r="P51" s="472"/>
      <c r="Q51" s="473">
        <v>2800</v>
      </c>
      <c r="R51" s="470">
        <v>8</v>
      </c>
      <c r="S51" s="473">
        <f>+Q51*R51</f>
        <v>22400</v>
      </c>
      <c r="T51" s="474">
        <v>0</v>
      </c>
      <c r="U51" s="473">
        <f>SUM(S51:T51)</f>
        <v>22400</v>
      </c>
      <c r="V51" s="473">
        <v>3458.28</v>
      </c>
      <c r="W51" s="473"/>
      <c r="X51" s="473">
        <f>+U51-V51</f>
        <v>18941.72</v>
      </c>
      <c r="Y51" s="473"/>
      <c r="Z51" s="473"/>
      <c r="AA51" s="473"/>
      <c r="AB51" s="473">
        <f t="shared" si="26"/>
        <v>3458.28</v>
      </c>
      <c r="AC51" s="471">
        <v>45288</v>
      </c>
      <c r="AD51" s="651"/>
    </row>
    <row r="52" spans="1:35" ht="15" thickBot="1">
      <c r="A52" s="279" t="s">
        <v>117</v>
      </c>
      <c r="B52" s="285" t="s">
        <v>117</v>
      </c>
      <c r="C52" s="285" t="s">
        <v>117</v>
      </c>
      <c r="D52" s="282" t="s">
        <v>117</v>
      </c>
      <c r="E52" s="233" t="s">
        <v>117</v>
      </c>
      <c r="F52" s="237">
        <v>5</v>
      </c>
      <c r="G52" s="238">
        <v>5</v>
      </c>
      <c r="H52" s="292" t="s">
        <v>554</v>
      </c>
      <c r="I52" s="53" t="s">
        <v>18</v>
      </c>
      <c r="J52" t="s">
        <v>19</v>
      </c>
      <c r="K52" s="18" t="s">
        <v>23</v>
      </c>
      <c r="L52" s="29">
        <v>2</v>
      </c>
      <c r="M52" s="30">
        <v>45289</v>
      </c>
      <c r="N52" s="30">
        <v>45293</v>
      </c>
      <c r="O52" s="427"/>
      <c r="P52" s="427"/>
      <c r="Q52" s="3">
        <v>2250</v>
      </c>
      <c r="R52" s="1">
        <v>4</v>
      </c>
      <c r="S52" s="3">
        <f t="shared" si="8"/>
        <v>9000</v>
      </c>
      <c r="T52" s="28">
        <v>-310.5</v>
      </c>
      <c r="U52" s="3">
        <f t="shared" si="9"/>
        <v>8689.5</v>
      </c>
      <c r="V52" s="50">
        <f t="shared" si="3"/>
        <v>1564.11</v>
      </c>
      <c r="W52" s="3">
        <f t="shared" si="4"/>
        <v>7125.39</v>
      </c>
      <c r="X52" s="3"/>
      <c r="Y52" s="3"/>
      <c r="Z52" s="3"/>
      <c r="AA52" s="3"/>
      <c r="AB52" s="3">
        <f t="shared" si="26"/>
        <v>1564.11</v>
      </c>
      <c r="AC52" s="24">
        <v>45290</v>
      </c>
      <c r="AD52" s="651"/>
    </row>
    <row r="53" spans="1:35" ht="15" thickBot="1">
      <c r="A53" s="280" t="s">
        <v>117</v>
      </c>
      <c r="B53" s="286" t="s">
        <v>117</v>
      </c>
      <c r="C53" s="286" t="s">
        <v>117</v>
      </c>
      <c r="D53" s="283" t="s">
        <v>117</v>
      </c>
      <c r="E53" s="234" t="s">
        <v>117</v>
      </c>
      <c r="F53" s="239">
        <v>5</v>
      </c>
      <c r="G53" s="239">
        <v>5</v>
      </c>
      <c r="H53" s="293" t="s">
        <v>554</v>
      </c>
      <c r="I53" s="56" t="s">
        <v>288</v>
      </c>
      <c r="J53" s="31" t="s">
        <v>14</v>
      </c>
      <c r="K53" s="36" t="s">
        <v>24</v>
      </c>
      <c r="L53" s="57">
        <v>2</v>
      </c>
      <c r="M53" s="58">
        <v>45289</v>
      </c>
      <c r="N53" s="58">
        <v>45297</v>
      </c>
      <c r="O53" s="429"/>
      <c r="P53" s="429"/>
      <c r="Q53" s="32">
        <v>2000</v>
      </c>
      <c r="R53" s="33">
        <v>8</v>
      </c>
      <c r="S53" s="32">
        <f t="shared" si="1"/>
        <v>16000</v>
      </c>
      <c r="T53" s="109">
        <v>-552</v>
      </c>
      <c r="U53" s="32">
        <f t="shared" si="2"/>
        <v>15448</v>
      </c>
      <c r="V53" s="88">
        <f t="shared" si="3"/>
        <v>2780.64</v>
      </c>
      <c r="W53" s="32">
        <f t="shared" si="4"/>
        <v>12667.36</v>
      </c>
      <c r="X53" s="32"/>
      <c r="Y53" s="32"/>
      <c r="Z53" s="32"/>
      <c r="AA53" s="32"/>
      <c r="AB53" s="32">
        <f t="shared" si="26"/>
        <v>2780.64</v>
      </c>
      <c r="AC53" s="77">
        <v>45290</v>
      </c>
      <c r="AD53" s="654"/>
      <c r="AE53" s="650" t="s">
        <v>464</v>
      </c>
      <c r="AH53" s="311" t="s">
        <v>466</v>
      </c>
    </row>
    <row r="54" spans="1:35" s="6" customFormat="1">
      <c r="A54" s="533" t="s">
        <v>728</v>
      </c>
      <c r="B54" s="530"/>
      <c r="C54" s="530"/>
      <c r="D54" s="530"/>
      <c r="E54" s="530"/>
      <c r="F54" s="530"/>
      <c r="G54" s="530"/>
      <c r="H54" s="531"/>
      <c r="I54" s="525"/>
      <c r="J54" s="532"/>
      <c r="K54" s="517"/>
      <c r="L54" s="518"/>
      <c r="M54" s="519"/>
      <c r="N54" s="519"/>
      <c r="O54" s="520"/>
      <c r="P54" s="520"/>
      <c r="Q54" s="521"/>
      <c r="R54" s="518"/>
      <c r="S54" s="521"/>
      <c r="T54" s="522"/>
      <c r="U54" s="521"/>
      <c r="V54" s="443">
        <f>SUM(V32:V53)</f>
        <v>34962.355599999995</v>
      </c>
      <c r="W54" s="523">
        <f>SUM(W32:W53)</f>
        <v>221323.2144</v>
      </c>
      <c r="X54" s="527">
        <f>SUM(X32:X53)</f>
        <v>37018.350000000006</v>
      </c>
      <c r="Y54" s="521"/>
      <c r="Z54" s="521"/>
      <c r="AA54" s="521"/>
      <c r="AB54" s="524">
        <f>SUM(AB32:AB53)</f>
        <v>34962.355599999995</v>
      </c>
      <c r="AC54" s="519"/>
      <c r="AD54" s="655">
        <v>13000</v>
      </c>
      <c r="AE54" s="528">
        <f>AB54</f>
        <v>34962.355599999995</v>
      </c>
      <c r="AF54" s="525"/>
      <c r="AG54" s="525"/>
      <c r="AH54" s="526">
        <f>AE54/3</f>
        <v>11654.118533333332</v>
      </c>
    </row>
    <row r="55" spans="1:35">
      <c r="A55" s="279" t="s">
        <v>117</v>
      </c>
      <c r="B55" s="285" t="s">
        <v>117</v>
      </c>
      <c r="C55" s="285" t="s">
        <v>117</v>
      </c>
      <c r="D55" s="282" t="s">
        <v>117</v>
      </c>
      <c r="E55" s="233" t="s">
        <v>117</v>
      </c>
      <c r="F55" s="237">
        <v>5</v>
      </c>
      <c r="G55" s="238">
        <v>5</v>
      </c>
      <c r="H55" s="292" t="s">
        <v>554</v>
      </c>
      <c r="I55" s="53" t="s">
        <v>102</v>
      </c>
      <c r="J55" t="s">
        <v>103</v>
      </c>
      <c r="K55" s="18" t="s">
        <v>23</v>
      </c>
      <c r="L55" s="29">
        <v>2</v>
      </c>
      <c r="M55" s="30">
        <v>45294</v>
      </c>
      <c r="N55" s="30">
        <v>45296</v>
      </c>
      <c r="O55" s="427"/>
      <c r="P55" s="427"/>
      <c r="Q55" s="3">
        <v>2500</v>
      </c>
      <c r="R55" s="1">
        <v>2</v>
      </c>
      <c r="S55" s="3">
        <f>+Q55*R55</f>
        <v>5000</v>
      </c>
      <c r="T55" s="28">
        <v>-172.51</v>
      </c>
      <c r="U55" s="3">
        <f>SUM(S55:T55)</f>
        <v>4827.49</v>
      </c>
      <c r="V55" s="50">
        <f>+U55*0.18</f>
        <v>868.94819999999993</v>
      </c>
      <c r="W55" s="3">
        <f>+U55-V55</f>
        <v>3958.5418</v>
      </c>
      <c r="X55" s="3"/>
      <c r="Y55" s="3"/>
      <c r="Z55" s="3"/>
      <c r="AA55" s="3"/>
      <c r="AB55" s="3">
        <f t="shared" si="26"/>
        <v>868.94819999999993</v>
      </c>
      <c r="AC55" s="24">
        <v>45295</v>
      </c>
      <c r="AD55" s="651"/>
    </row>
    <row r="56" spans="1:35">
      <c r="A56" s="279" t="s">
        <v>117</v>
      </c>
      <c r="B56" s="285" t="s">
        <v>117</v>
      </c>
      <c r="C56" s="285" t="s">
        <v>117</v>
      </c>
      <c r="D56" s="282" t="s">
        <v>117</v>
      </c>
      <c r="E56" s="233" t="s">
        <v>117</v>
      </c>
      <c r="F56" s="237">
        <v>5</v>
      </c>
      <c r="G56" s="238"/>
      <c r="H56" s="292" t="s">
        <v>554</v>
      </c>
      <c r="I56" s="53" t="s">
        <v>226</v>
      </c>
      <c r="J56" s="53" t="s">
        <v>225</v>
      </c>
      <c r="K56" s="76" t="s">
        <v>23</v>
      </c>
      <c r="L56" s="29">
        <v>2</v>
      </c>
      <c r="M56" s="30">
        <v>45296</v>
      </c>
      <c r="N56" s="30">
        <v>45298</v>
      </c>
      <c r="O56" s="427"/>
      <c r="P56" s="427"/>
      <c r="Q56" s="3">
        <v>2500</v>
      </c>
      <c r="R56" s="1">
        <v>2</v>
      </c>
      <c r="S56" s="3">
        <f>+Q56*R56</f>
        <v>5000</v>
      </c>
      <c r="T56" s="28">
        <v>-172.52</v>
      </c>
      <c r="U56" s="3">
        <f t="shared" ref="U56" si="27">SUM(S56:T56)</f>
        <v>4827.4799999999996</v>
      </c>
      <c r="V56" s="50">
        <f t="shared" ref="V56" si="28">+U56*0.18</f>
        <v>868.94639999999993</v>
      </c>
      <c r="W56" s="3">
        <f t="shared" ref="W56" si="29">+U56-V56</f>
        <v>3958.5335999999998</v>
      </c>
      <c r="X56" s="3"/>
      <c r="Y56" s="3"/>
      <c r="Z56" s="3"/>
      <c r="AA56" s="3"/>
      <c r="AB56" s="3">
        <f t="shared" si="26"/>
        <v>868.94639999999993</v>
      </c>
      <c r="AC56" s="24">
        <v>45297</v>
      </c>
      <c r="AD56" s="651"/>
    </row>
    <row r="57" spans="1:35">
      <c r="A57" s="279" t="s">
        <v>117</v>
      </c>
      <c r="B57" s="285" t="s">
        <v>117</v>
      </c>
      <c r="C57" s="285" t="s">
        <v>117</v>
      </c>
      <c r="D57" s="282" t="s">
        <v>117</v>
      </c>
      <c r="E57" s="233" t="s">
        <v>117</v>
      </c>
      <c r="F57" s="237">
        <v>5</v>
      </c>
      <c r="G57" s="238">
        <v>5</v>
      </c>
      <c r="H57" s="292" t="s">
        <v>554</v>
      </c>
      <c r="I57" s="469" t="s">
        <v>268</v>
      </c>
      <c r="J57" s="469" t="s">
        <v>107</v>
      </c>
      <c r="K57" s="250" t="s">
        <v>210</v>
      </c>
      <c r="L57" s="470">
        <v>3</v>
      </c>
      <c r="M57" s="471">
        <v>45296</v>
      </c>
      <c r="N57" s="471">
        <v>45298</v>
      </c>
      <c r="O57" s="472"/>
      <c r="P57" s="472"/>
      <c r="Q57" s="473">
        <v>2200</v>
      </c>
      <c r="R57" s="470">
        <v>2</v>
      </c>
      <c r="S57" s="473">
        <f>+Q57*R57</f>
        <v>4400</v>
      </c>
      <c r="T57" s="474">
        <v>-162.15</v>
      </c>
      <c r="U57" s="473">
        <f t="shared" ref="U57" si="30">SUM(S57:T57)</f>
        <v>4237.8500000000004</v>
      </c>
      <c r="V57" s="473">
        <f>+U57*0.2</f>
        <v>847.57000000000016</v>
      </c>
      <c r="W57" s="473"/>
      <c r="X57" s="473">
        <f>+U57-V57</f>
        <v>3390.28</v>
      </c>
      <c r="Y57" s="473"/>
      <c r="Z57" s="473"/>
      <c r="AA57" s="473"/>
      <c r="AB57" s="473">
        <f t="shared" si="26"/>
        <v>847.57000000000016</v>
      </c>
      <c r="AC57" s="471">
        <v>45297</v>
      </c>
      <c r="AD57" s="651"/>
      <c r="AE57" s="3"/>
      <c r="AI57" s="3"/>
    </row>
    <row r="58" spans="1:35">
      <c r="A58" s="279" t="s">
        <v>117</v>
      </c>
      <c r="B58" s="285" t="s">
        <v>117</v>
      </c>
      <c r="C58" s="285" t="s">
        <v>117</v>
      </c>
      <c r="D58" s="282" t="s">
        <v>117</v>
      </c>
      <c r="E58" s="233" t="s">
        <v>117</v>
      </c>
      <c r="F58" s="237">
        <v>5</v>
      </c>
      <c r="G58" s="238"/>
      <c r="H58" s="292" t="s">
        <v>554</v>
      </c>
      <c r="I58" s="53" t="s">
        <v>269</v>
      </c>
      <c r="J58" s="53" t="s">
        <v>84</v>
      </c>
      <c r="K58" s="44" t="s">
        <v>24</v>
      </c>
      <c r="L58" s="29">
        <v>2</v>
      </c>
      <c r="M58" s="30">
        <v>45297</v>
      </c>
      <c r="N58" s="30">
        <v>45299</v>
      </c>
      <c r="O58" s="427"/>
      <c r="P58" s="427"/>
      <c r="Q58" s="50">
        <v>2500</v>
      </c>
      <c r="R58" s="29">
        <v>2</v>
      </c>
      <c r="S58" s="3">
        <f>+Q58*R58</f>
        <v>5000</v>
      </c>
      <c r="T58" s="28">
        <v>-172.5</v>
      </c>
      <c r="U58" s="3">
        <f t="shared" ref="U58" si="31">SUM(S58:T58)</f>
        <v>4827.5</v>
      </c>
      <c r="V58" s="50">
        <f t="shared" ref="V58" si="32">+U58*0.18</f>
        <v>868.94999999999993</v>
      </c>
      <c r="W58" s="3">
        <f t="shared" ref="W58" si="33">+U58-V58</f>
        <v>3958.55</v>
      </c>
      <c r="X58" s="3"/>
      <c r="Y58" s="3"/>
      <c r="Z58" s="3"/>
      <c r="AA58" s="3"/>
      <c r="AB58" s="3">
        <f t="shared" ref="AB58:AB63" si="34">V58</f>
        <v>868.94999999999993</v>
      </c>
      <c r="AC58" s="24">
        <v>45298</v>
      </c>
      <c r="AD58" s="651"/>
      <c r="AI58" s="3"/>
    </row>
    <row r="59" spans="1:35">
      <c r="A59" s="279" t="s">
        <v>117</v>
      </c>
      <c r="B59" s="285" t="s">
        <v>117</v>
      </c>
      <c r="C59" s="285" t="s">
        <v>117</v>
      </c>
      <c r="D59" s="282" t="s">
        <v>117</v>
      </c>
      <c r="E59" s="233" t="s">
        <v>117</v>
      </c>
      <c r="F59" s="237">
        <v>5</v>
      </c>
      <c r="G59" s="238">
        <v>5</v>
      </c>
      <c r="H59" s="292" t="s">
        <v>554</v>
      </c>
      <c r="I59" s="53" t="s">
        <v>76</v>
      </c>
      <c r="J59" t="s">
        <v>77</v>
      </c>
      <c r="K59" s="18" t="s">
        <v>23</v>
      </c>
      <c r="L59" s="29">
        <v>2</v>
      </c>
      <c r="M59" s="30">
        <v>45298</v>
      </c>
      <c r="N59" s="30">
        <v>45301</v>
      </c>
      <c r="O59" s="427"/>
      <c r="P59" s="427"/>
      <c r="Q59" s="3">
        <v>2500</v>
      </c>
      <c r="R59" s="1">
        <v>3</v>
      </c>
      <c r="S59" s="3">
        <f>+Q59*R59</f>
        <v>7500</v>
      </c>
      <c r="T59" s="28">
        <v>-258.77</v>
      </c>
      <c r="U59" s="3">
        <f>SUM(S59:T59)</f>
        <v>7241.23</v>
      </c>
      <c r="V59" s="50">
        <f>+U59*0.18</f>
        <v>1303.4213999999999</v>
      </c>
      <c r="W59" s="3">
        <f>+U59-V59</f>
        <v>5937.8085999999994</v>
      </c>
      <c r="X59" s="47"/>
      <c r="Y59" s="47"/>
      <c r="Z59" s="47"/>
      <c r="AA59" s="47"/>
      <c r="AB59" s="3">
        <f t="shared" si="34"/>
        <v>1303.4213999999999</v>
      </c>
      <c r="AC59" s="24">
        <v>45299</v>
      </c>
      <c r="AD59" s="651"/>
    </row>
    <row r="60" spans="1:35">
      <c r="A60" s="279" t="s">
        <v>117</v>
      </c>
      <c r="B60" s="285" t="s">
        <v>117</v>
      </c>
      <c r="C60" s="285" t="s">
        <v>117</v>
      </c>
      <c r="D60" s="282" t="s">
        <v>117</v>
      </c>
      <c r="E60" s="233" t="s">
        <v>117</v>
      </c>
      <c r="F60" s="237">
        <v>5</v>
      </c>
      <c r="G60" s="238">
        <v>5</v>
      </c>
      <c r="H60" s="292" t="s">
        <v>554</v>
      </c>
      <c r="I60" s="53" t="s">
        <v>25</v>
      </c>
      <c r="J60" s="43" t="s">
        <v>26</v>
      </c>
      <c r="K60" s="44" t="s">
        <v>24</v>
      </c>
      <c r="L60" s="54">
        <v>2</v>
      </c>
      <c r="M60" s="55">
        <v>45299</v>
      </c>
      <c r="N60" s="55">
        <v>45301</v>
      </c>
      <c r="O60" s="428"/>
      <c r="P60" s="428"/>
      <c r="Q60" s="47">
        <v>2000</v>
      </c>
      <c r="R60" s="48">
        <v>2</v>
      </c>
      <c r="S60" s="47">
        <f t="shared" si="1"/>
        <v>4000</v>
      </c>
      <c r="T60" s="49">
        <v>-138.01</v>
      </c>
      <c r="U60" s="47">
        <f t="shared" si="2"/>
        <v>3861.99</v>
      </c>
      <c r="V60" s="62">
        <f t="shared" si="3"/>
        <v>695.15819999999997</v>
      </c>
      <c r="W60" s="47">
        <f t="shared" si="4"/>
        <v>3166.8317999999999</v>
      </c>
      <c r="X60" s="3"/>
      <c r="Y60" s="3"/>
      <c r="Z60" s="3"/>
      <c r="AA60" s="3"/>
      <c r="AB60" s="3">
        <f t="shared" si="34"/>
        <v>695.15819999999997</v>
      </c>
      <c r="AC60" s="24">
        <v>45300</v>
      </c>
      <c r="AD60" s="651"/>
    </row>
    <row r="61" spans="1:35">
      <c r="A61" s="279" t="s">
        <v>117</v>
      </c>
      <c r="B61" s="285" t="s">
        <v>117</v>
      </c>
      <c r="C61" s="285" t="s">
        <v>117</v>
      </c>
      <c r="D61" s="282" t="s">
        <v>117</v>
      </c>
      <c r="E61" s="233" t="s">
        <v>117</v>
      </c>
      <c r="F61" s="237"/>
      <c r="G61" s="238"/>
      <c r="H61" s="290" t="s">
        <v>556</v>
      </c>
      <c r="I61" s="228" t="s">
        <v>215</v>
      </c>
      <c r="J61" s="15" t="s">
        <v>84</v>
      </c>
      <c r="K61" s="244" t="s">
        <v>85</v>
      </c>
      <c r="L61" s="29">
        <v>2</v>
      </c>
      <c r="M61" s="30">
        <v>45299</v>
      </c>
      <c r="N61" s="30">
        <v>45306</v>
      </c>
      <c r="O61" s="427"/>
      <c r="P61" s="427"/>
      <c r="Q61" s="3">
        <v>2000</v>
      </c>
      <c r="R61" s="1">
        <v>7</v>
      </c>
      <c r="S61" s="49">
        <f t="shared" si="1"/>
        <v>14000</v>
      </c>
      <c r="T61" s="28">
        <v>0</v>
      </c>
      <c r="U61" s="47">
        <f t="shared" si="2"/>
        <v>14000</v>
      </c>
      <c r="V61" s="50">
        <f>0.05*U61</f>
        <v>700</v>
      </c>
      <c r="W61" s="62">
        <f t="shared" si="4"/>
        <v>13300</v>
      </c>
      <c r="X61" s="3"/>
      <c r="Y61" s="3"/>
      <c r="Z61" s="3"/>
      <c r="AA61" s="3"/>
      <c r="AB61" s="3">
        <f t="shared" si="34"/>
        <v>700</v>
      </c>
      <c r="AC61" s="24">
        <v>45314</v>
      </c>
      <c r="AD61" s="651"/>
      <c r="AI61" s="3"/>
    </row>
    <row r="62" spans="1:35">
      <c r="A62" s="279" t="s">
        <v>117</v>
      </c>
      <c r="B62" s="285" t="s">
        <v>117</v>
      </c>
      <c r="C62" s="285" t="s">
        <v>117</v>
      </c>
      <c r="D62" s="282" t="s">
        <v>117</v>
      </c>
      <c r="E62" s="233" t="s">
        <v>117</v>
      </c>
      <c r="F62" s="237">
        <v>5</v>
      </c>
      <c r="G62" s="238">
        <v>5</v>
      </c>
      <c r="H62" s="292" t="s">
        <v>554</v>
      </c>
      <c r="I62" s="469" t="s">
        <v>222</v>
      </c>
      <c r="J62" s="469" t="s">
        <v>223</v>
      </c>
      <c r="K62" s="250" t="s">
        <v>210</v>
      </c>
      <c r="L62" s="470">
        <v>4</v>
      </c>
      <c r="M62" s="471">
        <v>45301</v>
      </c>
      <c r="N62" s="471">
        <v>45303</v>
      </c>
      <c r="O62" s="472"/>
      <c r="P62" s="472"/>
      <c r="Q62" s="473">
        <v>880</v>
      </c>
      <c r="R62" s="470">
        <v>2</v>
      </c>
      <c r="S62" s="473">
        <f t="shared" ref="S62:S66" si="35">+Q62*R62</f>
        <v>1760</v>
      </c>
      <c r="T62" s="474">
        <v>-60.79</v>
      </c>
      <c r="U62" s="473">
        <f t="shared" ref="U62" si="36">SUM(S62:T62)</f>
        <v>1699.21</v>
      </c>
      <c r="V62" s="473">
        <f>+U62*0.2</f>
        <v>339.84200000000004</v>
      </c>
      <c r="W62" s="473"/>
      <c r="X62" s="475">
        <f>+U62-V62</f>
        <v>1359.3679999999999</v>
      </c>
      <c r="Y62" s="475"/>
      <c r="Z62" s="475"/>
      <c r="AA62" s="475"/>
      <c r="AB62" s="473">
        <f t="shared" si="34"/>
        <v>339.84200000000004</v>
      </c>
      <c r="AC62" s="471">
        <v>45302</v>
      </c>
      <c r="AD62" s="651"/>
      <c r="AI62" s="3"/>
    </row>
    <row r="63" spans="1:35">
      <c r="A63" s="279" t="s">
        <v>117</v>
      </c>
      <c r="B63" s="285" t="s">
        <v>117</v>
      </c>
      <c r="C63" s="285" t="s">
        <v>117</v>
      </c>
      <c r="D63" s="282" t="s">
        <v>117</v>
      </c>
      <c r="E63" s="233" t="s">
        <v>117</v>
      </c>
      <c r="F63" s="237">
        <v>5</v>
      </c>
      <c r="G63" s="238">
        <v>5</v>
      </c>
      <c r="H63" s="292" t="s">
        <v>554</v>
      </c>
      <c r="I63" s="53" t="s">
        <v>207</v>
      </c>
      <c r="J63" s="53" t="s">
        <v>208</v>
      </c>
      <c r="K63" s="44" t="s">
        <v>24</v>
      </c>
      <c r="L63" s="29">
        <v>2</v>
      </c>
      <c r="M63" s="30">
        <v>45301</v>
      </c>
      <c r="N63" s="30">
        <v>45304</v>
      </c>
      <c r="O63" s="427"/>
      <c r="P63" s="427"/>
      <c r="Q63" s="3">
        <v>2500</v>
      </c>
      <c r="R63" s="1">
        <v>3</v>
      </c>
      <c r="S63" s="3">
        <f t="shared" si="35"/>
        <v>7500</v>
      </c>
      <c r="T63" s="28">
        <v>-258.8</v>
      </c>
      <c r="U63" s="3">
        <f>SUM(S63:T63)</f>
        <v>7241.2</v>
      </c>
      <c r="V63" s="50">
        <f>+U63*0.18</f>
        <v>1303.4159999999999</v>
      </c>
      <c r="W63" s="3">
        <f>+U63-V63</f>
        <v>5937.7839999999997</v>
      </c>
      <c r="X63" s="3"/>
      <c r="Y63" s="3"/>
      <c r="Z63" s="3"/>
      <c r="AA63" s="3"/>
      <c r="AB63" s="3">
        <f t="shared" si="34"/>
        <v>1303.4159999999999</v>
      </c>
      <c r="AC63" s="24">
        <v>45302</v>
      </c>
      <c r="AD63" s="651"/>
    </row>
    <row r="64" spans="1:35">
      <c r="A64" s="279" t="s">
        <v>117</v>
      </c>
      <c r="B64" s="285" t="s">
        <v>117</v>
      </c>
      <c r="C64" s="285" t="s">
        <v>117</v>
      </c>
      <c r="D64" s="282" t="s">
        <v>117</v>
      </c>
      <c r="E64" s="233" t="s">
        <v>117</v>
      </c>
      <c r="F64" s="237"/>
      <c r="G64" s="238"/>
      <c r="H64" s="290" t="s">
        <v>555</v>
      </c>
      <c r="I64" s="228" t="s">
        <v>604</v>
      </c>
      <c r="J64" s="43" t="s">
        <v>75</v>
      </c>
      <c r="K64" s="59" t="s">
        <v>87</v>
      </c>
      <c r="L64" s="54">
        <v>2</v>
      </c>
      <c r="M64" s="55">
        <v>45302</v>
      </c>
      <c r="N64" s="55">
        <v>45322</v>
      </c>
      <c r="O64" s="428"/>
      <c r="P64" s="428"/>
      <c r="Q64" s="47">
        <f>+U64/R64</f>
        <v>980.95238095238096</v>
      </c>
      <c r="R64" s="48">
        <v>21</v>
      </c>
      <c r="S64" s="47">
        <f>+Q64*R64</f>
        <v>20600</v>
      </c>
      <c r="T64" s="49">
        <v>0</v>
      </c>
      <c r="U64" s="47">
        <v>20600</v>
      </c>
      <c r="V64" s="50">
        <f>0.05*U64</f>
        <v>1030</v>
      </c>
      <c r="W64" s="47">
        <f>+U64-V64</f>
        <v>19570</v>
      </c>
      <c r="X64" s="3"/>
      <c r="Y64" s="3"/>
      <c r="Z64" s="3"/>
      <c r="AA64" s="3"/>
      <c r="AB64" s="50">
        <f>V64</f>
        <v>1030</v>
      </c>
      <c r="AC64" s="24">
        <v>45355</v>
      </c>
      <c r="AD64" s="651"/>
      <c r="AE64" s="3"/>
    </row>
    <row r="65" spans="1:34">
      <c r="A65" s="279" t="s">
        <v>117</v>
      </c>
      <c r="B65" s="285" t="s">
        <v>117</v>
      </c>
      <c r="C65" s="285" t="s">
        <v>117</v>
      </c>
      <c r="D65" s="282" t="s">
        <v>117</v>
      </c>
      <c r="E65" s="233" t="s">
        <v>117</v>
      </c>
      <c r="F65" s="237">
        <v>5</v>
      </c>
      <c r="G65" s="238"/>
      <c r="H65" s="292" t="s">
        <v>554</v>
      </c>
      <c r="I65" s="53" t="s">
        <v>165</v>
      </c>
      <c r="J65" s="53" t="s">
        <v>75</v>
      </c>
      <c r="K65" s="76" t="s">
        <v>23</v>
      </c>
      <c r="L65" s="29">
        <v>2</v>
      </c>
      <c r="M65" s="30">
        <v>45302</v>
      </c>
      <c r="N65" s="30">
        <v>45305</v>
      </c>
      <c r="O65" s="427"/>
      <c r="P65" s="427"/>
      <c r="Q65" s="3">
        <v>2000</v>
      </c>
      <c r="R65" s="1">
        <v>3</v>
      </c>
      <c r="S65" s="3">
        <f t="shared" si="35"/>
        <v>6000</v>
      </c>
      <c r="T65" s="28">
        <v>-206.99</v>
      </c>
      <c r="U65" s="3">
        <f>SUM(S65:T65)</f>
        <v>5793.01</v>
      </c>
      <c r="V65" s="50">
        <f>+U65*0.18</f>
        <v>1042.7418</v>
      </c>
      <c r="W65" s="3">
        <f>+U65-V65</f>
        <v>4750.2682000000004</v>
      </c>
      <c r="X65" s="3"/>
      <c r="Y65" s="3"/>
      <c r="Z65" s="3"/>
      <c r="AA65" s="3"/>
      <c r="AB65" s="3">
        <f>V65</f>
        <v>1042.7418</v>
      </c>
      <c r="AC65" s="24">
        <v>45303</v>
      </c>
      <c r="AD65" s="651"/>
    </row>
    <row r="66" spans="1:34">
      <c r="A66" s="279" t="s">
        <v>117</v>
      </c>
      <c r="B66" s="285" t="s">
        <v>117</v>
      </c>
      <c r="C66" s="285" t="s">
        <v>117</v>
      </c>
      <c r="D66" s="282" t="s">
        <v>117</v>
      </c>
      <c r="E66" s="233" t="s">
        <v>117</v>
      </c>
      <c r="F66" s="237">
        <v>5</v>
      </c>
      <c r="G66" s="238">
        <v>4</v>
      </c>
      <c r="H66" s="292" t="s">
        <v>554</v>
      </c>
      <c r="I66" s="469" t="s">
        <v>324</v>
      </c>
      <c r="J66" s="469" t="s">
        <v>124</v>
      </c>
      <c r="K66" s="250" t="s">
        <v>210</v>
      </c>
      <c r="L66" s="470">
        <v>4</v>
      </c>
      <c r="M66" s="471">
        <v>45304</v>
      </c>
      <c r="N66" s="471">
        <v>45309</v>
      </c>
      <c r="O66" s="472"/>
      <c r="P66" s="472"/>
      <c r="Q66" s="473">
        <v>1000</v>
      </c>
      <c r="R66" s="470">
        <v>5</v>
      </c>
      <c r="S66" s="473">
        <f t="shared" si="35"/>
        <v>5000</v>
      </c>
      <c r="T66" s="474">
        <v>-172.49</v>
      </c>
      <c r="U66" s="473">
        <f t="shared" ref="U66" si="37">SUM(S66:T66)</f>
        <v>4827.51</v>
      </c>
      <c r="V66" s="473">
        <f>+U66*0.2</f>
        <v>965.50200000000007</v>
      </c>
      <c r="W66" s="473"/>
      <c r="X66" s="475">
        <f>+U66-V66</f>
        <v>3862.0080000000003</v>
      </c>
      <c r="Y66" s="475"/>
      <c r="Z66" s="475"/>
      <c r="AA66" s="475"/>
      <c r="AB66" s="473">
        <f>V66</f>
        <v>965.50200000000007</v>
      </c>
      <c r="AC66" s="471">
        <v>45305</v>
      </c>
      <c r="AD66" s="651"/>
    </row>
    <row r="67" spans="1:34">
      <c r="A67" s="279" t="s">
        <v>117</v>
      </c>
      <c r="B67" s="285" t="s">
        <v>117</v>
      </c>
      <c r="C67" s="285" t="s">
        <v>117</v>
      </c>
      <c r="D67" s="282" t="s">
        <v>117</v>
      </c>
      <c r="E67" s="233" t="s">
        <v>117</v>
      </c>
      <c r="F67" s="237"/>
      <c r="G67" s="238"/>
      <c r="H67" s="292" t="s">
        <v>554</v>
      </c>
      <c r="I67" s="53" t="s">
        <v>371</v>
      </c>
      <c r="J67" s="53" t="s">
        <v>182</v>
      </c>
      <c r="K67" s="44" t="s">
        <v>24</v>
      </c>
      <c r="L67" s="29">
        <v>2</v>
      </c>
      <c r="M67" s="30">
        <v>45306</v>
      </c>
      <c r="N67" s="30">
        <v>45309</v>
      </c>
      <c r="O67" s="427"/>
      <c r="P67" s="427"/>
      <c r="Q67" s="3">
        <v>2000</v>
      </c>
      <c r="R67" s="1">
        <v>3</v>
      </c>
      <c r="S67" s="3">
        <v>5500</v>
      </c>
      <c r="T67" s="28">
        <v>0</v>
      </c>
      <c r="U67" s="3">
        <f>SUM(S67:T67)</f>
        <v>5500</v>
      </c>
      <c r="V67" s="50">
        <f>+U67*0.18</f>
        <v>990</v>
      </c>
      <c r="W67" s="3">
        <f>+U67-V67</f>
        <v>4510</v>
      </c>
      <c r="X67" s="3"/>
      <c r="Y67" s="3"/>
      <c r="Z67" s="3"/>
      <c r="AA67" s="3"/>
      <c r="AB67" s="50">
        <f>U67</f>
        <v>5500</v>
      </c>
      <c r="AC67" s="24">
        <v>45306</v>
      </c>
      <c r="AD67" s="651"/>
      <c r="AE67" t="s">
        <v>375</v>
      </c>
    </row>
    <row r="68" spans="1:34">
      <c r="A68" s="279" t="s">
        <v>117</v>
      </c>
      <c r="B68" s="285" t="s">
        <v>117</v>
      </c>
      <c r="C68" s="285" t="s">
        <v>117</v>
      </c>
      <c r="D68" s="282" t="s">
        <v>117</v>
      </c>
      <c r="E68" s="233" t="s">
        <v>117</v>
      </c>
      <c r="F68" s="237">
        <v>5</v>
      </c>
      <c r="G68" s="238">
        <v>5</v>
      </c>
      <c r="H68" s="292" t="s">
        <v>554</v>
      </c>
      <c r="I68" s="53" t="s">
        <v>202</v>
      </c>
      <c r="J68" s="53" t="s">
        <v>201</v>
      </c>
      <c r="K68" s="76" t="s">
        <v>23</v>
      </c>
      <c r="L68" s="29">
        <v>2</v>
      </c>
      <c r="M68" s="30">
        <v>45306</v>
      </c>
      <c r="N68" s="30">
        <v>45309</v>
      </c>
      <c r="O68" s="427"/>
      <c r="P68" s="427"/>
      <c r="Q68" s="3">
        <v>2000</v>
      </c>
      <c r="R68" s="1">
        <v>3</v>
      </c>
      <c r="S68" s="3">
        <f t="shared" ref="S68" si="38">+Q68*R68</f>
        <v>6000</v>
      </c>
      <c r="T68" s="28">
        <v>-206.95</v>
      </c>
      <c r="U68" s="3">
        <f t="shared" ref="U68" si="39">SUM(S68:T68)</f>
        <v>5793.05</v>
      </c>
      <c r="V68" s="50">
        <f t="shared" ref="V68" si="40">+U68*0.18</f>
        <v>1042.749</v>
      </c>
      <c r="W68" s="3">
        <f t="shared" ref="W68" si="41">+U68-V68</f>
        <v>4750.3010000000004</v>
      </c>
      <c r="X68" s="3"/>
      <c r="Y68" s="3"/>
      <c r="Z68" s="3"/>
      <c r="AA68" s="3"/>
      <c r="AB68" s="3">
        <f>V68</f>
        <v>1042.749</v>
      </c>
      <c r="AC68" s="24">
        <v>45307</v>
      </c>
      <c r="AD68" s="651"/>
    </row>
    <row r="69" spans="1:34">
      <c r="A69" s="279" t="s">
        <v>117</v>
      </c>
      <c r="B69" s="285" t="s">
        <v>117</v>
      </c>
      <c r="C69" s="285" t="s">
        <v>117</v>
      </c>
      <c r="D69" s="282" t="s">
        <v>117</v>
      </c>
      <c r="E69" s="233" t="s">
        <v>117</v>
      </c>
      <c r="F69" s="237">
        <v>5</v>
      </c>
      <c r="G69" s="238"/>
      <c r="H69" s="292" t="s">
        <v>554</v>
      </c>
      <c r="I69" s="53" t="s">
        <v>251</v>
      </c>
      <c r="J69" s="53" t="s">
        <v>252</v>
      </c>
      <c r="K69" s="76" t="s">
        <v>23</v>
      </c>
      <c r="L69" s="29">
        <v>2</v>
      </c>
      <c r="M69" s="30">
        <v>45309</v>
      </c>
      <c r="N69" s="30">
        <v>45311</v>
      </c>
      <c r="O69" s="427"/>
      <c r="P69" s="427"/>
      <c r="Q69" s="3">
        <v>2000</v>
      </c>
      <c r="R69" s="1">
        <v>2</v>
      </c>
      <c r="S69" s="3">
        <f>+Q69*R69</f>
        <v>4000</v>
      </c>
      <c r="T69" s="28">
        <v>-138</v>
      </c>
      <c r="U69" s="3">
        <f t="shared" ref="U69:U70" si="42">SUM(S69:T69)</f>
        <v>3862</v>
      </c>
      <c r="V69" s="50">
        <f>+U69*0.18</f>
        <v>695.16</v>
      </c>
      <c r="W69" s="3">
        <f>+U69-V69</f>
        <v>3166.84</v>
      </c>
      <c r="X69" s="47"/>
      <c r="Y69" s="47"/>
      <c r="Z69" s="47"/>
      <c r="AA69" s="47"/>
      <c r="AB69" s="3">
        <f>V69</f>
        <v>695.16</v>
      </c>
      <c r="AC69" s="24">
        <v>45310</v>
      </c>
      <c r="AD69" s="651"/>
    </row>
    <row r="70" spans="1:34">
      <c r="A70" s="279" t="s">
        <v>117</v>
      </c>
      <c r="B70" s="285" t="s">
        <v>117</v>
      </c>
      <c r="C70" s="285" t="s">
        <v>117</v>
      </c>
      <c r="D70" s="282" t="s">
        <v>117</v>
      </c>
      <c r="E70" s="233" t="s">
        <v>117</v>
      </c>
      <c r="F70" s="237">
        <v>5</v>
      </c>
      <c r="G70" s="238">
        <v>5</v>
      </c>
      <c r="H70" s="292" t="s">
        <v>554</v>
      </c>
      <c r="I70" s="410" t="s">
        <v>380</v>
      </c>
      <c r="J70" s="405" t="s">
        <v>376</v>
      </c>
      <c r="K70" s="183" t="s">
        <v>217</v>
      </c>
      <c r="L70" s="401">
        <v>2</v>
      </c>
      <c r="M70" s="402">
        <v>45309</v>
      </c>
      <c r="N70" s="402">
        <v>45311</v>
      </c>
      <c r="O70" s="463"/>
      <c r="P70" s="463"/>
      <c r="Q70" s="403">
        <v>720</v>
      </c>
      <c r="R70" s="401">
        <v>2</v>
      </c>
      <c r="S70" s="403">
        <f>+Q70*R70</f>
        <v>1440</v>
      </c>
      <c r="T70" s="404">
        <v>-49.57</v>
      </c>
      <c r="U70" s="403">
        <f t="shared" si="42"/>
        <v>1390.43</v>
      </c>
      <c r="V70" s="403"/>
      <c r="W70" s="405"/>
      <c r="X70" s="402"/>
      <c r="Y70" s="402"/>
      <c r="Z70" s="402"/>
      <c r="AA70" s="402"/>
      <c r="AB70" s="403"/>
      <c r="AC70" s="402">
        <v>45310</v>
      </c>
      <c r="AD70" s="655"/>
      <c r="AH70" s="3"/>
    </row>
    <row r="71" spans="1:34">
      <c r="A71" s="279" t="s">
        <v>117</v>
      </c>
      <c r="B71" s="285" t="s">
        <v>117</v>
      </c>
      <c r="C71" s="285" t="s">
        <v>117</v>
      </c>
      <c r="D71" s="282" t="s">
        <v>117</v>
      </c>
      <c r="E71" s="233" t="s">
        <v>117</v>
      </c>
      <c r="F71" s="237">
        <v>5</v>
      </c>
      <c r="G71" s="238">
        <v>5</v>
      </c>
      <c r="H71" s="292" t="s">
        <v>554</v>
      </c>
      <c r="I71" s="53" t="s">
        <v>126</v>
      </c>
      <c r="J71" s="43" t="s">
        <v>84</v>
      </c>
      <c r="K71" s="44" t="s">
        <v>24</v>
      </c>
      <c r="L71" s="54">
        <v>2</v>
      </c>
      <c r="M71" s="55">
        <v>45309</v>
      </c>
      <c r="N71" s="55">
        <v>45313</v>
      </c>
      <c r="O71" s="428"/>
      <c r="P71" s="428"/>
      <c r="Q71" s="47">
        <v>2000</v>
      </c>
      <c r="R71" s="48">
        <v>4</v>
      </c>
      <c r="S71" s="47">
        <f t="shared" ref="S71" si="43">+Q71*R71</f>
        <v>8000</v>
      </c>
      <c r="T71" s="49">
        <v>-276</v>
      </c>
      <c r="U71" s="47">
        <f t="shared" ref="U71:U114" si="44">SUM(S71:T71)</f>
        <v>7724</v>
      </c>
      <c r="V71" s="62">
        <f t="shared" ref="V71:V105" si="45">+U71*0.18</f>
        <v>1390.32</v>
      </c>
      <c r="W71" s="47">
        <f t="shared" ref="W71:W105" si="46">+U71-V71</f>
        <v>6333.68</v>
      </c>
      <c r="X71" s="3"/>
      <c r="Y71" s="3"/>
      <c r="Z71" s="3"/>
      <c r="AA71" s="3"/>
      <c r="AB71" s="3">
        <f>V71</f>
        <v>1390.32</v>
      </c>
      <c r="AC71" s="24">
        <v>45310</v>
      </c>
      <c r="AD71" s="651"/>
    </row>
    <row r="72" spans="1:34">
      <c r="A72" s="279" t="s">
        <v>117</v>
      </c>
      <c r="B72" s="285" t="s">
        <v>117</v>
      </c>
      <c r="C72" s="285" t="s">
        <v>117</v>
      </c>
      <c r="D72" s="282" t="s">
        <v>117</v>
      </c>
      <c r="E72" s="233" t="s">
        <v>117</v>
      </c>
      <c r="F72" s="237">
        <v>5</v>
      </c>
      <c r="G72" s="238">
        <v>5</v>
      </c>
      <c r="H72" s="292" t="s">
        <v>554</v>
      </c>
      <c r="I72" s="53" t="s">
        <v>323</v>
      </c>
      <c r="J72" s="53" t="s">
        <v>197</v>
      </c>
      <c r="K72" s="76" t="s">
        <v>23</v>
      </c>
      <c r="L72" s="29">
        <v>2</v>
      </c>
      <c r="M72" s="30">
        <v>45311</v>
      </c>
      <c r="N72" s="30">
        <v>45313</v>
      </c>
      <c r="O72" s="427"/>
      <c r="P72" s="427"/>
      <c r="Q72" s="50">
        <v>2000</v>
      </c>
      <c r="R72" s="29">
        <v>2</v>
      </c>
      <c r="S72" s="3">
        <f t="shared" ref="S72" si="47">+Q72*R72</f>
        <v>4000</v>
      </c>
      <c r="T72" s="28">
        <v>-137.99</v>
      </c>
      <c r="U72" s="3">
        <f t="shared" ref="U72" si="48">SUM(S72:T72)</f>
        <v>3862.01</v>
      </c>
      <c r="V72" s="50">
        <f t="shared" ref="V72" si="49">+U72*0.18</f>
        <v>695.16179999999997</v>
      </c>
      <c r="W72" s="3">
        <f t="shared" ref="W72" si="50">+U72-V72</f>
        <v>3166.8482000000004</v>
      </c>
      <c r="X72" s="3"/>
      <c r="Y72" s="3"/>
      <c r="Z72" s="3"/>
      <c r="AA72" s="3"/>
      <c r="AB72" s="3">
        <f>V72</f>
        <v>695.16179999999997</v>
      </c>
      <c r="AC72" s="24">
        <v>45312</v>
      </c>
      <c r="AD72" s="651"/>
    </row>
    <row r="73" spans="1:34">
      <c r="A73" s="279" t="s">
        <v>117</v>
      </c>
      <c r="B73" s="285" t="s">
        <v>117</v>
      </c>
      <c r="C73" s="285" t="s">
        <v>117</v>
      </c>
      <c r="D73" s="282" t="s">
        <v>117</v>
      </c>
      <c r="E73" s="233" t="s">
        <v>117</v>
      </c>
      <c r="F73" s="237">
        <v>4</v>
      </c>
      <c r="G73" s="238">
        <v>3</v>
      </c>
      <c r="H73" s="292" t="s">
        <v>554</v>
      </c>
      <c r="I73" s="410" t="s">
        <v>381</v>
      </c>
      <c r="J73" s="405" t="s">
        <v>107</v>
      </c>
      <c r="K73" s="183" t="s">
        <v>217</v>
      </c>
      <c r="L73" s="401">
        <v>2</v>
      </c>
      <c r="M73" s="402">
        <v>45311</v>
      </c>
      <c r="N73" s="402">
        <v>45313</v>
      </c>
      <c r="O73" s="463"/>
      <c r="P73" s="463"/>
      <c r="Q73" s="403">
        <v>800</v>
      </c>
      <c r="R73" s="401">
        <v>2</v>
      </c>
      <c r="S73" s="403">
        <f t="shared" ref="S73:S80" si="51">+Q73*R73</f>
        <v>1600</v>
      </c>
      <c r="T73" s="404">
        <v>-55.2</v>
      </c>
      <c r="U73" s="403">
        <f>+S73+T73</f>
        <v>1544.8</v>
      </c>
      <c r="V73" s="403"/>
      <c r="W73" s="403"/>
      <c r="X73" s="405"/>
      <c r="Y73" s="405"/>
      <c r="Z73" s="405"/>
      <c r="AA73" s="405"/>
      <c r="AB73" s="403"/>
      <c r="AC73" s="402">
        <v>45312</v>
      </c>
      <c r="AD73" s="655"/>
    </row>
    <row r="74" spans="1:34">
      <c r="A74" s="279" t="s">
        <v>117</v>
      </c>
      <c r="B74" s="285" t="s">
        <v>117</v>
      </c>
      <c r="C74" s="285" t="s">
        <v>117</v>
      </c>
      <c r="D74" s="282" t="s">
        <v>117</v>
      </c>
      <c r="E74" s="233" t="s">
        <v>117</v>
      </c>
      <c r="F74" s="237">
        <v>5</v>
      </c>
      <c r="G74" s="238">
        <v>5</v>
      </c>
      <c r="H74" s="292" t="s">
        <v>554</v>
      </c>
      <c r="I74" s="53" t="s">
        <v>260</v>
      </c>
      <c r="J74" s="53" t="s">
        <v>259</v>
      </c>
      <c r="K74" s="44" t="s">
        <v>24</v>
      </c>
      <c r="L74" s="29">
        <v>2</v>
      </c>
      <c r="M74" s="30">
        <v>45313</v>
      </c>
      <c r="N74" s="30">
        <v>45315</v>
      </c>
      <c r="O74" s="427"/>
      <c r="P74" s="427"/>
      <c r="Q74" s="3">
        <v>2000</v>
      </c>
      <c r="R74" s="1">
        <v>2</v>
      </c>
      <c r="S74" s="3">
        <f t="shared" si="51"/>
        <v>4000</v>
      </c>
      <c r="T74" s="28">
        <v>-138.07</v>
      </c>
      <c r="U74" s="3">
        <f t="shared" ref="U74" si="52">SUM(S74:T74)</f>
        <v>3861.93</v>
      </c>
      <c r="V74" s="50">
        <f t="shared" ref="V74" si="53">+U74*0.18</f>
        <v>695.14739999999995</v>
      </c>
      <c r="W74" s="3">
        <f t="shared" ref="W74" si="54">+U74-V74</f>
        <v>3166.7826</v>
      </c>
      <c r="X74" s="3"/>
      <c r="Y74" s="3"/>
      <c r="Z74" s="3"/>
      <c r="AA74" s="3"/>
      <c r="AB74" s="3">
        <f>V74</f>
        <v>695.14739999999995</v>
      </c>
      <c r="AC74" s="24">
        <v>45314</v>
      </c>
      <c r="AD74" s="651"/>
      <c r="AE74" s="122" t="s">
        <v>425</v>
      </c>
    </row>
    <row r="75" spans="1:34">
      <c r="A75" s="279" t="s">
        <v>117</v>
      </c>
      <c r="B75" s="285" t="s">
        <v>117</v>
      </c>
      <c r="C75" s="285" t="s">
        <v>117</v>
      </c>
      <c r="D75" s="282" t="s">
        <v>117</v>
      </c>
      <c r="E75" s="233" t="s">
        <v>117</v>
      </c>
      <c r="F75" s="237">
        <v>5</v>
      </c>
      <c r="G75" s="238">
        <v>5</v>
      </c>
      <c r="H75" s="292" t="s">
        <v>554</v>
      </c>
      <c r="I75" s="53" t="s">
        <v>303</v>
      </c>
      <c r="J75" s="53" t="s">
        <v>302</v>
      </c>
      <c r="K75" s="76" t="s">
        <v>23</v>
      </c>
      <c r="L75" s="29">
        <v>2</v>
      </c>
      <c r="M75" s="30">
        <v>45313</v>
      </c>
      <c r="N75" s="30">
        <v>45315</v>
      </c>
      <c r="O75" s="427"/>
      <c r="P75" s="427"/>
      <c r="Q75" s="3">
        <v>2000</v>
      </c>
      <c r="R75" s="1">
        <v>2</v>
      </c>
      <c r="S75" s="3">
        <f t="shared" si="51"/>
        <v>4000</v>
      </c>
      <c r="T75" s="28">
        <v>-138.02000000000001</v>
      </c>
      <c r="U75" s="3">
        <f>SUM(S75:T75)</f>
        <v>3861.98</v>
      </c>
      <c r="V75" s="50">
        <f>+U75*0.18</f>
        <v>695.15639999999996</v>
      </c>
      <c r="W75" s="3">
        <f>+U75-V75</f>
        <v>3166.8236000000002</v>
      </c>
      <c r="X75" s="3"/>
      <c r="Y75" s="3"/>
      <c r="Z75" s="3"/>
      <c r="AA75" s="3"/>
      <c r="AB75" s="3">
        <f>V75</f>
        <v>695.15639999999996</v>
      </c>
      <c r="AC75" s="24">
        <v>45314</v>
      </c>
      <c r="AD75" s="651"/>
    </row>
    <row r="76" spans="1:34">
      <c r="A76" s="279" t="s">
        <v>117</v>
      </c>
      <c r="B76" s="285" t="s">
        <v>117</v>
      </c>
      <c r="C76" s="285" t="s">
        <v>117</v>
      </c>
      <c r="D76" s="282" t="s">
        <v>117</v>
      </c>
      <c r="E76" s="233" t="s">
        <v>117</v>
      </c>
      <c r="F76" s="237">
        <v>5</v>
      </c>
      <c r="G76" s="238"/>
      <c r="H76" s="292" t="s">
        <v>554</v>
      </c>
      <c r="I76" s="410" t="s">
        <v>392</v>
      </c>
      <c r="J76" s="405" t="s">
        <v>124</v>
      </c>
      <c r="K76" s="183" t="s">
        <v>217</v>
      </c>
      <c r="L76" s="401">
        <v>2</v>
      </c>
      <c r="M76" s="402">
        <v>45314</v>
      </c>
      <c r="N76" s="402">
        <v>45315</v>
      </c>
      <c r="O76" s="463"/>
      <c r="P76" s="463"/>
      <c r="Q76" s="403">
        <v>750</v>
      </c>
      <c r="R76" s="401">
        <v>1</v>
      </c>
      <c r="S76" s="403">
        <f>+Q76*R76</f>
        <v>750</v>
      </c>
      <c r="T76" s="404">
        <v>-25.84</v>
      </c>
      <c r="U76" s="403">
        <f>+S76+T76</f>
        <v>724.16</v>
      </c>
      <c r="V76" s="403"/>
      <c r="W76" s="403"/>
      <c r="X76" s="405"/>
      <c r="Y76" s="403"/>
      <c r="Z76" s="403"/>
      <c r="AA76" s="403"/>
      <c r="AB76" s="403"/>
      <c r="AC76" s="402">
        <v>45315</v>
      </c>
      <c r="AD76" s="655"/>
    </row>
    <row r="77" spans="1:34">
      <c r="A77" s="279" t="s">
        <v>117</v>
      </c>
      <c r="B77" s="285" t="s">
        <v>117</v>
      </c>
      <c r="C77" s="285" t="s">
        <v>117</v>
      </c>
      <c r="D77" s="282" t="s">
        <v>117</v>
      </c>
      <c r="E77" s="233" t="s">
        <v>117</v>
      </c>
      <c r="F77" s="237">
        <v>5</v>
      </c>
      <c r="G77" s="238">
        <v>5</v>
      </c>
      <c r="H77" s="292" t="s">
        <v>554</v>
      </c>
      <c r="I77" s="53" t="s">
        <v>374</v>
      </c>
      <c r="J77" s="53" t="s">
        <v>206</v>
      </c>
      <c r="K77" s="76" t="s">
        <v>23</v>
      </c>
      <c r="L77" s="29">
        <v>2</v>
      </c>
      <c r="M77" s="30">
        <v>45315</v>
      </c>
      <c r="N77" s="30">
        <v>45317</v>
      </c>
      <c r="O77" s="427"/>
      <c r="P77" s="427"/>
      <c r="Q77" s="50">
        <v>2000</v>
      </c>
      <c r="R77" s="29">
        <v>2</v>
      </c>
      <c r="S77" s="3">
        <f t="shared" si="51"/>
        <v>4000</v>
      </c>
      <c r="T77" s="28">
        <v>-138</v>
      </c>
      <c r="U77" s="3">
        <f>SUM(S77:T77)</f>
        <v>3862</v>
      </c>
      <c r="V77" s="50">
        <f>+U77*0.18</f>
        <v>695.16</v>
      </c>
      <c r="W77" s="3">
        <f>+U77-V77+410</f>
        <v>3576.84</v>
      </c>
      <c r="X77" s="3"/>
      <c r="Y77" s="3"/>
      <c r="Z77" s="3"/>
      <c r="AA77" s="3"/>
      <c r="AB77" s="3">
        <f>695.16+90</f>
        <v>785.16</v>
      </c>
      <c r="AC77" s="24">
        <v>45316</v>
      </c>
      <c r="AD77" s="651"/>
      <c r="AE77" s="86" t="s">
        <v>405</v>
      </c>
      <c r="AF77" s="122" t="s">
        <v>406</v>
      </c>
    </row>
    <row r="78" spans="1:34">
      <c r="A78" s="279" t="s">
        <v>117</v>
      </c>
      <c r="B78" s="285" t="s">
        <v>117</v>
      </c>
      <c r="C78" s="285" t="s">
        <v>117</v>
      </c>
      <c r="D78" s="282" t="s">
        <v>117</v>
      </c>
      <c r="E78" s="233" t="s">
        <v>117</v>
      </c>
      <c r="F78" s="237">
        <v>5</v>
      </c>
      <c r="G78" s="238">
        <v>5</v>
      </c>
      <c r="H78" s="292" t="s">
        <v>554</v>
      </c>
      <c r="I78" s="410" t="s">
        <v>395</v>
      </c>
      <c r="J78" s="405" t="s">
        <v>223</v>
      </c>
      <c r="K78" s="183" t="s">
        <v>217</v>
      </c>
      <c r="L78" s="401">
        <v>2</v>
      </c>
      <c r="M78" s="402">
        <v>45315</v>
      </c>
      <c r="N78" s="402">
        <v>45316</v>
      </c>
      <c r="O78" s="463"/>
      <c r="P78" s="463"/>
      <c r="Q78" s="403">
        <v>750</v>
      </c>
      <c r="R78" s="401">
        <v>1</v>
      </c>
      <c r="S78" s="403">
        <f>+Q78*R78</f>
        <v>750</v>
      </c>
      <c r="T78" s="404">
        <v>-25.91</v>
      </c>
      <c r="U78" s="403">
        <f>+S78+T78</f>
        <v>724.09</v>
      </c>
      <c r="V78" s="403"/>
      <c r="W78" s="403"/>
      <c r="X78" s="405"/>
      <c r="Y78" s="405"/>
      <c r="Z78" s="405"/>
      <c r="AA78" s="405"/>
      <c r="AB78" s="403"/>
      <c r="AC78" s="402">
        <v>45316</v>
      </c>
      <c r="AD78" s="655"/>
    </row>
    <row r="79" spans="1:34">
      <c r="A79" s="279" t="s">
        <v>117</v>
      </c>
      <c r="B79" s="285" t="s">
        <v>117</v>
      </c>
      <c r="C79" s="285" t="s">
        <v>117</v>
      </c>
      <c r="D79" s="282" t="s">
        <v>117</v>
      </c>
      <c r="E79" s="233" t="s">
        <v>117</v>
      </c>
      <c r="F79" s="237">
        <v>5</v>
      </c>
      <c r="G79" s="238">
        <v>5</v>
      </c>
      <c r="H79" s="292" t="s">
        <v>554</v>
      </c>
      <c r="I79" s="53" t="s">
        <v>382</v>
      </c>
      <c r="J79" s="53" t="s">
        <v>285</v>
      </c>
      <c r="K79" s="44" t="s">
        <v>24</v>
      </c>
      <c r="L79" s="29">
        <v>2</v>
      </c>
      <c r="M79" s="30">
        <v>45316</v>
      </c>
      <c r="N79" s="30">
        <v>45318</v>
      </c>
      <c r="O79" s="427"/>
      <c r="P79" s="427"/>
      <c r="Q79" s="50">
        <v>2000</v>
      </c>
      <c r="R79" s="29">
        <v>2</v>
      </c>
      <c r="S79" s="3">
        <f t="shared" si="51"/>
        <v>4000</v>
      </c>
      <c r="T79" s="28">
        <v>-137.97</v>
      </c>
      <c r="U79" s="3">
        <f t="shared" ref="U79" si="55">SUM(S79:T79)</f>
        <v>3862.03</v>
      </c>
      <c r="V79" s="50">
        <f t="shared" ref="V79" si="56">+U79*0.18</f>
        <v>695.16539999999998</v>
      </c>
      <c r="W79" s="3">
        <f t="shared" ref="W79" si="57">+U79-V79</f>
        <v>3166.8646000000003</v>
      </c>
      <c r="X79" s="3"/>
      <c r="Y79" s="3"/>
      <c r="Z79" s="3"/>
      <c r="AA79" s="3"/>
      <c r="AB79" s="3">
        <f>V79</f>
        <v>695.16539999999998</v>
      </c>
      <c r="AC79" s="24">
        <v>45317</v>
      </c>
      <c r="AD79" s="651"/>
    </row>
    <row r="80" spans="1:34">
      <c r="A80" s="279" t="s">
        <v>117</v>
      </c>
      <c r="B80" s="285" t="s">
        <v>117</v>
      </c>
      <c r="C80" s="285" t="s">
        <v>117</v>
      </c>
      <c r="D80" s="282" t="s">
        <v>117</v>
      </c>
      <c r="E80" s="233" t="s">
        <v>117</v>
      </c>
      <c r="F80" s="237">
        <v>5</v>
      </c>
      <c r="G80" s="238">
        <v>5</v>
      </c>
      <c r="H80" s="292" t="s">
        <v>554</v>
      </c>
      <c r="I80" s="53" t="s">
        <v>373</v>
      </c>
      <c r="J80" t="s">
        <v>63</v>
      </c>
      <c r="K80" s="18" t="s">
        <v>23</v>
      </c>
      <c r="L80" s="29">
        <v>2</v>
      </c>
      <c r="M80" s="30">
        <v>45317</v>
      </c>
      <c r="N80" s="30">
        <v>45319</v>
      </c>
      <c r="O80" s="427"/>
      <c r="P80" s="427"/>
      <c r="Q80" s="3">
        <v>2000</v>
      </c>
      <c r="R80" s="1">
        <v>2</v>
      </c>
      <c r="S80" s="47">
        <f t="shared" si="51"/>
        <v>4000</v>
      </c>
      <c r="T80" s="49">
        <v>-138</v>
      </c>
      <c r="U80" s="47">
        <f t="shared" ref="U80" si="58">SUM(S80:T80)</f>
        <v>3862</v>
      </c>
      <c r="V80" s="62">
        <f t="shared" ref="V80" si="59">+U80*0.18</f>
        <v>695.16</v>
      </c>
      <c r="W80" s="47">
        <f t="shared" ref="W80" si="60">+U80-V80</f>
        <v>3166.84</v>
      </c>
      <c r="X80" s="3"/>
      <c r="Y80" s="3"/>
      <c r="Z80" s="3"/>
      <c r="AA80" s="3"/>
      <c r="AB80" s="3">
        <f>V80</f>
        <v>695.16</v>
      </c>
      <c r="AC80" s="24">
        <v>45318</v>
      </c>
      <c r="AD80" s="651"/>
    </row>
    <row r="81" spans="1:34">
      <c r="A81" s="279" t="s">
        <v>117</v>
      </c>
      <c r="B81" s="285" t="s">
        <v>117</v>
      </c>
      <c r="C81" s="285" t="s">
        <v>117</v>
      </c>
      <c r="D81" s="282" t="s">
        <v>117</v>
      </c>
      <c r="E81" s="233" t="s">
        <v>117</v>
      </c>
      <c r="F81" s="237">
        <v>5</v>
      </c>
      <c r="G81" s="238">
        <v>4</v>
      </c>
      <c r="H81" s="292" t="s">
        <v>554</v>
      </c>
      <c r="I81" s="410" t="s">
        <v>409</v>
      </c>
      <c r="J81" s="405" t="s">
        <v>408</v>
      </c>
      <c r="K81" s="183" t="s">
        <v>217</v>
      </c>
      <c r="L81" s="401">
        <v>2</v>
      </c>
      <c r="M81" s="402">
        <v>45317</v>
      </c>
      <c r="N81" s="402">
        <v>45318</v>
      </c>
      <c r="O81" s="463"/>
      <c r="P81" s="463"/>
      <c r="Q81" s="403">
        <v>750</v>
      </c>
      <c r="R81" s="401">
        <v>1</v>
      </c>
      <c r="S81" s="403">
        <f>+Q81*R81</f>
        <v>750</v>
      </c>
      <c r="T81" s="404">
        <v>-25.8</v>
      </c>
      <c r="U81" s="406">
        <f>SUM(S81:T81)</f>
        <v>724.2</v>
      </c>
      <c r="V81" s="403"/>
      <c r="W81" s="403"/>
      <c r="X81" s="405"/>
      <c r="Y81" s="403"/>
      <c r="Z81" s="403"/>
      <c r="AA81" s="403"/>
      <c r="AB81" s="403"/>
      <c r="AC81" s="402">
        <v>45318</v>
      </c>
      <c r="AD81" s="655"/>
    </row>
    <row r="82" spans="1:34">
      <c r="A82" s="279" t="s">
        <v>117</v>
      </c>
      <c r="B82" s="285" t="s">
        <v>117</v>
      </c>
      <c r="C82" s="285" t="s">
        <v>117</v>
      </c>
      <c r="D82" s="282" t="s">
        <v>117</v>
      </c>
      <c r="E82" s="233" t="s">
        <v>117</v>
      </c>
      <c r="F82" s="237">
        <v>5</v>
      </c>
      <c r="G82" s="238">
        <v>5</v>
      </c>
      <c r="H82" s="292" t="s">
        <v>554</v>
      </c>
      <c r="I82" s="53" t="s">
        <v>231</v>
      </c>
      <c r="J82" s="53" t="s">
        <v>232</v>
      </c>
      <c r="K82" s="44" t="s">
        <v>24</v>
      </c>
      <c r="L82" s="29">
        <v>2</v>
      </c>
      <c r="M82" s="30">
        <v>45318</v>
      </c>
      <c r="N82" s="30">
        <v>45320</v>
      </c>
      <c r="O82" s="427"/>
      <c r="P82" s="427"/>
      <c r="Q82" s="3">
        <v>2000</v>
      </c>
      <c r="R82" s="1">
        <v>2</v>
      </c>
      <c r="S82" s="3">
        <f t="shared" ref="S82" si="61">+Q82*R82</f>
        <v>4000</v>
      </c>
      <c r="T82" s="28">
        <v>-138</v>
      </c>
      <c r="U82" s="3">
        <f t="shared" ref="U82" si="62">SUM(S82:T82)</f>
        <v>3862</v>
      </c>
      <c r="V82" s="50">
        <f t="shared" ref="V82" si="63">+U82*0.18</f>
        <v>695.16</v>
      </c>
      <c r="W82" s="3">
        <f t="shared" ref="W82" si="64">+U82-V82</f>
        <v>3166.84</v>
      </c>
      <c r="X82" s="3"/>
      <c r="Y82" s="3"/>
      <c r="Z82" s="3"/>
      <c r="AA82" s="3"/>
      <c r="AB82" s="3">
        <f>V82</f>
        <v>695.16</v>
      </c>
      <c r="AC82" s="24">
        <v>45319</v>
      </c>
      <c r="AD82" s="651"/>
    </row>
    <row r="83" spans="1:34">
      <c r="A83" s="279" t="s">
        <v>117</v>
      </c>
      <c r="B83" s="285" t="s">
        <v>117</v>
      </c>
      <c r="C83" s="285" t="s">
        <v>117</v>
      </c>
      <c r="D83" s="282" t="s">
        <v>117</v>
      </c>
      <c r="E83" s="233" t="s">
        <v>117</v>
      </c>
      <c r="F83" s="237">
        <v>5</v>
      </c>
      <c r="G83" s="238">
        <v>5</v>
      </c>
      <c r="H83" s="292" t="s">
        <v>554</v>
      </c>
      <c r="I83" s="410" t="s">
        <v>413</v>
      </c>
      <c r="J83" s="405" t="s">
        <v>398</v>
      </c>
      <c r="K83" s="183" t="s">
        <v>217</v>
      </c>
      <c r="L83" s="401">
        <v>2</v>
      </c>
      <c r="M83" s="402">
        <v>45318</v>
      </c>
      <c r="N83" s="402">
        <v>45319</v>
      </c>
      <c r="O83" s="463"/>
      <c r="P83" s="463"/>
      <c r="Q83" s="403">
        <v>750</v>
      </c>
      <c r="R83" s="401">
        <v>1</v>
      </c>
      <c r="S83" s="403">
        <f>+Q83*R83</f>
        <v>750</v>
      </c>
      <c r="T83" s="404">
        <v>-25.88</v>
      </c>
      <c r="U83" s="403">
        <f>+S83+T83</f>
        <v>724.12</v>
      </c>
      <c r="V83" s="403"/>
      <c r="W83" s="403"/>
      <c r="X83" s="405"/>
      <c r="Y83" s="405"/>
      <c r="Z83" s="405"/>
      <c r="AA83" s="405"/>
      <c r="AB83" s="403"/>
      <c r="AC83" s="402">
        <v>45319</v>
      </c>
      <c r="AD83" s="529"/>
    </row>
    <row r="84" spans="1:34">
      <c r="A84" s="279" t="s">
        <v>117</v>
      </c>
      <c r="B84" s="285" t="s">
        <v>117</v>
      </c>
      <c r="C84" s="285" t="s">
        <v>117</v>
      </c>
      <c r="D84" s="282" t="s">
        <v>117</v>
      </c>
      <c r="E84" s="233" t="s">
        <v>117</v>
      </c>
      <c r="F84" s="237">
        <v>5</v>
      </c>
      <c r="G84" s="238">
        <v>5</v>
      </c>
      <c r="H84" s="292" t="s">
        <v>554</v>
      </c>
      <c r="I84" s="410" t="s">
        <v>412</v>
      </c>
      <c r="J84" s="405" t="s">
        <v>411</v>
      </c>
      <c r="K84" s="183" t="s">
        <v>217</v>
      </c>
      <c r="L84" s="401">
        <v>2</v>
      </c>
      <c r="M84" s="402">
        <v>45319</v>
      </c>
      <c r="N84" s="402">
        <v>45321</v>
      </c>
      <c r="O84" s="463"/>
      <c r="P84" s="463"/>
      <c r="Q84" s="403">
        <v>750</v>
      </c>
      <c r="R84" s="401">
        <v>2</v>
      </c>
      <c r="S84" s="403">
        <f>+Q84*R84</f>
        <v>1500</v>
      </c>
      <c r="T84" s="404">
        <f>-25.76*2</f>
        <v>-51.52</v>
      </c>
      <c r="U84" s="403">
        <f>+S84+T84+1</f>
        <v>1449.48</v>
      </c>
      <c r="V84" s="403"/>
      <c r="W84" s="403"/>
      <c r="X84" s="405"/>
      <c r="Y84" s="405"/>
      <c r="Z84" s="405"/>
      <c r="AA84" s="405"/>
      <c r="AB84" s="403"/>
      <c r="AC84" s="402">
        <v>45321</v>
      </c>
      <c r="AD84" s="655"/>
      <c r="AE84" s="15"/>
    </row>
    <row r="85" spans="1:34" ht="15" thickBot="1">
      <c r="A85" s="279" t="s">
        <v>117</v>
      </c>
      <c r="B85" s="285" t="s">
        <v>117</v>
      </c>
      <c r="C85" s="285" t="s">
        <v>117</v>
      </c>
      <c r="D85" s="282" t="s">
        <v>117</v>
      </c>
      <c r="E85" s="233" t="s">
        <v>117</v>
      </c>
      <c r="F85" s="237">
        <v>5</v>
      </c>
      <c r="G85" s="238"/>
      <c r="H85" s="292" t="s">
        <v>554</v>
      </c>
      <c r="I85" s="53" t="s">
        <v>317</v>
      </c>
      <c r="J85" s="53" t="s">
        <v>318</v>
      </c>
      <c r="K85" s="18" t="s">
        <v>23</v>
      </c>
      <c r="L85" s="29">
        <v>2</v>
      </c>
      <c r="M85" s="30">
        <v>45320</v>
      </c>
      <c r="N85" s="30">
        <v>45322</v>
      </c>
      <c r="O85" s="427"/>
      <c r="P85" s="427"/>
      <c r="Q85" s="50">
        <v>2000</v>
      </c>
      <c r="R85" s="29">
        <v>2</v>
      </c>
      <c r="S85" s="3">
        <f t="shared" ref="S85:S86" si="65">+Q85*R85</f>
        <v>4000</v>
      </c>
      <c r="T85" s="28">
        <v>-138</v>
      </c>
      <c r="U85" s="3">
        <f t="shared" ref="U85" si="66">SUM(S85:T85)</f>
        <v>3862</v>
      </c>
      <c r="V85" s="50">
        <f t="shared" ref="V85" si="67">+U85*0.18</f>
        <v>695.16</v>
      </c>
      <c r="W85" s="3">
        <f t="shared" ref="W85" si="68">+U85-V85</f>
        <v>3166.84</v>
      </c>
      <c r="X85" s="3"/>
      <c r="Y85" s="3"/>
      <c r="Z85" s="3"/>
      <c r="AA85" s="3"/>
      <c r="AB85" s="3">
        <f>V85</f>
        <v>695.16</v>
      </c>
      <c r="AC85" s="24">
        <v>45321</v>
      </c>
      <c r="AD85" s="651"/>
    </row>
    <row r="86" spans="1:34" ht="15" thickBot="1">
      <c r="A86" s="280" t="s">
        <v>117</v>
      </c>
      <c r="B86" s="286" t="s">
        <v>117</v>
      </c>
      <c r="C86" s="286" t="s">
        <v>117</v>
      </c>
      <c r="D86" s="283" t="s">
        <v>117</v>
      </c>
      <c r="E86" s="234" t="s">
        <v>117</v>
      </c>
      <c r="F86" s="239">
        <v>5</v>
      </c>
      <c r="G86" s="239">
        <v>4</v>
      </c>
      <c r="H86" s="293" t="s">
        <v>554</v>
      </c>
      <c r="I86" s="56" t="s">
        <v>177</v>
      </c>
      <c r="J86" s="31" t="s">
        <v>84</v>
      </c>
      <c r="K86" s="36" t="s">
        <v>24</v>
      </c>
      <c r="L86" s="57">
        <v>2</v>
      </c>
      <c r="M86" s="58">
        <v>45321</v>
      </c>
      <c r="N86" s="58">
        <v>45323</v>
      </c>
      <c r="O86" s="429"/>
      <c r="P86" s="429"/>
      <c r="Q86" s="32">
        <v>2000</v>
      </c>
      <c r="R86" s="33">
        <v>2</v>
      </c>
      <c r="S86" s="32">
        <f t="shared" si="65"/>
        <v>4000</v>
      </c>
      <c r="T86" s="34">
        <v>-138</v>
      </c>
      <c r="U86" s="32">
        <f>SUM(S86:T86)</f>
        <v>3862</v>
      </c>
      <c r="V86" s="88">
        <f>+U86*0.18</f>
        <v>695.16</v>
      </c>
      <c r="W86" s="88">
        <f>+U86-V86</f>
        <v>3166.84</v>
      </c>
      <c r="X86" s="32"/>
      <c r="Y86" s="32"/>
      <c r="Z86" s="32"/>
      <c r="AA86" s="32"/>
      <c r="AB86" s="32">
        <f>V86</f>
        <v>695.16</v>
      </c>
      <c r="AC86" s="77">
        <v>45322</v>
      </c>
      <c r="AD86" s="654"/>
      <c r="AE86" s="650" t="s">
        <v>464</v>
      </c>
      <c r="AF86" s="310" t="s">
        <v>465</v>
      </c>
      <c r="AG86" s="325" t="s">
        <v>59</v>
      </c>
      <c r="AH86" s="311" t="s">
        <v>466</v>
      </c>
    </row>
    <row r="87" spans="1:34" s="6" customFormat="1" ht="15" thickBot="1">
      <c r="A87" s="536" t="s">
        <v>729</v>
      </c>
      <c r="B87" s="530"/>
      <c r="C87" s="530"/>
      <c r="D87" s="530"/>
      <c r="E87" s="530"/>
      <c r="F87" s="530"/>
      <c r="G87" s="530"/>
      <c r="H87" s="531"/>
      <c r="I87" s="525"/>
      <c r="J87" s="532"/>
      <c r="K87" s="517"/>
      <c r="L87" s="518"/>
      <c r="M87" s="519"/>
      <c r="N87" s="519"/>
      <c r="O87" s="520"/>
      <c r="P87" s="520"/>
      <c r="Q87" s="521"/>
      <c r="R87" s="518"/>
      <c r="S87" s="521"/>
      <c r="T87" s="522"/>
      <c r="U87" s="521"/>
      <c r="V87" s="542">
        <f>SUM(V55:V86)</f>
        <v>21209.155999999999</v>
      </c>
      <c r="W87" s="523">
        <f>SUM(W55:W86)</f>
        <v>112210.658</v>
      </c>
      <c r="X87" s="527">
        <f>SUM(X55:X86)</f>
        <v>8611.6560000000009</v>
      </c>
      <c r="Y87" s="521"/>
      <c r="Z87" s="521"/>
      <c r="AA87" s="521"/>
      <c r="AB87" s="524">
        <f>SUM(AB55:AB86)</f>
        <v>25809.156000000003</v>
      </c>
      <c r="AC87" s="519"/>
      <c r="AD87" s="529">
        <v>7281</v>
      </c>
      <c r="AE87" s="647">
        <f>AB87</f>
        <v>25809.156000000003</v>
      </c>
      <c r="AF87" s="537">
        <f>+'Camerer - Sewell'!J5+'Crook - Whalerock Beach'!J5+'Berman - Arrowood'!I24</f>
        <v>3160</v>
      </c>
      <c r="AG87" s="538">
        <f>SUM(AE87:AF87)</f>
        <v>28969.156000000003</v>
      </c>
      <c r="AH87" s="539">
        <f>+AG87/3</f>
        <v>9656.3853333333336</v>
      </c>
    </row>
    <row r="88" spans="1:34">
      <c r="A88" s="279" t="s">
        <v>117</v>
      </c>
      <c r="B88" s="285" t="s">
        <v>117</v>
      </c>
      <c r="C88" s="285" t="s">
        <v>117</v>
      </c>
      <c r="D88" s="282" t="s">
        <v>117</v>
      </c>
      <c r="E88" s="233" t="s">
        <v>117</v>
      </c>
      <c r="F88" s="237"/>
      <c r="G88" s="238"/>
      <c r="H88" s="290" t="s">
        <v>555</v>
      </c>
      <c r="I88" s="228" t="s">
        <v>604</v>
      </c>
      <c r="J88" s="43" t="s">
        <v>75</v>
      </c>
      <c r="K88" s="59" t="s">
        <v>87</v>
      </c>
      <c r="L88" s="54">
        <v>2</v>
      </c>
      <c r="M88" s="55">
        <v>45323</v>
      </c>
      <c r="N88" s="55">
        <v>45351</v>
      </c>
      <c r="O88" s="428"/>
      <c r="P88" s="428"/>
      <c r="Q88" s="47">
        <f>+U88/R88</f>
        <v>706.37931034482756</v>
      </c>
      <c r="R88" s="48">
        <v>29</v>
      </c>
      <c r="S88" s="47">
        <f>+Q88*R88</f>
        <v>20485</v>
      </c>
      <c r="T88" s="49">
        <v>0</v>
      </c>
      <c r="U88" s="47">
        <v>20485</v>
      </c>
      <c r="V88" s="50">
        <f>0.05*U88</f>
        <v>1024.25</v>
      </c>
      <c r="W88" s="47">
        <f>+U88-V88</f>
        <v>19460.75</v>
      </c>
      <c r="X88" s="3"/>
      <c r="Y88" s="3"/>
      <c r="Z88" s="3"/>
      <c r="AA88" s="3"/>
      <c r="AB88" s="50">
        <f>V88</f>
        <v>1024.25</v>
      </c>
      <c r="AC88" s="24">
        <v>45355</v>
      </c>
      <c r="AD88" s="651"/>
      <c r="AE88" s="3"/>
    </row>
    <row r="89" spans="1:34">
      <c r="A89" s="279" t="s">
        <v>117</v>
      </c>
      <c r="B89" s="285" t="s">
        <v>419</v>
      </c>
      <c r="C89" s="285" t="s">
        <v>117</v>
      </c>
      <c r="D89" s="282" t="s">
        <v>117</v>
      </c>
      <c r="E89" s="233" t="s">
        <v>117</v>
      </c>
      <c r="F89" s="237">
        <v>5</v>
      </c>
      <c r="G89" s="238">
        <v>5</v>
      </c>
      <c r="H89" s="292" t="s">
        <v>554</v>
      </c>
      <c r="I89" s="410" t="s">
        <v>396</v>
      </c>
      <c r="J89" s="410" t="s">
        <v>397</v>
      </c>
      <c r="K89" s="229" t="s">
        <v>217</v>
      </c>
      <c r="L89" s="407">
        <v>1</v>
      </c>
      <c r="M89" s="408">
        <v>45322</v>
      </c>
      <c r="N89" s="408">
        <v>45324</v>
      </c>
      <c r="O89" s="449"/>
      <c r="P89" s="449"/>
      <c r="Q89" s="406">
        <v>750</v>
      </c>
      <c r="R89" s="407">
        <v>2</v>
      </c>
      <c r="S89" s="406">
        <f>+Q89*R89</f>
        <v>1500</v>
      </c>
      <c r="T89" s="409">
        <v>-51.75</v>
      </c>
      <c r="U89" s="406">
        <f>+S89+T89</f>
        <v>1448.25</v>
      </c>
      <c r="V89" s="406"/>
      <c r="W89" s="406"/>
      <c r="X89" s="406"/>
      <c r="Y89" s="410"/>
      <c r="Z89" s="410"/>
      <c r="AA89" s="410"/>
      <c r="AB89" s="406"/>
      <c r="AC89" s="408">
        <v>45323</v>
      </c>
      <c r="AD89" s="655"/>
    </row>
    <row r="90" spans="1:34">
      <c r="A90" s="279" t="s">
        <v>117</v>
      </c>
      <c r="B90" s="285" t="s">
        <v>117</v>
      </c>
      <c r="C90" s="285" t="s">
        <v>117</v>
      </c>
      <c r="D90" s="282" t="s">
        <v>117</v>
      </c>
      <c r="E90" s="233" t="s">
        <v>117</v>
      </c>
      <c r="F90" s="237">
        <v>5</v>
      </c>
      <c r="G90" s="238"/>
      <c r="H90" s="292" t="s">
        <v>554</v>
      </c>
      <c r="I90" s="53" t="s">
        <v>142</v>
      </c>
      <c r="J90" t="s">
        <v>36</v>
      </c>
      <c r="K90" s="18" t="s">
        <v>23</v>
      </c>
      <c r="L90" s="29">
        <v>2</v>
      </c>
      <c r="M90" s="30">
        <v>45323</v>
      </c>
      <c r="N90" s="30">
        <v>45326</v>
      </c>
      <c r="O90" s="427"/>
      <c r="P90" s="427"/>
      <c r="Q90" s="3">
        <v>1576.67</v>
      </c>
      <c r="R90" s="1">
        <v>3</v>
      </c>
      <c r="S90" s="3">
        <f t="shared" ref="S90:S118" si="69">+Q90*R90</f>
        <v>4730.01</v>
      </c>
      <c r="T90" s="28">
        <v>-163.15</v>
      </c>
      <c r="U90" s="3">
        <f t="shared" si="44"/>
        <v>4566.8600000000006</v>
      </c>
      <c r="V90" s="50">
        <f t="shared" si="45"/>
        <v>822.03480000000002</v>
      </c>
      <c r="W90" s="3">
        <f t="shared" si="46"/>
        <v>3744.8252000000007</v>
      </c>
      <c r="X90" s="3"/>
      <c r="Y90" s="3"/>
      <c r="Z90" s="3"/>
      <c r="AA90" s="3"/>
      <c r="AB90" s="3">
        <f>V90</f>
        <v>822.03480000000002</v>
      </c>
      <c r="AC90" s="24">
        <v>45324</v>
      </c>
      <c r="AD90" s="651"/>
    </row>
    <row r="91" spans="1:34">
      <c r="A91" s="279" t="s">
        <v>117</v>
      </c>
      <c r="B91" s="285" t="s">
        <v>117</v>
      </c>
      <c r="C91" s="285" t="s">
        <v>117</v>
      </c>
      <c r="D91" s="282" t="s">
        <v>117</v>
      </c>
      <c r="E91" s="233" t="s">
        <v>117</v>
      </c>
      <c r="F91" s="237">
        <v>5</v>
      </c>
      <c r="G91" s="238">
        <v>4</v>
      </c>
      <c r="H91" s="292" t="s">
        <v>554</v>
      </c>
      <c r="I91" s="53" t="s">
        <v>422</v>
      </c>
      <c r="J91" t="s">
        <v>31</v>
      </c>
      <c r="K91" s="4" t="s">
        <v>24</v>
      </c>
      <c r="L91" s="29">
        <v>2</v>
      </c>
      <c r="M91" s="30">
        <v>45323</v>
      </c>
      <c r="N91" s="30">
        <v>45325</v>
      </c>
      <c r="O91" s="427"/>
      <c r="P91" s="427"/>
      <c r="Q91" s="3">
        <v>2500</v>
      </c>
      <c r="R91" s="1">
        <v>2</v>
      </c>
      <c r="S91" s="3">
        <f t="shared" si="69"/>
        <v>5000</v>
      </c>
      <c r="T91" s="28">
        <v>-172.44</v>
      </c>
      <c r="U91" s="3">
        <f>SUM(S91:T91)</f>
        <v>4827.5600000000004</v>
      </c>
      <c r="V91" s="50">
        <f t="shared" ref="V91" si="70">+U91*0.18</f>
        <v>868.96080000000006</v>
      </c>
      <c r="W91" s="3">
        <f t="shared" ref="W91" si="71">+U91-V91</f>
        <v>3958.5992000000006</v>
      </c>
      <c r="X91" s="3"/>
      <c r="Y91" s="3"/>
      <c r="Z91" s="3"/>
      <c r="AA91" s="3"/>
      <c r="AB91" s="3">
        <f>V91</f>
        <v>868.96080000000006</v>
      </c>
      <c r="AC91" s="24">
        <v>45324</v>
      </c>
      <c r="AD91" s="651"/>
    </row>
    <row r="92" spans="1:34">
      <c r="A92" s="279" t="s">
        <v>117</v>
      </c>
      <c r="B92" s="285" t="s">
        <v>117</v>
      </c>
      <c r="C92" s="285" t="s">
        <v>117</v>
      </c>
      <c r="D92" s="282" t="s">
        <v>117</v>
      </c>
      <c r="E92" s="233" t="s">
        <v>117</v>
      </c>
      <c r="F92" s="237"/>
      <c r="G92" s="238">
        <v>5</v>
      </c>
      <c r="H92" s="292" t="s">
        <v>554</v>
      </c>
      <c r="I92" s="410" t="s">
        <v>436</v>
      </c>
      <c r="J92" s="405" t="s">
        <v>107</v>
      </c>
      <c r="K92" s="183" t="s">
        <v>217</v>
      </c>
      <c r="L92" s="401">
        <v>2</v>
      </c>
      <c r="M92" s="402">
        <v>45324</v>
      </c>
      <c r="N92" s="402">
        <v>45326</v>
      </c>
      <c r="O92" s="463"/>
      <c r="P92" s="463"/>
      <c r="Q92" s="403">
        <v>750</v>
      </c>
      <c r="R92" s="401">
        <v>2</v>
      </c>
      <c r="S92" s="403">
        <f t="shared" si="69"/>
        <v>1500</v>
      </c>
      <c r="T92" s="404">
        <v>-51.75</v>
      </c>
      <c r="U92" s="403">
        <f>SUM(S92:T92)</f>
        <v>1448.25</v>
      </c>
      <c r="V92" s="403"/>
      <c r="W92" s="403"/>
      <c r="X92" s="403"/>
      <c r="Y92" s="403"/>
      <c r="Z92" s="403"/>
      <c r="AA92" s="403"/>
      <c r="AB92" s="403"/>
      <c r="AC92" s="402">
        <v>45325</v>
      </c>
      <c r="AD92" s="655"/>
    </row>
    <row r="93" spans="1:34">
      <c r="A93" s="279" t="s">
        <v>117</v>
      </c>
      <c r="B93" s="285" t="s">
        <v>117</v>
      </c>
      <c r="C93" s="285" t="s">
        <v>117</v>
      </c>
      <c r="D93" s="282" t="s">
        <v>117</v>
      </c>
      <c r="E93" s="233" t="s">
        <v>117</v>
      </c>
      <c r="F93" s="237">
        <v>5</v>
      </c>
      <c r="G93" s="238">
        <v>5</v>
      </c>
      <c r="H93" s="292" t="s">
        <v>554</v>
      </c>
      <c r="I93" s="53" t="s">
        <v>145</v>
      </c>
      <c r="J93" s="53" t="s">
        <v>146</v>
      </c>
      <c r="K93" s="44" t="s">
        <v>24</v>
      </c>
      <c r="L93" s="29">
        <v>2</v>
      </c>
      <c r="M93" s="30">
        <v>45325</v>
      </c>
      <c r="N93" s="30">
        <v>45328</v>
      </c>
      <c r="O93" s="427"/>
      <c r="P93" s="427"/>
      <c r="Q93" s="3">
        <v>1553.33</v>
      </c>
      <c r="R93" s="1">
        <v>3</v>
      </c>
      <c r="S93" s="3">
        <f t="shared" si="69"/>
        <v>4659.99</v>
      </c>
      <c r="T93" s="28">
        <v>-160.83000000000001</v>
      </c>
      <c r="U93" s="3">
        <f>SUM(S93:T93)</f>
        <v>4499.16</v>
      </c>
      <c r="V93" s="50">
        <f t="shared" si="45"/>
        <v>809.84879999999998</v>
      </c>
      <c r="W93" s="3">
        <f t="shared" si="46"/>
        <v>3689.3112000000001</v>
      </c>
      <c r="X93" s="3"/>
      <c r="Y93" s="3"/>
      <c r="Z93" s="3"/>
      <c r="AA93" s="3"/>
      <c r="AB93" s="3">
        <f>V93</f>
        <v>809.84879999999998</v>
      </c>
      <c r="AC93" s="24">
        <v>45326</v>
      </c>
      <c r="AD93" s="651"/>
    </row>
    <row r="94" spans="1:34">
      <c r="A94" s="279" t="s">
        <v>117</v>
      </c>
      <c r="B94" s="285" t="s">
        <v>117</v>
      </c>
      <c r="C94" s="285" t="s">
        <v>117</v>
      </c>
      <c r="D94" s="282" t="s">
        <v>117</v>
      </c>
      <c r="E94" s="233" t="s">
        <v>117</v>
      </c>
      <c r="F94" s="237">
        <v>5</v>
      </c>
      <c r="G94" s="238">
        <v>5</v>
      </c>
      <c r="H94" s="292" t="s">
        <v>554</v>
      </c>
      <c r="I94" s="53" t="s">
        <v>416</v>
      </c>
      <c r="J94" s="53" t="s">
        <v>473</v>
      </c>
      <c r="K94" s="76" t="s">
        <v>23</v>
      </c>
      <c r="L94" s="29">
        <v>2</v>
      </c>
      <c r="M94" s="30">
        <v>45326</v>
      </c>
      <c r="N94" s="30">
        <v>45328</v>
      </c>
      <c r="O94" s="427"/>
      <c r="P94" s="427"/>
      <c r="Q94" s="3">
        <v>2000</v>
      </c>
      <c r="R94" s="1">
        <v>2</v>
      </c>
      <c r="S94" s="3">
        <f t="shared" si="69"/>
        <v>4000</v>
      </c>
      <c r="T94" s="28">
        <v>-137.4</v>
      </c>
      <c r="U94" s="3">
        <f>SUM(S94:T94)</f>
        <v>3862.6</v>
      </c>
      <c r="V94" s="50">
        <f t="shared" si="45"/>
        <v>695.26799999999992</v>
      </c>
      <c r="W94" s="3">
        <f t="shared" si="46"/>
        <v>3167.3319999999999</v>
      </c>
      <c r="X94" s="3"/>
      <c r="Y94" s="3"/>
      <c r="Z94" s="3"/>
      <c r="AA94" s="3"/>
      <c r="AB94" s="3">
        <f>V94</f>
        <v>695.26799999999992</v>
      </c>
      <c r="AC94" s="24">
        <v>45327</v>
      </c>
      <c r="AD94" s="651"/>
    </row>
    <row r="95" spans="1:34">
      <c r="A95" s="279" t="s">
        <v>117</v>
      </c>
      <c r="B95" s="285" t="s">
        <v>117</v>
      </c>
      <c r="C95" s="285" t="s">
        <v>117</v>
      </c>
      <c r="D95" s="282" t="s">
        <v>117</v>
      </c>
      <c r="E95" s="233" t="s">
        <v>117</v>
      </c>
      <c r="F95" s="237">
        <v>5</v>
      </c>
      <c r="G95" s="238">
        <v>5</v>
      </c>
      <c r="H95" s="292" t="s">
        <v>554</v>
      </c>
      <c r="I95" s="410" t="s">
        <v>379</v>
      </c>
      <c r="J95" s="405" t="s">
        <v>75</v>
      </c>
      <c r="K95" s="183" t="s">
        <v>217</v>
      </c>
      <c r="L95" s="401">
        <v>2</v>
      </c>
      <c r="M95" s="402">
        <v>45328</v>
      </c>
      <c r="N95" s="402">
        <v>45331</v>
      </c>
      <c r="O95" s="463"/>
      <c r="P95" s="463"/>
      <c r="Q95" s="403">
        <v>640</v>
      </c>
      <c r="R95" s="401">
        <v>3</v>
      </c>
      <c r="S95" s="403">
        <f>+Q95*R95</f>
        <v>1920</v>
      </c>
      <c r="T95" s="404">
        <v>-66.3</v>
      </c>
      <c r="U95" s="403">
        <f>+S95+T95</f>
        <v>1853.7</v>
      </c>
      <c r="V95" s="403"/>
      <c r="W95" s="403"/>
      <c r="X95" s="405"/>
      <c r="Y95" s="405"/>
      <c r="Z95" s="405"/>
      <c r="AA95" s="405"/>
      <c r="AB95" s="403"/>
      <c r="AC95" s="402">
        <v>45329</v>
      </c>
      <c r="AD95" s="655"/>
    </row>
    <row r="96" spans="1:34">
      <c r="A96" s="279" t="s">
        <v>117</v>
      </c>
      <c r="B96" s="285" t="s">
        <v>117</v>
      </c>
      <c r="C96" s="285" t="s">
        <v>117</v>
      </c>
      <c r="D96" s="282" t="s">
        <v>117</v>
      </c>
      <c r="E96" s="233" t="s">
        <v>117</v>
      </c>
      <c r="F96" s="237">
        <v>5</v>
      </c>
      <c r="G96" s="238">
        <v>5</v>
      </c>
      <c r="H96" s="292" t="s">
        <v>554</v>
      </c>
      <c r="I96" s="53" t="s">
        <v>160</v>
      </c>
      <c r="J96" s="53" t="s">
        <v>124</v>
      </c>
      <c r="K96" s="76" t="s">
        <v>23</v>
      </c>
      <c r="L96" s="29">
        <v>2</v>
      </c>
      <c r="M96" s="30">
        <v>45328</v>
      </c>
      <c r="N96" s="30">
        <v>45330</v>
      </c>
      <c r="O96" s="427"/>
      <c r="P96" s="427"/>
      <c r="Q96" s="3">
        <v>1520</v>
      </c>
      <c r="R96" s="1">
        <v>2</v>
      </c>
      <c r="S96" s="3">
        <f t="shared" si="69"/>
        <v>3040</v>
      </c>
      <c r="T96" s="28">
        <v>-104.82</v>
      </c>
      <c r="U96" s="3">
        <f>SUM(S96:T96)</f>
        <v>2935.18</v>
      </c>
      <c r="V96" s="50">
        <f t="shared" si="45"/>
        <v>528.33240000000001</v>
      </c>
      <c r="W96" s="3">
        <f t="shared" si="46"/>
        <v>2406.8476000000001</v>
      </c>
      <c r="X96" s="3"/>
      <c r="Y96" s="3"/>
      <c r="Z96" s="3"/>
      <c r="AA96" s="3"/>
      <c r="AB96" s="3">
        <f>V96</f>
        <v>528.33240000000001</v>
      </c>
      <c r="AC96" s="24">
        <v>45329</v>
      </c>
      <c r="AD96" s="651"/>
    </row>
    <row r="97" spans="1:30">
      <c r="A97" s="279" t="s">
        <v>117</v>
      </c>
      <c r="B97" s="285" t="s">
        <v>117</v>
      </c>
      <c r="C97" s="285" t="s">
        <v>117</v>
      </c>
      <c r="D97" s="282" t="s">
        <v>117</v>
      </c>
      <c r="E97" s="233" t="s">
        <v>117</v>
      </c>
      <c r="F97" s="237">
        <v>5</v>
      </c>
      <c r="G97" s="238">
        <v>5</v>
      </c>
      <c r="H97" s="292" t="s">
        <v>554</v>
      </c>
      <c r="I97" s="53" t="s">
        <v>368</v>
      </c>
      <c r="J97" t="s">
        <v>82</v>
      </c>
      <c r="K97" s="4" t="s">
        <v>24</v>
      </c>
      <c r="L97" s="29">
        <v>2</v>
      </c>
      <c r="M97" s="30">
        <v>45328</v>
      </c>
      <c r="N97" s="30">
        <v>45330</v>
      </c>
      <c r="O97" s="427"/>
      <c r="P97" s="427"/>
      <c r="Q97" s="3">
        <v>2000</v>
      </c>
      <c r="R97" s="1">
        <v>2</v>
      </c>
      <c r="S97" s="47">
        <f>+Q97*R97</f>
        <v>4000</v>
      </c>
      <c r="T97" s="49">
        <v>-138</v>
      </c>
      <c r="U97" s="47">
        <f t="shared" ref="U97" si="72">SUM(S97:T97)</f>
        <v>3862</v>
      </c>
      <c r="V97" s="62">
        <f t="shared" ref="V97" si="73">+U97*0.18</f>
        <v>695.16</v>
      </c>
      <c r="W97" s="47">
        <f t="shared" ref="W97" si="74">+U97-V97</f>
        <v>3166.84</v>
      </c>
      <c r="AB97" s="3">
        <f>V97</f>
        <v>695.16</v>
      </c>
      <c r="AC97" s="24">
        <v>45329</v>
      </c>
      <c r="AD97" s="651"/>
    </row>
    <row r="98" spans="1:30">
      <c r="A98" s="279" t="s">
        <v>454</v>
      </c>
      <c r="B98" s="285" t="s">
        <v>454</v>
      </c>
      <c r="C98" s="285" t="s">
        <v>454</v>
      </c>
      <c r="D98" s="282" t="s">
        <v>454</v>
      </c>
      <c r="E98" s="233" t="s">
        <v>454</v>
      </c>
      <c r="F98" s="237" t="s">
        <v>454</v>
      </c>
      <c r="G98" s="238" t="s">
        <v>454</v>
      </c>
      <c r="H98" s="292" t="s">
        <v>554</v>
      </c>
      <c r="I98" s="265" t="s">
        <v>250</v>
      </c>
      <c r="J98" s="53" t="s">
        <v>128</v>
      </c>
      <c r="K98" s="44" t="s">
        <v>24</v>
      </c>
      <c r="L98" s="305">
        <v>2</v>
      </c>
      <c r="M98" s="306">
        <v>45330</v>
      </c>
      <c r="N98" s="306">
        <v>45332</v>
      </c>
      <c r="O98" s="430"/>
      <c r="P98" s="430"/>
      <c r="R98" s="1">
        <v>2</v>
      </c>
      <c r="S98" s="3">
        <f t="shared" si="69"/>
        <v>0</v>
      </c>
      <c r="T98" s="28">
        <v>0</v>
      </c>
      <c r="U98" s="3">
        <f t="shared" ref="U98" si="75">SUM(S98:T98)</f>
        <v>0</v>
      </c>
      <c r="V98" s="50">
        <v>347.58</v>
      </c>
      <c r="W98" s="47">
        <v>1931</v>
      </c>
      <c r="X98" s="3"/>
      <c r="Y98" s="3"/>
      <c r="Z98" s="3"/>
      <c r="AA98" s="3"/>
      <c r="AB98" s="3">
        <f>V98</f>
        <v>347.58</v>
      </c>
      <c r="AC98" s="24">
        <v>45331</v>
      </c>
      <c r="AD98" s="651"/>
    </row>
    <row r="99" spans="1:30">
      <c r="A99" s="279" t="s">
        <v>117</v>
      </c>
      <c r="B99" s="285"/>
      <c r="C99" s="285" t="s">
        <v>117</v>
      </c>
      <c r="D99" s="282" t="s">
        <v>117</v>
      </c>
      <c r="E99" s="233" t="s">
        <v>117</v>
      </c>
      <c r="F99" s="237">
        <v>5</v>
      </c>
      <c r="G99" s="238">
        <v>5</v>
      </c>
      <c r="H99" s="292" t="s">
        <v>554</v>
      </c>
      <c r="I99" s="410" t="s">
        <v>453</v>
      </c>
      <c r="J99" s="410" t="s">
        <v>14</v>
      </c>
      <c r="K99" s="229" t="s">
        <v>217</v>
      </c>
      <c r="L99" s="401">
        <v>2</v>
      </c>
      <c r="M99" s="402">
        <v>45331</v>
      </c>
      <c r="N99" s="402">
        <v>45333</v>
      </c>
      <c r="O99" s="463"/>
      <c r="P99" s="463"/>
      <c r="Q99" s="403">
        <v>750</v>
      </c>
      <c r="R99" s="401">
        <v>2</v>
      </c>
      <c r="S99" s="403">
        <f t="shared" si="69"/>
        <v>1500</v>
      </c>
      <c r="T99" s="404">
        <v>-51.75</v>
      </c>
      <c r="U99" s="403">
        <f>+S99+T99</f>
        <v>1448.25</v>
      </c>
      <c r="V99" s="403"/>
      <c r="W99" s="403"/>
      <c r="X99" s="403"/>
      <c r="Y99" s="403"/>
      <c r="Z99" s="403"/>
      <c r="AA99" s="403"/>
      <c r="AB99" s="403"/>
      <c r="AC99" s="402">
        <v>45332</v>
      </c>
      <c r="AD99" s="655"/>
    </row>
    <row r="100" spans="1:30">
      <c r="A100" s="279" t="s">
        <v>117</v>
      </c>
      <c r="B100" s="285" t="s">
        <v>117</v>
      </c>
      <c r="C100" s="285" t="s">
        <v>117</v>
      </c>
      <c r="D100" s="282" t="s">
        <v>117</v>
      </c>
      <c r="E100" s="233" t="s">
        <v>117</v>
      </c>
      <c r="F100" s="237">
        <v>5</v>
      </c>
      <c r="G100" s="238">
        <v>5</v>
      </c>
      <c r="H100" s="292" t="s">
        <v>554</v>
      </c>
      <c r="I100" s="53" t="s">
        <v>386</v>
      </c>
      <c r="J100" t="s">
        <v>69</v>
      </c>
      <c r="K100" s="4" t="s">
        <v>24</v>
      </c>
      <c r="L100" s="29">
        <v>2</v>
      </c>
      <c r="M100" s="30">
        <v>45331</v>
      </c>
      <c r="N100" s="30">
        <v>45333</v>
      </c>
      <c r="O100" s="427"/>
      <c r="P100" s="427"/>
      <c r="Q100" s="62">
        <v>2000</v>
      </c>
      <c r="R100" s="54">
        <v>2</v>
      </c>
      <c r="S100" s="47">
        <f>+Q100*R100</f>
        <v>4000</v>
      </c>
      <c r="T100" s="49">
        <v>-138.04</v>
      </c>
      <c r="U100" s="47">
        <f t="shared" ref="U100" si="76">SUM(S100:T100)</f>
        <v>3861.96</v>
      </c>
      <c r="V100" s="62">
        <f t="shared" ref="V100" si="77">+U100*0.18</f>
        <v>695.15279999999996</v>
      </c>
      <c r="W100" s="47">
        <f t="shared" ref="W100" si="78">+U100-V100</f>
        <v>3166.8072000000002</v>
      </c>
      <c r="AB100" s="3">
        <f t="shared" ref="AB100:AB105" si="79">V100</f>
        <v>695.15279999999996</v>
      </c>
      <c r="AC100" s="24">
        <v>45332</v>
      </c>
      <c r="AD100" s="651"/>
    </row>
    <row r="101" spans="1:30">
      <c r="A101" s="279" t="s">
        <v>117</v>
      </c>
      <c r="B101" s="285" t="s">
        <v>117</v>
      </c>
      <c r="C101" s="285" t="s">
        <v>117</v>
      </c>
      <c r="D101" s="282" t="s">
        <v>117</v>
      </c>
      <c r="E101" s="233" t="s">
        <v>117</v>
      </c>
      <c r="F101" s="237">
        <v>5</v>
      </c>
      <c r="G101" s="238"/>
      <c r="H101" s="292" t="s">
        <v>554</v>
      </c>
      <c r="I101" s="53" t="s">
        <v>144</v>
      </c>
      <c r="J101" s="53" t="s">
        <v>143</v>
      </c>
      <c r="K101" s="76" t="s">
        <v>23</v>
      </c>
      <c r="L101" s="29">
        <v>2</v>
      </c>
      <c r="M101" s="30">
        <v>45331</v>
      </c>
      <c r="N101" s="30">
        <v>45334</v>
      </c>
      <c r="O101" s="427"/>
      <c r="P101" s="427"/>
      <c r="Q101" s="3">
        <v>1556.67</v>
      </c>
      <c r="R101" s="1">
        <v>3</v>
      </c>
      <c r="S101" s="3">
        <f t="shared" si="69"/>
        <v>4670.01</v>
      </c>
      <c r="T101" s="28">
        <v>-161.12</v>
      </c>
      <c r="U101" s="3">
        <f t="shared" si="44"/>
        <v>4508.8900000000003</v>
      </c>
      <c r="V101" s="50">
        <f t="shared" si="45"/>
        <v>811.60019999999997</v>
      </c>
      <c r="W101" s="3">
        <f t="shared" si="46"/>
        <v>3697.2898000000005</v>
      </c>
      <c r="X101" s="3"/>
      <c r="Y101" s="3"/>
      <c r="Z101" s="3"/>
      <c r="AA101" s="3"/>
      <c r="AB101" s="3">
        <f t="shared" si="79"/>
        <v>811.60019999999997</v>
      </c>
      <c r="AC101" s="24">
        <v>45332</v>
      </c>
      <c r="AD101" s="651"/>
    </row>
    <row r="102" spans="1:30">
      <c r="A102" s="279" t="s">
        <v>117</v>
      </c>
      <c r="B102" s="285" t="s">
        <v>117</v>
      </c>
      <c r="C102" s="285" t="s">
        <v>117</v>
      </c>
      <c r="D102" s="282" t="s">
        <v>117</v>
      </c>
      <c r="E102" s="233" t="s">
        <v>117</v>
      </c>
      <c r="F102" s="237">
        <v>5</v>
      </c>
      <c r="G102" s="238"/>
      <c r="H102" s="292" t="s">
        <v>554</v>
      </c>
      <c r="I102" s="53" t="s">
        <v>175</v>
      </c>
      <c r="J102" s="53" t="s">
        <v>174</v>
      </c>
      <c r="K102" s="44" t="s">
        <v>24</v>
      </c>
      <c r="L102" s="29">
        <v>2</v>
      </c>
      <c r="M102" s="30">
        <v>45334</v>
      </c>
      <c r="N102" s="30">
        <v>45337</v>
      </c>
      <c r="O102" s="427"/>
      <c r="P102" s="427"/>
      <c r="Q102" s="3">
        <v>1676.67</v>
      </c>
      <c r="R102" s="1">
        <v>3</v>
      </c>
      <c r="S102" s="3">
        <f t="shared" si="69"/>
        <v>5030.01</v>
      </c>
      <c r="T102" s="28">
        <v>-173.48</v>
      </c>
      <c r="U102" s="3">
        <f>SUM(S102:T102)</f>
        <v>4856.5300000000007</v>
      </c>
      <c r="V102" s="50">
        <f>+U102*0.18</f>
        <v>874.17540000000008</v>
      </c>
      <c r="W102" s="3">
        <f>+U102-V102</f>
        <v>3982.3546000000006</v>
      </c>
      <c r="X102" s="3"/>
      <c r="Y102" s="3"/>
      <c r="Z102" s="3"/>
      <c r="AA102" s="3"/>
      <c r="AB102" s="3">
        <f t="shared" si="79"/>
        <v>874.17540000000008</v>
      </c>
      <c r="AC102" s="24">
        <v>45335</v>
      </c>
      <c r="AD102" s="651"/>
    </row>
    <row r="103" spans="1:30">
      <c r="A103" s="279" t="s">
        <v>117</v>
      </c>
      <c r="B103" s="285" t="s">
        <v>117</v>
      </c>
      <c r="C103" s="285" t="s">
        <v>117</v>
      </c>
      <c r="D103" s="282" t="s">
        <v>117</v>
      </c>
      <c r="E103" s="233" t="s">
        <v>117</v>
      </c>
      <c r="F103" s="237">
        <v>5</v>
      </c>
      <c r="G103" s="238">
        <v>5</v>
      </c>
      <c r="H103" s="292" t="s">
        <v>554</v>
      </c>
      <c r="I103" s="53" t="s">
        <v>262</v>
      </c>
      <c r="J103" s="53" t="s">
        <v>261</v>
      </c>
      <c r="K103" s="76" t="s">
        <v>23</v>
      </c>
      <c r="L103" s="29">
        <v>2</v>
      </c>
      <c r="M103" s="30">
        <v>45334</v>
      </c>
      <c r="N103" s="30">
        <v>45337</v>
      </c>
      <c r="O103" s="427"/>
      <c r="P103" s="427"/>
      <c r="Q103" s="3">
        <v>2000</v>
      </c>
      <c r="R103" s="1">
        <v>3</v>
      </c>
      <c r="S103" s="3">
        <f t="shared" si="69"/>
        <v>6000</v>
      </c>
      <c r="T103" s="28">
        <v>-206.94</v>
      </c>
      <c r="U103" s="3">
        <f t="shared" ref="U103:U104" si="80">SUM(S103:T103)</f>
        <v>5793.06</v>
      </c>
      <c r="V103" s="50">
        <f t="shared" ref="V103" si="81">+U103*0.18</f>
        <v>1042.7508</v>
      </c>
      <c r="W103" s="3">
        <f t="shared" ref="W103" si="82">+U103-V103</f>
        <v>4750.3092000000006</v>
      </c>
      <c r="X103" s="3"/>
      <c r="Y103" s="3"/>
      <c r="Z103" s="3"/>
      <c r="AA103" s="3"/>
      <c r="AB103" s="3">
        <f t="shared" si="79"/>
        <v>1042.7508</v>
      </c>
      <c r="AC103" s="24">
        <v>45335</v>
      </c>
      <c r="AD103" s="651"/>
    </row>
    <row r="104" spans="1:30">
      <c r="A104" s="279" t="s">
        <v>117</v>
      </c>
      <c r="B104" s="285" t="s">
        <v>117</v>
      </c>
      <c r="C104" s="285" t="s">
        <v>117</v>
      </c>
      <c r="D104" s="282" t="s">
        <v>117</v>
      </c>
      <c r="E104" s="233" t="s">
        <v>117</v>
      </c>
      <c r="F104" s="237">
        <v>5</v>
      </c>
      <c r="G104" s="238">
        <v>5</v>
      </c>
      <c r="H104" s="292" t="s">
        <v>554</v>
      </c>
      <c r="I104" s="410" t="s">
        <v>472</v>
      </c>
      <c r="J104" s="410" t="s">
        <v>124</v>
      </c>
      <c r="K104" s="229" t="s">
        <v>217</v>
      </c>
      <c r="L104" s="401">
        <v>2</v>
      </c>
      <c r="M104" s="402">
        <v>45336</v>
      </c>
      <c r="N104" s="402">
        <v>45337</v>
      </c>
      <c r="O104" s="463"/>
      <c r="P104" s="463"/>
      <c r="Q104" s="403">
        <v>750</v>
      </c>
      <c r="R104" s="401">
        <v>1</v>
      </c>
      <c r="S104" s="403">
        <f t="shared" si="69"/>
        <v>750</v>
      </c>
      <c r="T104" s="404">
        <v>-25.78</v>
      </c>
      <c r="U104" s="403">
        <f t="shared" si="80"/>
        <v>724.22</v>
      </c>
      <c r="V104" s="403"/>
      <c r="W104" s="403"/>
      <c r="X104" s="403"/>
      <c r="Y104" s="403"/>
      <c r="Z104" s="403"/>
      <c r="AA104" s="403"/>
      <c r="AB104" s="403"/>
      <c r="AC104" s="402">
        <v>45337</v>
      </c>
      <c r="AD104" s="655"/>
    </row>
    <row r="105" spans="1:30">
      <c r="A105" s="279" t="s">
        <v>117</v>
      </c>
      <c r="B105" s="285" t="s">
        <v>117</v>
      </c>
      <c r="C105" s="285" t="s">
        <v>117</v>
      </c>
      <c r="D105" s="282" t="s">
        <v>117</v>
      </c>
      <c r="E105" s="233" t="s">
        <v>117</v>
      </c>
      <c r="F105" s="237">
        <v>5</v>
      </c>
      <c r="G105" s="238"/>
      <c r="H105" s="292" t="s">
        <v>554</v>
      </c>
      <c r="I105" s="53" t="s">
        <v>74</v>
      </c>
      <c r="J105" t="s">
        <v>75</v>
      </c>
      <c r="K105" s="4" t="s">
        <v>24</v>
      </c>
      <c r="L105" s="29">
        <v>2</v>
      </c>
      <c r="M105" s="30">
        <v>45337</v>
      </c>
      <c r="N105" s="30">
        <v>45340</v>
      </c>
      <c r="O105" s="427"/>
      <c r="P105" s="427"/>
      <c r="Q105" s="3">
        <v>1400</v>
      </c>
      <c r="R105" s="1">
        <v>3</v>
      </c>
      <c r="S105" s="3">
        <f t="shared" si="69"/>
        <v>4200</v>
      </c>
      <c r="T105" s="28">
        <v>-144.93</v>
      </c>
      <c r="U105" s="3">
        <f t="shared" si="44"/>
        <v>4055.07</v>
      </c>
      <c r="V105" s="50">
        <f t="shared" si="45"/>
        <v>729.9126</v>
      </c>
      <c r="W105" s="3">
        <f t="shared" si="46"/>
        <v>3325.1574000000001</v>
      </c>
      <c r="X105" s="3"/>
      <c r="Y105" s="3"/>
      <c r="Z105" s="3"/>
      <c r="AA105" s="3"/>
      <c r="AB105" s="3">
        <f t="shared" si="79"/>
        <v>729.9126</v>
      </c>
      <c r="AC105" s="24">
        <v>45338</v>
      </c>
      <c r="AD105" s="651"/>
    </row>
    <row r="106" spans="1:30">
      <c r="A106" s="279" t="s">
        <v>117</v>
      </c>
      <c r="B106" s="285" t="s">
        <v>117</v>
      </c>
      <c r="C106" s="285" t="s">
        <v>117</v>
      </c>
      <c r="D106" s="282" t="s">
        <v>117</v>
      </c>
      <c r="E106" s="233" t="s">
        <v>117</v>
      </c>
      <c r="F106" s="237"/>
      <c r="G106" s="238"/>
      <c r="H106" s="290" t="s">
        <v>555</v>
      </c>
      <c r="I106" s="53" t="s">
        <v>475</v>
      </c>
      <c r="J106" s="15" t="s">
        <v>307</v>
      </c>
      <c r="K106" s="244" t="s">
        <v>85</v>
      </c>
      <c r="L106" s="29">
        <v>3</v>
      </c>
      <c r="M106" s="30">
        <v>45337</v>
      </c>
      <c r="N106" s="30">
        <v>45346</v>
      </c>
      <c r="O106" s="427"/>
      <c r="P106" s="427"/>
      <c r="Q106" s="3">
        <v>1800</v>
      </c>
      <c r="R106" s="29">
        <v>9</v>
      </c>
      <c r="S106" s="3">
        <f>+Q106*R106</f>
        <v>16200</v>
      </c>
      <c r="T106" s="28">
        <v>0</v>
      </c>
      <c r="U106" s="3">
        <f>S106</f>
        <v>16200</v>
      </c>
      <c r="V106" s="50">
        <f>+U106*0.1</f>
        <v>1620</v>
      </c>
      <c r="W106" s="47">
        <f t="shared" ref="W106" si="83">+U106-V106</f>
        <v>14580</v>
      </c>
      <c r="X106" s="3"/>
      <c r="Y106" s="3"/>
      <c r="Z106" s="3"/>
      <c r="AA106" s="3"/>
      <c r="AB106" s="50">
        <f>V106</f>
        <v>1620</v>
      </c>
      <c r="AC106" s="24">
        <v>45355</v>
      </c>
      <c r="AD106" s="651"/>
    </row>
    <row r="107" spans="1:30">
      <c r="A107" s="279" t="s">
        <v>117</v>
      </c>
      <c r="B107" s="285" t="s">
        <v>117</v>
      </c>
      <c r="C107" s="285" t="s">
        <v>117</v>
      </c>
      <c r="D107" s="282" t="s">
        <v>117</v>
      </c>
      <c r="E107" s="233" t="s">
        <v>117</v>
      </c>
      <c r="F107" s="237">
        <v>5</v>
      </c>
      <c r="G107" s="238">
        <v>5</v>
      </c>
      <c r="H107" s="292" t="s">
        <v>554</v>
      </c>
      <c r="I107" s="410" t="s">
        <v>481</v>
      </c>
      <c r="J107" s="405" t="s">
        <v>476</v>
      </c>
      <c r="K107" s="183" t="s">
        <v>217</v>
      </c>
      <c r="L107" s="401">
        <v>2</v>
      </c>
      <c r="M107" s="402">
        <v>45337</v>
      </c>
      <c r="N107" s="402">
        <v>45338</v>
      </c>
      <c r="O107" s="463"/>
      <c r="P107" s="463"/>
      <c r="Q107" s="403">
        <v>750</v>
      </c>
      <c r="R107" s="401">
        <v>1</v>
      </c>
      <c r="S107" s="403">
        <f>+Q107*R107</f>
        <v>750</v>
      </c>
      <c r="T107" s="404">
        <v>-25.77</v>
      </c>
      <c r="U107" s="403">
        <f t="shared" ref="U107:U108" si="84">SUM(S107:T107)</f>
        <v>724.23</v>
      </c>
      <c r="V107" s="403"/>
      <c r="W107" s="403"/>
      <c r="X107" s="403"/>
      <c r="Y107" s="403"/>
      <c r="Z107" s="403"/>
      <c r="AA107" s="403"/>
      <c r="AB107" s="403"/>
      <c r="AC107" s="402">
        <v>45338</v>
      </c>
      <c r="AD107" s="655"/>
    </row>
    <row r="108" spans="1:30">
      <c r="A108" s="279" t="s">
        <v>117</v>
      </c>
      <c r="B108" s="285" t="s">
        <v>117</v>
      </c>
      <c r="C108" s="285" t="s">
        <v>117</v>
      </c>
      <c r="D108" s="282" t="s">
        <v>117</v>
      </c>
      <c r="E108" s="233" t="s">
        <v>117</v>
      </c>
      <c r="F108" s="237">
        <v>5</v>
      </c>
      <c r="G108" s="238">
        <v>5</v>
      </c>
      <c r="H108" s="292" t="s">
        <v>554</v>
      </c>
      <c r="I108" s="410" t="s">
        <v>479</v>
      </c>
      <c r="J108" s="405" t="s">
        <v>477</v>
      </c>
      <c r="K108" s="183" t="s">
        <v>217</v>
      </c>
      <c r="L108" s="401">
        <v>2</v>
      </c>
      <c r="M108" s="402">
        <v>45338</v>
      </c>
      <c r="N108" s="402">
        <v>45339</v>
      </c>
      <c r="O108" s="463"/>
      <c r="P108" s="463"/>
      <c r="Q108" s="403">
        <v>750</v>
      </c>
      <c r="R108" s="401">
        <v>1</v>
      </c>
      <c r="S108" s="403">
        <f>+Q108*R108</f>
        <v>750</v>
      </c>
      <c r="T108" s="404">
        <v>-25.88</v>
      </c>
      <c r="U108" s="403">
        <f t="shared" si="84"/>
        <v>724.12</v>
      </c>
      <c r="V108" s="403"/>
      <c r="W108" s="403"/>
      <c r="X108" s="403"/>
      <c r="Y108" s="403"/>
      <c r="Z108" s="403"/>
      <c r="AA108" s="403"/>
      <c r="AB108" s="403"/>
      <c r="AC108" s="402">
        <v>45339</v>
      </c>
      <c r="AD108" s="655"/>
    </row>
    <row r="109" spans="1:30">
      <c r="A109" s="279" t="s">
        <v>117</v>
      </c>
      <c r="B109" s="285" t="s">
        <v>117</v>
      </c>
      <c r="C109" s="285" t="s">
        <v>117</v>
      </c>
      <c r="D109" s="282" t="s">
        <v>117</v>
      </c>
      <c r="E109" s="233" t="s">
        <v>117</v>
      </c>
      <c r="F109" s="237">
        <v>5</v>
      </c>
      <c r="G109" s="238">
        <v>5</v>
      </c>
      <c r="H109" s="292" t="s">
        <v>554</v>
      </c>
      <c r="I109" s="410" t="s">
        <v>479</v>
      </c>
      <c r="J109" s="405" t="s">
        <v>477</v>
      </c>
      <c r="K109" s="183" t="s">
        <v>217</v>
      </c>
      <c r="L109" s="401">
        <v>2</v>
      </c>
      <c r="M109" s="402">
        <v>45338</v>
      </c>
      <c r="N109" s="402">
        <v>45339</v>
      </c>
      <c r="O109" s="463"/>
      <c r="P109" s="463"/>
      <c r="Q109" s="403">
        <v>750</v>
      </c>
      <c r="R109" s="401">
        <v>1</v>
      </c>
      <c r="S109" s="403">
        <f>+Q109*R109</f>
        <v>750</v>
      </c>
      <c r="T109" s="404">
        <v>0</v>
      </c>
      <c r="U109" s="403">
        <f t="shared" ref="U109" si="85">SUM(S109:T109)</f>
        <v>750</v>
      </c>
      <c r="V109" s="403"/>
      <c r="W109" s="403"/>
      <c r="X109" s="403"/>
      <c r="Y109" s="403"/>
      <c r="Z109" s="403"/>
      <c r="AA109" s="403"/>
      <c r="AB109" s="403"/>
      <c r="AC109" s="402">
        <v>45338</v>
      </c>
      <c r="AD109" s="655"/>
    </row>
    <row r="110" spans="1:30">
      <c r="A110" s="279" t="s">
        <v>117</v>
      </c>
      <c r="B110" s="285" t="s">
        <v>117</v>
      </c>
      <c r="C110" s="285" t="s">
        <v>117</v>
      </c>
      <c r="D110" s="282" t="s">
        <v>117</v>
      </c>
      <c r="E110" s="233" t="s">
        <v>117</v>
      </c>
      <c r="F110" s="237">
        <v>5</v>
      </c>
      <c r="G110" s="238">
        <v>5</v>
      </c>
      <c r="H110" s="292" t="s">
        <v>554</v>
      </c>
      <c r="I110" s="53" t="s">
        <v>488</v>
      </c>
      <c r="J110" s="53" t="s">
        <v>473</v>
      </c>
      <c r="K110" s="18" t="s">
        <v>23</v>
      </c>
      <c r="L110" s="29">
        <v>2</v>
      </c>
      <c r="M110" s="30">
        <v>45338</v>
      </c>
      <c r="N110" s="30">
        <v>45341</v>
      </c>
      <c r="O110" s="427"/>
      <c r="P110" s="427"/>
      <c r="Q110" s="3">
        <v>2000</v>
      </c>
      <c r="R110" s="1">
        <v>3</v>
      </c>
      <c r="S110" s="3">
        <f t="shared" si="69"/>
        <v>6000</v>
      </c>
      <c r="T110" s="28">
        <v>-206.91</v>
      </c>
      <c r="U110" s="3">
        <f t="shared" ref="U110:U111" si="86">SUM(S110:T110)</f>
        <v>5793.09</v>
      </c>
      <c r="V110" s="50">
        <f t="shared" ref="V110" si="87">+U110*0.18</f>
        <v>1042.7562</v>
      </c>
      <c r="W110" s="3">
        <f t="shared" ref="W110" si="88">+U110-V110</f>
        <v>4750.3338000000003</v>
      </c>
      <c r="X110" s="3"/>
      <c r="Y110" s="3"/>
      <c r="Z110" s="3"/>
      <c r="AA110" s="3"/>
      <c r="AB110" s="3">
        <f>V110</f>
        <v>1042.7562</v>
      </c>
      <c r="AC110" s="24">
        <v>45339</v>
      </c>
      <c r="AD110" s="651"/>
    </row>
    <row r="111" spans="1:30">
      <c r="A111" s="281" t="s">
        <v>117</v>
      </c>
      <c r="B111" s="285" t="s">
        <v>117</v>
      </c>
      <c r="C111" s="285" t="s">
        <v>117</v>
      </c>
      <c r="D111" s="282" t="s">
        <v>117</v>
      </c>
      <c r="E111" s="233" t="s">
        <v>117</v>
      </c>
      <c r="F111" s="237">
        <v>5</v>
      </c>
      <c r="G111" s="238">
        <v>5</v>
      </c>
      <c r="H111" s="292" t="s">
        <v>554</v>
      </c>
      <c r="I111" s="410" t="s">
        <v>410</v>
      </c>
      <c r="J111" s="410" t="s">
        <v>223</v>
      </c>
      <c r="K111" s="183" t="s">
        <v>217</v>
      </c>
      <c r="L111" s="401">
        <v>1</v>
      </c>
      <c r="M111" s="402">
        <v>45340</v>
      </c>
      <c r="N111" s="402">
        <v>45341</v>
      </c>
      <c r="O111" s="463"/>
      <c r="P111" s="463"/>
      <c r="Q111" s="403">
        <v>750</v>
      </c>
      <c r="R111" s="401">
        <v>1</v>
      </c>
      <c r="S111" s="403">
        <f t="shared" si="69"/>
        <v>750</v>
      </c>
      <c r="T111" s="404">
        <v>-25.86</v>
      </c>
      <c r="U111" s="403">
        <f t="shared" si="86"/>
        <v>724.14</v>
      </c>
      <c r="V111" s="403"/>
      <c r="W111" s="403"/>
      <c r="X111" s="403"/>
      <c r="Y111" s="403"/>
      <c r="Z111" s="403"/>
      <c r="AA111" s="403"/>
      <c r="AB111" s="403"/>
      <c r="AC111" s="402">
        <v>45341</v>
      </c>
      <c r="AD111" s="655"/>
    </row>
    <row r="112" spans="1:30">
      <c r="A112" s="279" t="s">
        <v>117</v>
      </c>
      <c r="B112" s="285" t="s">
        <v>117</v>
      </c>
      <c r="C112" s="285" t="s">
        <v>117</v>
      </c>
      <c r="D112" s="282" t="s">
        <v>117</v>
      </c>
      <c r="E112" s="233" t="s">
        <v>117</v>
      </c>
      <c r="F112" s="237">
        <v>5</v>
      </c>
      <c r="G112" s="238">
        <v>5</v>
      </c>
      <c r="H112" s="292" t="s">
        <v>554</v>
      </c>
      <c r="I112" s="53" t="s">
        <v>66</v>
      </c>
      <c r="J112" t="s">
        <v>43</v>
      </c>
      <c r="K112" s="4" t="s">
        <v>24</v>
      </c>
      <c r="L112" s="29">
        <v>2</v>
      </c>
      <c r="M112" s="30">
        <v>45341</v>
      </c>
      <c r="N112" s="30">
        <v>45343</v>
      </c>
      <c r="O112" s="427"/>
      <c r="P112" s="427"/>
      <c r="Q112" s="3">
        <v>1400</v>
      </c>
      <c r="R112" s="1">
        <v>2</v>
      </c>
      <c r="S112" s="3">
        <f t="shared" si="69"/>
        <v>2800</v>
      </c>
      <c r="T112" s="28">
        <v>-96.49</v>
      </c>
      <c r="U112" s="3">
        <f t="shared" si="44"/>
        <v>2703.51</v>
      </c>
      <c r="V112" s="50">
        <f t="shared" si="3"/>
        <v>486.6318</v>
      </c>
      <c r="W112" s="3">
        <f t="shared" si="4"/>
        <v>2216.8782000000001</v>
      </c>
      <c r="X112" s="3"/>
      <c r="Y112" s="3"/>
      <c r="Z112" s="3"/>
      <c r="AA112" s="3"/>
      <c r="AB112" s="3">
        <f>V112</f>
        <v>486.6318</v>
      </c>
      <c r="AC112" s="24">
        <v>45342</v>
      </c>
      <c r="AD112" s="651"/>
    </row>
    <row r="113" spans="1:34">
      <c r="A113" s="279" t="s">
        <v>117</v>
      </c>
      <c r="B113" s="285" t="s">
        <v>117</v>
      </c>
      <c r="C113" s="285" t="s">
        <v>117</v>
      </c>
      <c r="D113" s="282" t="s">
        <v>117</v>
      </c>
      <c r="E113" s="233" t="s">
        <v>117</v>
      </c>
      <c r="F113" s="237">
        <v>5</v>
      </c>
      <c r="G113" s="238"/>
      <c r="H113" s="292" t="s">
        <v>554</v>
      </c>
      <c r="I113" s="410" t="s">
        <v>494</v>
      </c>
      <c r="J113" s="405" t="s">
        <v>493</v>
      </c>
      <c r="K113" s="183" t="s">
        <v>217</v>
      </c>
      <c r="L113" s="401">
        <v>2</v>
      </c>
      <c r="M113" s="402">
        <v>45341</v>
      </c>
      <c r="N113" s="402">
        <v>45345</v>
      </c>
      <c r="O113" s="463"/>
      <c r="P113" s="463"/>
      <c r="Q113" s="403">
        <v>750</v>
      </c>
      <c r="R113" s="401">
        <v>2</v>
      </c>
      <c r="S113" s="403">
        <f>+Q113*R113</f>
        <v>1500</v>
      </c>
      <c r="T113" s="404">
        <v>-51.71</v>
      </c>
      <c r="U113" s="403">
        <f t="shared" ref="U113" si="89">SUM(S113:T113)</f>
        <v>1448.29</v>
      </c>
      <c r="V113" s="403"/>
      <c r="W113" s="403"/>
      <c r="X113" s="403"/>
      <c r="Y113" s="403"/>
      <c r="Z113" s="403"/>
      <c r="AA113" s="403"/>
      <c r="AB113" s="403"/>
      <c r="AC113" s="402">
        <v>45342</v>
      </c>
      <c r="AD113" s="655"/>
    </row>
    <row r="114" spans="1:34">
      <c r="A114" s="279" t="s">
        <v>117</v>
      </c>
      <c r="B114" s="285" t="s">
        <v>117</v>
      </c>
      <c r="C114" s="285" t="s">
        <v>117</v>
      </c>
      <c r="D114" s="282" t="s">
        <v>117</v>
      </c>
      <c r="E114" s="233" t="s">
        <v>117</v>
      </c>
      <c r="F114" s="237">
        <v>5</v>
      </c>
      <c r="G114" s="238">
        <v>5</v>
      </c>
      <c r="H114" s="292" t="s">
        <v>554</v>
      </c>
      <c r="I114" s="53" t="s">
        <v>480</v>
      </c>
      <c r="J114" t="s">
        <v>124</v>
      </c>
      <c r="K114" s="18" t="s">
        <v>23</v>
      </c>
      <c r="L114" s="29">
        <v>2</v>
      </c>
      <c r="M114" s="30">
        <v>44976</v>
      </c>
      <c r="N114" s="30">
        <v>45345</v>
      </c>
      <c r="O114" s="427"/>
      <c r="P114" s="427"/>
      <c r="Q114" s="3">
        <v>1592.5</v>
      </c>
      <c r="R114" s="1">
        <v>4</v>
      </c>
      <c r="S114" s="3">
        <f t="shared" si="69"/>
        <v>6370</v>
      </c>
      <c r="T114" s="28">
        <v>-219.83</v>
      </c>
      <c r="U114" s="3">
        <f t="shared" si="44"/>
        <v>6150.17</v>
      </c>
      <c r="V114" s="50">
        <f>+U114*0.18</f>
        <v>1107.0306</v>
      </c>
      <c r="W114" s="3">
        <f>+U114-V114</f>
        <v>5043.1394</v>
      </c>
      <c r="X114" s="3"/>
      <c r="Y114" s="3"/>
      <c r="Z114" s="3"/>
      <c r="AA114" s="3"/>
      <c r="AB114" s="3">
        <f>V114</f>
        <v>1107.0306</v>
      </c>
      <c r="AC114" s="24">
        <v>45342</v>
      </c>
      <c r="AD114" s="651"/>
    </row>
    <row r="115" spans="1:34">
      <c r="A115" s="279" t="s">
        <v>117</v>
      </c>
      <c r="B115" s="285" t="s">
        <v>117</v>
      </c>
      <c r="C115" s="285" t="s">
        <v>117</v>
      </c>
      <c r="D115" s="282" t="s">
        <v>117</v>
      </c>
      <c r="E115" s="233" t="s">
        <v>117</v>
      </c>
      <c r="F115" s="237">
        <v>5</v>
      </c>
      <c r="G115" s="238">
        <v>5</v>
      </c>
      <c r="H115" s="292" t="s">
        <v>554</v>
      </c>
      <c r="I115" s="53" t="s">
        <v>482</v>
      </c>
      <c r="J115" t="s">
        <v>36</v>
      </c>
      <c r="K115" s="4" t="s">
        <v>24</v>
      </c>
      <c r="L115" s="29">
        <v>2</v>
      </c>
      <c r="M115" s="30">
        <v>45343</v>
      </c>
      <c r="N115" s="30">
        <v>45345</v>
      </c>
      <c r="O115" s="427"/>
      <c r="P115" s="427"/>
      <c r="Q115" s="3">
        <v>1400</v>
      </c>
      <c r="R115" s="1">
        <v>2</v>
      </c>
      <c r="S115" s="3">
        <f t="shared" si="69"/>
        <v>2800</v>
      </c>
      <c r="T115" s="28">
        <v>-96.57</v>
      </c>
      <c r="U115" s="3">
        <f t="shared" si="2"/>
        <v>2703.43</v>
      </c>
      <c r="V115" s="50">
        <f t="shared" si="3"/>
        <v>486.61739999999998</v>
      </c>
      <c r="W115" s="3">
        <f t="shared" si="4"/>
        <v>2216.8125999999997</v>
      </c>
      <c r="X115" s="3"/>
      <c r="Y115" s="3"/>
      <c r="Z115" s="3"/>
      <c r="AA115" s="3"/>
      <c r="AB115" s="3">
        <f>V115</f>
        <v>486.61739999999998</v>
      </c>
      <c r="AC115" s="24">
        <v>45344</v>
      </c>
      <c r="AD115" s="651"/>
    </row>
    <row r="116" spans="1:34">
      <c r="A116" s="279" t="s">
        <v>117</v>
      </c>
      <c r="B116" s="285" t="s">
        <v>117</v>
      </c>
      <c r="C116" s="285" t="s">
        <v>117</v>
      </c>
      <c r="D116" s="282" t="s">
        <v>117</v>
      </c>
      <c r="E116" s="233" t="s">
        <v>117</v>
      </c>
      <c r="F116" s="237">
        <v>5</v>
      </c>
      <c r="G116" s="238">
        <v>5</v>
      </c>
      <c r="H116" s="292" t="s">
        <v>554</v>
      </c>
      <c r="I116" s="410" t="s">
        <v>550</v>
      </c>
      <c r="J116" s="405" t="s">
        <v>82</v>
      </c>
      <c r="K116" s="183" t="s">
        <v>217</v>
      </c>
      <c r="L116" s="401">
        <v>2</v>
      </c>
      <c r="M116" s="402">
        <v>45344</v>
      </c>
      <c r="N116" s="402">
        <v>45345</v>
      </c>
      <c r="O116" s="463"/>
      <c r="P116" s="463"/>
      <c r="Q116" s="403">
        <v>750</v>
      </c>
      <c r="R116" s="401">
        <v>1</v>
      </c>
      <c r="S116" s="403">
        <f t="shared" si="69"/>
        <v>750</v>
      </c>
      <c r="T116" s="404">
        <v>-25.88</v>
      </c>
      <c r="U116" s="403">
        <f t="shared" si="2"/>
        <v>724.12</v>
      </c>
      <c r="V116" s="403"/>
      <c r="W116" s="403"/>
      <c r="X116" s="403"/>
      <c r="Y116" s="403"/>
      <c r="Z116" s="403"/>
      <c r="AA116" s="403"/>
      <c r="AB116" s="403"/>
      <c r="AC116" s="402">
        <v>45345</v>
      </c>
      <c r="AD116" s="655"/>
    </row>
    <row r="117" spans="1:34">
      <c r="A117" s="279" t="s">
        <v>117</v>
      </c>
      <c r="B117" s="285" t="s">
        <v>117</v>
      </c>
      <c r="C117" s="285" t="s">
        <v>117</v>
      </c>
      <c r="D117" s="282" t="s">
        <v>117</v>
      </c>
      <c r="E117" s="233" t="s">
        <v>117</v>
      </c>
      <c r="F117" s="237">
        <v>5</v>
      </c>
      <c r="G117" s="238">
        <v>5</v>
      </c>
      <c r="H117" s="292" t="s">
        <v>554</v>
      </c>
      <c r="I117" s="53" t="s">
        <v>558</v>
      </c>
      <c r="J117" s="53" t="s">
        <v>270</v>
      </c>
      <c r="K117" s="76" t="s">
        <v>23</v>
      </c>
      <c r="L117" s="29">
        <v>2</v>
      </c>
      <c r="M117" s="30">
        <v>45345</v>
      </c>
      <c r="N117" s="30">
        <v>45347</v>
      </c>
      <c r="O117" s="427"/>
      <c r="P117" s="427"/>
      <c r="Q117" s="50">
        <v>2000</v>
      </c>
      <c r="R117" s="29">
        <v>2</v>
      </c>
      <c r="S117" s="3">
        <f>+Q117*R117</f>
        <v>4000</v>
      </c>
      <c r="T117" s="28">
        <v>-137.41</v>
      </c>
      <c r="U117" s="3">
        <f t="shared" ref="U117" si="90">SUM(S117:T117)</f>
        <v>3862.59</v>
      </c>
      <c r="V117" s="50">
        <f t="shared" ref="V117" si="91">+U117*0.18</f>
        <v>695.26620000000003</v>
      </c>
      <c r="W117" s="3">
        <f t="shared" ref="W117" si="92">+U117-V117</f>
        <v>3167.3238000000001</v>
      </c>
      <c r="X117" s="3"/>
      <c r="Y117" s="3"/>
      <c r="Z117" s="3"/>
      <c r="AA117" s="3"/>
      <c r="AB117" s="3">
        <f>V117</f>
        <v>695.26620000000003</v>
      </c>
      <c r="AC117" s="24">
        <v>45346</v>
      </c>
      <c r="AD117" s="651"/>
    </row>
    <row r="118" spans="1:34">
      <c r="A118" s="279" t="s">
        <v>117</v>
      </c>
      <c r="B118" s="285" t="s">
        <v>117</v>
      </c>
      <c r="C118" s="285" t="s">
        <v>117</v>
      </c>
      <c r="D118" s="282" t="s">
        <v>117</v>
      </c>
      <c r="E118" s="233" t="s">
        <v>117</v>
      </c>
      <c r="F118" s="237">
        <v>5</v>
      </c>
      <c r="G118" s="238">
        <v>5</v>
      </c>
      <c r="H118" s="292" t="s">
        <v>554</v>
      </c>
      <c r="I118" s="53" t="s">
        <v>27</v>
      </c>
      <c r="J118" s="43" t="s">
        <v>28</v>
      </c>
      <c r="K118" s="44" t="s">
        <v>24</v>
      </c>
      <c r="L118" s="54">
        <v>2</v>
      </c>
      <c r="M118" s="55">
        <v>45346</v>
      </c>
      <c r="N118" s="55">
        <v>45352</v>
      </c>
      <c r="O118" s="428"/>
      <c r="P118" s="428"/>
      <c r="Q118" s="47">
        <v>1120</v>
      </c>
      <c r="R118" s="48">
        <v>6</v>
      </c>
      <c r="S118" s="47">
        <f t="shared" si="69"/>
        <v>6720</v>
      </c>
      <c r="T118" s="49">
        <v>-231.94</v>
      </c>
      <c r="U118" s="47">
        <f t="shared" si="2"/>
        <v>6488.06</v>
      </c>
      <c r="V118" s="62">
        <f t="shared" si="3"/>
        <v>1167.8507999999999</v>
      </c>
      <c r="W118" s="47">
        <f t="shared" si="4"/>
        <v>5320.2092000000002</v>
      </c>
      <c r="X118" s="47"/>
      <c r="Y118" s="47"/>
      <c r="Z118" s="47"/>
      <c r="AA118" s="47"/>
      <c r="AB118" s="3">
        <f>V118</f>
        <v>1167.8507999999999</v>
      </c>
      <c r="AC118" s="24">
        <v>45347</v>
      </c>
      <c r="AD118" s="651"/>
    </row>
    <row r="119" spans="1:34">
      <c r="A119" s="279" t="s">
        <v>117</v>
      </c>
      <c r="B119" s="285" t="s">
        <v>117</v>
      </c>
      <c r="C119" s="285" t="s">
        <v>117</v>
      </c>
      <c r="D119" s="282" t="s">
        <v>117</v>
      </c>
      <c r="E119" s="233" t="s">
        <v>117</v>
      </c>
      <c r="F119" s="237">
        <v>5</v>
      </c>
      <c r="G119" s="238">
        <v>5</v>
      </c>
      <c r="H119" s="292" t="s">
        <v>554</v>
      </c>
      <c r="I119" s="410" t="s">
        <v>366</v>
      </c>
      <c r="J119" s="405" t="s">
        <v>367</v>
      </c>
      <c r="K119" s="183" t="s">
        <v>217</v>
      </c>
      <c r="L119" s="401">
        <v>2</v>
      </c>
      <c r="M119" s="402">
        <v>45346</v>
      </c>
      <c r="N119" s="402">
        <v>45347</v>
      </c>
      <c r="O119" s="463"/>
      <c r="P119" s="463"/>
      <c r="Q119" s="403">
        <v>656</v>
      </c>
      <c r="R119" s="401">
        <v>1</v>
      </c>
      <c r="S119" s="403">
        <f>+Q119*R119</f>
        <v>656</v>
      </c>
      <c r="T119" s="404">
        <v>-22.63</v>
      </c>
      <c r="U119" s="403">
        <f>+S119+T119</f>
        <v>633.37</v>
      </c>
      <c r="V119" s="403"/>
      <c r="W119" s="403"/>
      <c r="X119" s="405"/>
      <c r="Y119" s="405"/>
      <c r="Z119" s="405"/>
      <c r="AA119" s="405"/>
      <c r="AB119" s="403"/>
      <c r="AC119" s="402">
        <v>45347</v>
      </c>
      <c r="AD119" s="655"/>
    </row>
    <row r="120" spans="1:34">
      <c r="A120" s="279" t="s">
        <v>117</v>
      </c>
      <c r="B120" s="285" t="s">
        <v>117</v>
      </c>
      <c r="C120" s="285" t="s">
        <v>117</v>
      </c>
      <c r="D120" s="282" t="s">
        <v>117</v>
      </c>
      <c r="E120" s="233" t="s">
        <v>117</v>
      </c>
      <c r="F120" s="237">
        <v>5</v>
      </c>
      <c r="G120" s="238">
        <v>5</v>
      </c>
      <c r="H120" s="292" t="s">
        <v>554</v>
      </c>
      <c r="I120" s="410" t="s">
        <v>496</v>
      </c>
      <c r="J120" s="405" t="s">
        <v>201</v>
      </c>
      <c r="K120" s="183" t="s">
        <v>217</v>
      </c>
      <c r="L120" s="401">
        <v>1</v>
      </c>
      <c r="M120" s="402">
        <v>45347</v>
      </c>
      <c r="N120" s="402">
        <v>45348</v>
      </c>
      <c r="O120" s="463"/>
      <c r="P120" s="463"/>
      <c r="Q120" s="403">
        <v>750</v>
      </c>
      <c r="R120" s="401">
        <v>1</v>
      </c>
      <c r="S120" s="403">
        <f>+Q120*R120</f>
        <v>750</v>
      </c>
      <c r="T120" s="404">
        <v>-25.77</v>
      </c>
      <c r="U120" s="403">
        <f>+S120+T120</f>
        <v>724.23</v>
      </c>
      <c r="V120" s="403"/>
      <c r="W120" s="403"/>
      <c r="X120" s="405"/>
      <c r="Y120" s="405"/>
      <c r="Z120" s="405"/>
      <c r="AA120" s="405"/>
      <c r="AB120" s="403"/>
      <c r="AC120" s="402">
        <v>45348</v>
      </c>
      <c r="AD120" s="655"/>
    </row>
    <row r="121" spans="1:34">
      <c r="A121" s="279" t="s">
        <v>117</v>
      </c>
      <c r="B121" s="285" t="s">
        <v>117</v>
      </c>
      <c r="C121" s="285" t="s">
        <v>117</v>
      </c>
      <c r="D121" s="282" t="s">
        <v>117</v>
      </c>
      <c r="E121" s="233" t="s">
        <v>117</v>
      </c>
      <c r="F121" s="237">
        <v>5</v>
      </c>
      <c r="G121" s="238">
        <v>5</v>
      </c>
      <c r="H121" s="292" t="s">
        <v>554</v>
      </c>
      <c r="I121" s="53" t="s">
        <v>551</v>
      </c>
      <c r="J121" t="s">
        <v>495</v>
      </c>
      <c r="K121" s="76" t="s">
        <v>23</v>
      </c>
      <c r="L121" s="29">
        <v>2</v>
      </c>
      <c r="M121" s="30">
        <v>45347</v>
      </c>
      <c r="N121" s="30">
        <v>45349</v>
      </c>
      <c r="O121" s="427"/>
      <c r="P121" s="427"/>
      <c r="Q121" s="3">
        <v>2500</v>
      </c>
      <c r="R121" s="1">
        <v>2</v>
      </c>
      <c r="S121" s="3">
        <f>+Q121*R121</f>
        <v>5000</v>
      </c>
      <c r="T121" s="28">
        <v>-172.51</v>
      </c>
      <c r="U121" s="47">
        <f t="shared" ref="U121" si="93">SUM(S121:T121)</f>
        <v>4827.49</v>
      </c>
      <c r="V121" s="62">
        <f t="shared" ref="V121" si="94">+U121*0.18</f>
        <v>868.94819999999993</v>
      </c>
      <c r="W121" s="47">
        <f t="shared" ref="W121" si="95">+U121-V121</f>
        <v>3958.5418</v>
      </c>
      <c r="AB121" s="3">
        <f>V121</f>
        <v>868.94819999999993</v>
      </c>
      <c r="AC121" s="24">
        <v>45348</v>
      </c>
      <c r="AD121" s="651"/>
    </row>
    <row r="122" spans="1:34">
      <c r="A122" s="279" t="s">
        <v>117</v>
      </c>
      <c r="B122" s="285" t="s">
        <v>117</v>
      </c>
      <c r="C122" s="285" t="s">
        <v>117</v>
      </c>
      <c r="D122" s="282" t="s">
        <v>117</v>
      </c>
      <c r="E122" s="233" t="s">
        <v>117</v>
      </c>
      <c r="F122" s="237">
        <v>5</v>
      </c>
      <c r="G122" s="238">
        <v>5</v>
      </c>
      <c r="H122" s="292" t="s">
        <v>554</v>
      </c>
      <c r="I122" s="410" t="s">
        <v>559</v>
      </c>
      <c r="J122" s="405" t="s">
        <v>560</v>
      </c>
      <c r="K122" s="229" t="s">
        <v>217</v>
      </c>
      <c r="L122" s="401">
        <v>1</v>
      </c>
      <c r="M122" s="402">
        <v>45348</v>
      </c>
      <c r="N122" s="402">
        <v>45350</v>
      </c>
      <c r="O122" s="463"/>
      <c r="P122" s="463"/>
      <c r="Q122" s="403">
        <v>750</v>
      </c>
      <c r="R122" s="401">
        <v>2</v>
      </c>
      <c r="S122" s="403">
        <f>+Q122*R122</f>
        <v>1500</v>
      </c>
      <c r="T122" s="404">
        <v>-51.72</v>
      </c>
      <c r="U122" s="403">
        <f>+S122+T122</f>
        <v>1448.28</v>
      </c>
      <c r="V122" s="403"/>
      <c r="W122" s="403"/>
      <c r="X122" s="405"/>
      <c r="Y122" s="405"/>
      <c r="Z122" s="405"/>
      <c r="AA122" s="405"/>
      <c r="AB122" s="403"/>
      <c r="AC122" s="402">
        <v>45349</v>
      </c>
      <c r="AD122" s="655"/>
    </row>
    <row r="123" spans="1:34">
      <c r="A123" s="279" t="s">
        <v>117</v>
      </c>
      <c r="B123" s="285" t="s">
        <v>117</v>
      </c>
      <c r="C123" s="285" t="s">
        <v>117</v>
      </c>
      <c r="D123" s="282" t="s">
        <v>117</v>
      </c>
      <c r="E123" s="233" t="s">
        <v>117</v>
      </c>
      <c r="F123" s="237">
        <v>5</v>
      </c>
      <c r="G123" s="238">
        <v>5</v>
      </c>
      <c r="H123" s="292" t="s">
        <v>554</v>
      </c>
      <c r="I123" s="53" t="s">
        <v>171</v>
      </c>
      <c r="J123" s="43" t="s">
        <v>172</v>
      </c>
      <c r="K123" s="76" t="s">
        <v>23</v>
      </c>
      <c r="L123" s="54">
        <v>2</v>
      </c>
      <c r="M123" s="55">
        <v>45349</v>
      </c>
      <c r="N123" s="55">
        <v>45353</v>
      </c>
      <c r="O123" s="428"/>
      <c r="P123" s="428"/>
      <c r="Q123" s="47">
        <v>1517.5</v>
      </c>
      <c r="R123" s="48">
        <v>4</v>
      </c>
      <c r="S123" s="47">
        <f t="shared" ref="S123:S140" si="96">+Q123*R123</f>
        <v>6070</v>
      </c>
      <c r="T123" s="49">
        <f>-209.82</f>
        <v>-209.82</v>
      </c>
      <c r="U123" s="47">
        <v>5860.68</v>
      </c>
      <c r="V123" s="62">
        <f t="shared" ref="V123:V140" si="97">+U123*0.18</f>
        <v>1054.9223999999999</v>
      </c>
      <c r="W123" s="47">
        <f t="shared" ref="W123:W140" si="98">+U123-V123</f>
        <v>4805.7576000000008</v>
      </c>
      <c r="X123" s="47"/>
      <c r="Y123" s="47"/>
      <c r="Z123" s="47"/>
      <c r="AA123" s="47"/>
      <c r="AB123" s="47">
        <f>V123</f>
        <v>1054.9223999999999</v>
      </c>
      <c r="AC123" s="101">
        <v>45352</v>
      </c>
      <c r="AD123" s="651"/>
    </row>
    <row r="124" spans="1:34" ht="15" thickBot="1">
      <c r="A124" s="279" t="s">
        <v>117</v>
      </c>
      <c r="B124" s="302" t="s">
        <v>117</v>
      </c>
      <c r="C124" s="302" t="s">
        <v>117</v>
      </c>
      <c r="D124" s="303" t="s">
        <v>117</v>
      </c>
      <c r="E124" s="304" t="s">
        <v>117</v>
      </c>
      <c r="F124" s="238">
        <v>5</v>
      </c>
      <c r="G124" s="238"/>
      <c r="H124" s="301" t="s">
        <v>572</v>
      </c>
      <c r="I124" s="410" t="s">
        <v>573</v>
      </c>
      <c r="J124" s="410" t="s">
        <v>107</v>
      </c>
      <c r="K124" s="229" t="s">
        <v>217</v>
      </c>
      <c r="L124" s="407">
        <v>1</v>
      </c>
      <c r="M124" s="408">
        <v>45350</v>
      </c>
      <c r="N124" s="408">
        <v>45351</v>
      </c>
      <c r="O124" s="449"/>
      <c r="P124" s="449"/>
      <c r="Q124" s="406">
        <v>750</v>
      </c>
      <c r="R124" s="407">
        <v>1</v>
      </c>
      <c r="S124" s="406">
        <f t="shared" si="96"/>
        <v>750</v>
      </c>
      <c r="T124" s="409">
        <v>0</v>
      </c>
      <c r="U124" s="406">
        <f>S124</f>
        <v>750</v>
      </c>
      <c r="V124" s="406"/>
      <c r="W124" s="406"/>
      <c r="X124" s="406"/>
      <c r="Y124" s="406"/>
      <c r="Z124" s="406"/>
      <c r="AA124" s="406"/>
      <c r="AB124" s="406"/>
      <c r="AC124" s="408">
        <v>45350</v>
      </c>
      <c r="AD124" s="529"/>
    </row>
    <row r="125" spans="1:34" ht="15" thickBot="1">
      <c r="A125" s="280" t="s">
        <v>117</v>
      </c>
      <c r="B125" s="286" t="s">
        <v>117</v>
      </c>
      <c r="C125" s="286" t="s">
        <v>117</v>
      </c>
      <c r="D125" s="283" t="s">
        <v>117</v>
      </c>
      <c r="E125" s="234" t="s">
        <v>117</v>
      </c>
      <c r="F125" s="239">
        <v>5</v>
      </c>
      <c r="G125" s="239"/>
      <c r="H125" s="293" t="s">
        <v>554</v>
      </c>
      <c r="I125" s="466" t="s">
        <v>574</v>
      </c>
      <c r="J125" s="467" t="s">
        <v>223</v>
      </c>
      <c r="K125" s="243" t="s">
        <v>217</v>
      </c>
      <c r="L125" s="411">
        <v>1</v>
      </c>
      <c r="M125" s="412">
        <v>45351</v>
      </c>
      <c r="N125" s="412">
        <v>45352</v>
      </c>
      <c r="O125" s="468"/>
      <c r="P125" s="468"/>
      <c r="Q125" s="413">
        <v>850</v>
      </c>
      <c r="R125" s="411">
        <v>1</v>
      </c>
      <c r="S125" s="413">
        <f>+Q125*R125</f>
        <v>850</v>
      </c>
      <c r="T125" s="414">
        <v>-29.32</v>
      </c>
      <c r="U125" s="413">
        <f>+S125+T125</f>
        <v>820.68</v>
      </c>
      <c r="V125" s="413"/>
      <c r="W125" s="413"/>
      <c r="X125" s="413"/>
      <c r="Y125" s="413"/>
      <c r="Z125" s="413"/>
      <c r="AA125" s="413"/>
      <c r="AB125" s="413"/>
      <c r="AC125" s="412">
        <v>45352</v>
      </c>
      <c r="AD125" s="656"/>
      <c r="AE125" s="650" t="s">
        <v>464</v>
      </c>
      <c r="AF125" s="310" t="s">
        <v>465</v>
      </c>
      <c r="AG125" s="325" t="s">
        <v>59</v>
      </c>
      <c r="AH125" s="311" t="s">
        <v>466</v>
      </c>
    </row>
    <row r="126" spans="1:34" s="6" customFormat="1" ht="15" thickBot="1">
      <c r="A126" s="536" t="s">
        <v>730</v>
      </c>
      <c r="B126" s="530"/>
      <c r="C126" s="530"/>
      <c r="D126" s="530"/>
      <c r="E126" s="530"/>
      <c r="F126" s="530"/>
      <c r="G126" s="530"/>
      <c r="H126" s="531"/>
      <c r="I126" s="525"/>
      <c r="J126" s="532"/>
      <c r="K126" s="517"/>
      <c r="L126" s="518"/>
      <c r="M126" s="519"/>
      <c r="N126" s="519"/>
      <c r="O126" s="520"/>
      <c r="P126" s="520"/>
      <c r="Q126" s="521"/>
      <c r="R126" s="518"/>
      <c r="S126" s="521"/>
      <c r="T126" s="522"/>
      <c r="U126" s="521"/>
      <c r="V126" s="542">
        <f>SUM(V88:V125)</f>
        <v>18475.050199999994</v>
      </c>
      <c r="W126" s="523">
        <f>SUM(W88:W125)</f>
        <v>106506.4198</v>
      </c>
      <c r="X126" s="527">
        <f>SUM(X88:X125)</f>
        <v>0</v>
      </c>
      <c r="Y126" s="521"/>
      <c r="Z126" s="521"/>
      <c r="AA126" s="521"/>
      <c r="AB126" s="524">
        <f>SUM(AB88:AB125)</f>
        <v>18475.050199999994</v>
      </c>
      <c r="AC126" s="519"/>
      <c r="AD126" s="529">
        <v>16394</v>
      </c>
      <c r="AE126" s="647">
        <f>AB126</f>
        <v>18475.050199999994</v>
      </c>
      <c r="AF126" s="537">
        <v>3500</v>
      </c>
      <c r="AG126" s="538">
        <f>SUM(AE126:AF126)</f>
        <v>21975.050199999994</v>
      </c>
      <c r="AH126" s="539">
        <f>+AG126/3</f>
        <v>7325.0167333333311</v>
      </c>
    </row>
    <row r="127" spans="1:34">
      <c r="A127" s="279" t="s">
        <v>117</v>
      </c>
      <c r="B127" s="285" t="s">
        <v>117</v>
      </c>
      <c r="C127" s="285" t="s">
        <v>117</v>
      </c>
      <c r="D127" s="282" t="s">
        <v>117</v>
      </c>
      <c r="E127" s="233" t="s">
        <v>117</v>
      </c>
      <c r="F127" s="237">
        <v>5</v>
      </c>
      <c r="G127" s="238">
        <v>5</v>
      </c>
      <c r="H127" s="292" t="s">
        <v>554</v>
      </c>
      <c r="I127" s="53" t="s">
        <v>311</v>
      </c>
      <c r="J127" s="53" t="s">
        <v>124</v>
      </c>
      <c r="K127" s="44" t="s">
        <v>24</v>
      </c>
      <c r="L127" s="29">
        <v>2</v>
      </c>
      <c r="M127" s="30">
        <v>45352</v>
      </c>
      <c r="N127" s="30">
        <v>45355</v>
      </c>
      <c r="O127" s="427"/>
      <c r="P127" s="427"/>
      <c r="Q127" s="50">
        <v>2026.67</v>
      </c>
      <c r="R127" s="29">
        <v>3</v>
      </c>
      <c r="S127" s="47">
        <f>+Q127*R127</f>
        <v>6080.01</v>
      </c>
      <c r="T127" s="49">
        <v>-209.81</v>
      </c>
      <c r="U127" s="47">
        <f t="shared" ref="U127" si="99">SUM(S127:T127)</f>
        <v>5870.2</v>
      </c>
      <c r="V127" s="62">
        <f t="shared" ref="V127" si="100">+U127*0.18</f>
        <v>1056.636</v>
      </c>
      <c r="W127" s="47">
        <f t="shared" ref="W127" si="101">+U127-V127</f>
        <v>4813.5640000000003</v>
      </c>
      <c r="X127" s="3"/>
      <c r="Y127" s="3"/>
      <c r="Z127" s="3"/>
      <c r="AA127" s="3"/>
      <c r="AB127" s="3">
        <f>V127</f>
        <v>1056.636</v>
      </c>
      <c r="AC127" s="24">
        <v>45353</v>
      </c>
      <c r="AD127" s="651"/>
    </row>
    <row r="128" spans="1:34">
      <c r="A128" s="279" t="s">
        <v>117</v>
      </c>
      <c r="B128" s="285" t="s">
        <v>117</v>
      </c>
      <c r="C128" s="285" t="s">
        <v>117</v>
      </c>
      <c r="D128" s="282" t="s">
        <v>117</v>
      </c>
      <c r="E128" s="233" t="s">
        <v>117</v>
      </c>
      <c r="F128" s="237" t="s">
        <v>454</v>
      </c>
      <c r="G128" s="238">
        <v>10</v>
      </c>
      <c r="H128" s="294" t="s">
        <v>557</v>
      </c>
      <c r="I128" s="410" t="s">
        <v>581</v>
      </c>
      <c r="J128" s="410" t="s">
        <v>124</v>
      </c>
      <c r="K128" s="229" t="s">
        <v>217</v>
      </c>
      <c r="L128" s="401">
        <v>2</v>
      </c>
      <c r="M128" s="402">
        <v>45352</v>
      </c>
      <c r="N128" s="402">
        <v>45353</v>
      </c>
      <c r="O128" s="463"/>
      <c r="P128" s="463"/>
      <c r="Q128" s="403">
        <v>761.4</v>
      </c>
      <c r="R128" s="401">
        <v>1</v>
      </c>
      <c r="S128" s="406">
        <f>+Q128*R128</f>
        <v>761.4</v>
      </c>
      <c r="T128" s="409">
        <v>0</v>
      </c>
      <c r="U128" s="406">
        <f>S128</f>
        <v>761.4</v>
      </c>
      <c r="V128" s="406"/>
      <c r="W128" s="406"/>
      <c r="X128" s="403"/>
      <c r="Y128" s="403"/>
      <c r="Z128" s="403"/>
      <c r="AA128" s="403"/>
      <c r="AB128" s="403"/>
      <c r="AC128" s="402">
        <v>45353</v>
      </c>
      <c r="AD128" s="655"/>
    </row>
    <row r="129" spans="1:31">
      <c r="A129" s="279" t="s">
        <v>117</v>
      </c>
      <c r="B129" s="285" t="s">
        <v>117</v>
      </c>
      <c r="C129" s="285" t="s">
        <v>117</v>
      </c>
      <c r="D129" s="282" t="s">
        <v>117</v>
      </c>
      <c r="E129" s="233" t="s">
        <v>117</v>
      </c>
      <c r="F129" s="237"/>
      <c r="G129" s="238"/>
      <c r="H129" s="290" t="s">
        <v>555</v>
      </c>
      <c r="I129" s="227" t="s">
        <v>604</v>
      </c>
      <c r="J129" s="43" t="s">
        <v>75</v>
      </c>
      <c r="K129" s="59" t="s">
        <v>87</v>
      </c>
      <c r="L129" s="54">
        <v>2</v>
      </c>
      <c r="M129" s="55">
        <v>45352</v>
      </c>
      <c r="N129" s="55">
        <v>45371</v>
      </c>
      <c r="O129" s="428"/>
      <c r="P129" s="428"/>
      <c r="Q129" s="47">
        <f>+U129/19</f>
        <v>539.47368421052636</v>
      </c>
      <c r="R129" s="48">
        <v>19</v>
      </c>
      <c r="S129" s="47">
        <f>+Q129*R129</f>
        <v>10250</v>
      </c>
      <c r="T129" s="49">
        <v>0</v>
      </c>
      <c r="U129" s="47">
        <v>10250</v>
      </c>
      <c r="V129" s="50">
        <f>0.05*U129</f>
        <v>512.5</v>
      </c>
      <c r="W129" s="47">
        <f>+U129-V129</f>
        <v>9737.5</v>
      </c>
      <c r="X129" s="3"/>
      <c r="Y129" s="3"/>
      <c r="Z129" s="3"/>
      <c r="AA129" s="3"/>
      <c r="AB129" s="50">
        <f>V129</f>
        <v>512.5</v>
      </c>
      <c r="AC129" s="24">
        <v>45362</v>
      </c>
      <c r="AD129" s="651"/>
      <c r="AE129" s="3"/>
    </row>
    <row r="130" spans="1:31">
      <c r="A130" s="279" t="s">
        <v>117</v>
      </c>
      <c r="B130" s="302" t="s">
        <v>117</v>
      </c>
      <c r="C130" s="302" t="s">
        <v>117</v>
      </c>
      <c r="D130" s="303" t="s">
        <v>117</v>
      </c>
      <c r="E130" s="304" t="s">
        <v>117</v>
      </c>
      <c r="F130" s="238" t="s">
        <v>454</v>
      </c>
      <c r="G130" s="238"/>
      <c r="H130" s="294" t="s">
        <v>557</v>
      </c>
      <c r="I130" s="410" t="s">
        <v>575</v>
      </c>
      <c r="J130" s="410" t="s">
        <v>107</v>
      </c>
      <c r="K130" s="229" t="s">
        <v>217</v>
      </c>
      <c r="L130" s="407">
        <v>1</v>
      </c>
      <c r="M130" s="408">
        <v>45353</v>
      </c>
      <c r="N130" s="408">
        <v>45356</v>
      </c>
      <c r="O130" s="449"/>
      <c r="P130" s="449"/>
      <c r="Q130" s="406">
        <f>+S130/3</f>
        <v>846</v>
      </c>
      <c r="R130" s="407">
        <v>3</v>
      </c>
      <c r="S130" s="406">
        <v>2538</v>
      </c>
      <c r="T130" s="409">
        <v>0</v>
      </c>
      <c r="U130" s="406">
        <f>S130</f>
        <v>2538</v>
      </c>
      <c r="V130" s="406"/>
      <c r="W130" s="406"/>
      <c r="X130" s="406"/>
      <c r="Y130" s="406"/>
      <c r="Z130" s="406"/>
      <c r="AA130" s="406"/>
      <c r="AB130" s="406"/>
      <c r="AC130" s="408">
        <v>45356</v>
      </c>
      <c r="AD130" s="655"/>
    </row>
    <row r="131" spans="1:31">
      <c r="A131" s="279" t="s">
        <v>117</v>
      </c>
      <c r="B131" s="285" t="s">
        <v>117</v>
      </c>
      <c r="C131" s="285" t="s">
        <v>117</v>
      </c>
      <c r="D131" s="282" t="s">
        <v>117</v>
      </c>
      <c r="E131" s="233" t="s">
        <v>117</v>
      </c>
      <c r="F131" s="237">
        <v>5</v>
      </c>
      <c r="G131" s="238">
        <v>5</v>
      </c>
      <c r="H131" s="292" t="s">
        <v>554</v>
      </c>
      <c r="I131" s="53" t="s">
        <v>163</v>
      </c>
      <c r="J131" s="53" t="s">
        <v>69</v>
      </c>
      <c r="K131" s="76" t="s">
        <v>23</v>
      </c>
      <c r="L131" s="29">
        <v>2</v>
      </c>
      <c r="M131" s="30">
        <v>45354</v>
      </c>
      <c r="N131" s="30">
        <v>45357</v>
      </c>
      <c r="O131" s="427"/>
      <c r="P131" s="427"/>
      <c r="Q131" s="3">
        <v>1500</v>
      </c>
      <c r="R131" s="1">
        <v>3</v>
      </c>
      <c r="S131" s="3">
        <f>+Q131*R131</f>
        <v>4500</v>
      </c>
      <c r="T131" s="28">
        <v>-155.16999999999999</v>
      </c>
      <c r="U131" s="3">
        <f>SUM(S131:T131)</f>
        <v>4344.83</v>
      </c>
      <c r="V131" s="50">
        <f>+U131*0.18</f>
        <v>782.06939999999997</v>
      </c>
      <c r="W131" s="3">
        <f>+U131-V131</f>
        <v>3562.7606000000001</v>
      </c>
      <c r="X131" s="3"/>
      <c r="Y131" s="3"/>
      <c r="Z131" s="3"/>
      <c r="AA131" s="3"/>
      <c r="AB131" s="50">
        <f>1200+782.07</f>
        <v>1982.0700000000002</v>
      </c>
      <c r="AC131" s="24">
        <v>45355</v>
      </c>
      <c r="AD131" s="651"/>
      <c r="AE131" s="122" t="s">
        <v>1292</v>
      </c>
    </row>
    <row r="132" spans="1:31">
      <c r="A132" s="279" t="s">
        <v>117</v>
      </c>
      <c r="B132" s="285" t="s">
        <v>117</v>
      </c>
      <c r="C132" s="285" t="s">
        <v>117</v>
      </c>
      <c r="D132" s="282" t="s">
        <v>117</v>
      </c>
      <c r="E132" s="233" t="s">
        <v>117</v>
      </c>
      <c r="F132" s="237">
        <v>5</v>
      </c>
      <c r="G132" s="238">
        <v>5</v>
      </c>
      <c r="H132" s="292" t="s">
        <v>554</v>
      </c>
      <c r="I132" s="53" t="s">
        <v>78</v>
      </c>
      <c r="J132" t="s">
        <v>79</v>
      </c>
      <c r="K132" s="4" t="s">
        <v>24</v>
      </c>
      <c r="L132" s="29">
        <v>2</v>
      </c>
      <c r="M132" s="30">
        <v>45355</v>
      </c>
      <c r="N132" s="30">
        <v>45359</v>
      </c>
      <c r="O132" s="427"/>
      <c r="P132" s="427"/>
      <c r="Q132" s="3">
        <v>1400</v>
      </c>
      <c r="R132" s="1">
        <v>4</v>
      </c>
      <c r="S132" s="3">
        <f t="shared" si="96"/>
        <v>5600</v>
      </c>
      <c r="T132" s="28">
        <v>-193.18</v>
      </c>
      <c r="U132" s="3">
        <f t="shared" ref="U132:U140" si="102">SUM(S132:T132)</f>
        <v>5406.82</v>
      </c>
      <c r="V132" s="50">
        <f t="shared" si="97"/>
        <v>973.22759999999994</v>
      </c>
      <c r="W132" s="3">
        <f t="shared" si="98"/>
        <v>4433.5923999999995</v>
      </c>
      <c r="X132" s="3"/>
      <c r="Y132" s="3"/>
      <c r="Z132" s="3"/>
      <c r="AA132" s="3"/>
      <c r="AB132" s="3">
        <f>V132</f>
        <v>973.22759999999994</v>
      </c>
      <c r="AC132" s="24">
        <v>45356</v>
      </c>
      <c r="AD132" s="651"/>
    </row>
    <row r="133" spans="1:31">
      <c r="A133" s="279" t="s">
        <v>117</v>
      </c>
      <c r="B133" s="285" t="s">
        <v>117</v>
      </c>
      <c r="C133" s="285" t="s">
        <v>117</v>
      </c>
      <c r="D133" s="282" t="s">
        <v>117</v>
      </c>
      <c r="E133" s="233" t="s">
        <v>117</v>
      </c>
      <c r="F133" s="237" t="s">
        <v>592</v>
      </c>
      <c r="G133" s="238">
        <v>10</v>
      </c>
      <c r="H133" s="294" t="s">
        <v>557</v>
      </c>
      <c r="I133" s="410" t="s">
        <v>577</v>
      </c>
      <c r="J133" s="405" t="s">
        <v>107</v>
      </c>
      <c r="K133" s="183" t="s">
        <v>217</v>
      </c>
      <c r="L133" s="401">
        <v>1</v>
      </c>
      <c r="M133" s="402">
        <v>45357</v>
      </c>
      <c r="N133" s="402">
        <v>45358</v>
      </c>
      <c r="O133" s="463"/>
      <c r="P133" s="463"/>
      <c r="Q133" s="403">
        <v>761.4</v>
      </c>
      <c r="R133" s="401">
        <v>1</v>
      </c>
      <c r="S133" s="403">
        <f t="shared" si="96"/>
        <v>761.4</v>
      </c>
      <c r="T133" s="404">
        <v>0</v>
      </c>
      <c r="U133" s="403">
        <f>S133</f>
        <v>761.4</v>
      </c>
      <c r="V133" s="403"/>
      <c r="W133" s="403"/>
      <c r="X133" s="403"/>
      <c r="Y133" s="403"/>
      <c r="Z133" s="403"/>
      <c r="AA133" s="403"/>
      <c r="AB133" s="403"/>
      <c r="AC133" s="402">
        <v>45358</v>
      </c>
      <c r="AD133" s="655"/>
    </row>
    <row r="134" spans="1:31">
      <c r="A134" s="279" t="s">
        <v>117</v>
      </c>
      <c r="B134" s="285" t="s">
        <v>117</v>
      </c>
      <c r="C134" s="285" t="s">
        <v>117</v>
      </c>
      <c r="D134" s="282" t="s">
        <v>117</v>
      </c>
      <c r="E134" s="233" t="s">
        <v>117</v>
      </c>
      <c r="F134" s="237" t="s">
        <v>454</v>
      </c>
      <c r="G134" s="238"/>
      <c r="H134" s="290" t="s">
        <v>555</v>
      </c>
      <c r="I134" s="410" t="s">
        <v>593</v>
      </c>
      <c r="J134" s="405" t="s">
        <v>28</v>
      </c>
      <c r="K134" s="183" t="s">
        <v>217</v>
      </c>
      <c r="L134" s="401">
        <v>2</v>
      </c>
      <c r="M134" s="402">
        <v>45358</v>
      </c>
      <c r="N134" s="402">
        <v>45360</v>
      </c>
      <c r="O134" s="463"/>
      <c r="P134" s="463"/>
      <c r="Q134" s="403">
        <v>850</v>
      </c>
      <c r="R134" s="401">
        <v>2</v>
      </c>
      <c r="S134" s="403">
        <f t="shared" si="96"/>
        <v>1700</v>
      </c>
      <c r="T134" s="404">
        <v>0</v>
      </c>
      <c r="U134" s="403">
        <f>S134</f>
        <v>1700</v>
      </c>
      <c r="V134" s="403"/>
      <c r="W134" s="403"/>
      <c r="X134" s="403"/>
      <c r="Y134" s="403"/>
      <c r="Z134" s="403"/>
      <c r="AA134" s="403"/>
      <c r="AB134" s="403"/>
      <c r="AC134" s="402">
        <v>45359</v>
      </c>
      <c r="AD134" s="655"/>
    </row>
    <row r="135" spans="1:31">
      <c r="A135" s="279" t="s">
        <v>117</v>
      </c>
      <c r="B135" s="285" t="s">
        <v>117</v>
      </c>
      <c r="C135" s="285" t="s">
        <v>117</v>
      </c>
      <c r="D135" s="282" t="s">
        <v>117</v>
      </c>
      <c r="E135" s="233" t="s">
        <v>117</v>
      </c>
      <c r="F135" s="237">
        <v>5</v>
      </c>
      <c r="G135" s="238">
        <v>5</v>
      </c>
      <c r="H135" s="292" t="s">
        <v>554</v>
      </c>
      <c r="I135" s="53" t="s">
        <v>88</v>
      </c>
      <c r="J135" t="s">
        <v>89</v>
      </c>
      <c r="K135" s="18" t="s">
        <v>23</v>
      </c>
      <c r="L135" s="29">
        <v>2</v>
      </c>
      <c r="M135" s="30">
        <v>45358</v>
      </c>
      <c r="N135" s="30">
        <v>45360</v>
      </c>
      <c r="O135" s="427"/>
      <c r="P135" s="427"/>
      <c r="Q135" s="3">
        <v>1500</v>
      </c>
      <c r="R135" s="1">
        <v>2</v>
      </c>
      <c r="S135" s="3">
        <f t="shared" si="96"/>
        <v>3000</v>
      </c>
      <c r="T135" s="28">
        <v>-103.47</v>
      </c>
      <c r="U135" s="3">
        <f t="shared" si="102"/>
        <v>2896.53</v>
      </c>
      <c r="V135" s="50">
        <f t="shared" si="97"/>
        <v>521.37540000000001</v>
      </c>
      <c r="W135" s="3">
        <f t="shared" si="98"/>
        <v>2375.1546000000003</v>
      </c>
      <c r="X135" s="3"/>
      <c r="Y135" s="3"/>
      <c r="Z135" s="3"/>
      <c r="AA135" s="3"/>
      <c r="AB135" s="3">
        <f>V135</f>
        <v>521.37540000000001</v>
      </c>
      <c r="AC135" s="24">
        <v>45359</v>
      </c>
      <c r="AD135" s="651"/>
    </row>
    <row r="136" spans="1:31">
      <c r="A136" s="279" t="s">
        <v>117</v>
      </c>
      <c r="B136" s="285" t="s">
        <v>117</v>
      </c>
      <c r="C136" s="285" t="s">
        <v>117</v>
      </c>
      <c r="D136" s="282" t="s">
        <v>117</v>
      </c>
      <c r="E136" s="233" t="s">
        <v>117</v>
      </c>
      <c r="F136" s="237" t="s">
        <v>592</v>
      </c>
      <c r="G136" s="238">
        <v>10</v>
      </c>
      <c r="H136" s="294" t="s">
        <v>557</v>
      </c>
      <c r="I136" s="410" t="s">
        <v>597</v>
      </c>
      <c r="J136" s="405" t="s">
        <v>124</v>
      </c>
      <c r="K136" s="183" t="s">
        <v>217</v>
      </c>
      <c r="L136" s="401">
        <v>2</v>
      </c>
      <c r="M136" s="402">
        <v>45360</v>
      </c>
      <c r="N136" s="402">
        <v>45365</v>
      </c>
      <c r="O136" s="463"/>
      <c r="P136" s="463"/>
      <c r="Q136" s="403">
        <f>+S136/5</f>
        <v>895.5</v>
      </c>
      <c r="R136" s="401">
        <v>5</v>
      </c>
      <c r="S136" s="403">
        <v>4477.5</v>
      </c>
      <c r="T136" s="404">
        <f>-671.62-114.85-94.03</f>
        <v>-880.5</v>
      </c>
      <c r="U136" s="403">
        <f>+S136+T136</f>
        <v>3597</v>
      </c>
      <c r="V136" s="403"/>
      <c r="W136" s="403"/>
      <c r="X136" s="403"/>
      <c r="Y136" s="403"/>
      <c r="Z136" s="403"/>
      <c r="AA136" s="403"/>
      <c r="AB136" s="403"/>
      <c r="AC136" s="402">
        <v>45372</v>
      </c>
      <c r="AD136" s="655"/>
    </row>
    <row r="137" spans="1:31">
      <c r="A137" s="279" t="s">
        <v>117</v>
      </c>
      <c r="B137" s="285" t="s">
        <v>117</v>
      </c>
      <c r="C137" s="285" t="s">
        <v>117</v>
      </c>
      <c r="D137" s="282" t="s">
        <v>117</v>
      </c>
      <c r="E137" s="233" t="s">
        <v>117</v>
      </c>
      <c r="F137" s="237">
        <v>5</v>
      </c>
      <c r="G137" s="238"/>
      <c r="H137" s="292" t="s">
        <v>554</v>
      </c>
      <c r="I137" s="53" t="s">
        <v>582</v>
      </c>
      <c r="J137" t="s">
        <v>124</v>
      </c>
      <c r="K137" s="4" t="s">
        <v>24</v>
      </c>
      <c r="L137" s="29">
        <v>2</v>
      </c>
      <c r="M137" s="30">
        <v>45361</v>
      </c>
      <c r="N137" s="30">
        <v>45362</v>
      </c>
      <c r="O137" s="427"/>
      <c r="P137" s="427"/>
      <c r="Q137" s="3">
        <v>1500</v>
      </c>
      <c r="R137" s="1">
        <v>1</v>
      </c>
      <c r="S137" s="3">
        <f t="shared" si="96"/>
        <v>1500</v>
      </c>
      <c r="T137" s="28">
        <v>-51.77</v>
      </c>
      <c r="U137" s="3">
        <f t="shared" si="102"/>
        <v>1448.23</v>
      </c>
      <c r="V137" s="50">
        <f t="shared" si="97"/>
        <v>260.6814</v>
      </c>
      <c r="W137" s="3">
        <f t="shared" si="98"/>
        <v>1187.5486000000001</v>
      </c>
      <c r="X137" s="3"/>
      <c r="Y137" s="3"/>
      <c r="Z137" s="3"/>
      <c r="AA137" s="3"/>
      <c r="AB137" s="3">
        <f t="shared" ref="AB137:AB142" si="103">V137</f>
        <v>260.6814</v>
      </c>
      <c r="AC137" s="24">
        <v>45362</v>
      </c>
      <c r="AD137" s="651"/>
    </row>
    <row r="138" spans="1:31">
      <c r="A138" s="279" t="s">
        <v>117</v>
      </c>
      <c r="B138" s="285" t="s">
        <v>117</v>
      </c>
      <c r="C138" s="285" t="s">
        <v>117</v>
      </c>
      <c r="D138" s="282" t="s">
        <v>117</v>
      </c>
      <c r="E138" s="233" t="s">
        <v>117</v>
      </c>
      <c r="F138" s="237">
        <v>5</v>
      </c>
      <c r="G138" s="238">
        <v>5</v>
      </c>
      <c r="H138" s="292" t="s">
        <v>554</v>
      </c>
      <c r="I138" s="53" t="s">
        <v>200</v>
      </c>
      <c r="J138" s="53" t="s">
        <v>124</v>
      </c>
      <c r="K138" s="44" t="s">
        <v>24</v>
      </c>
      <c r="L138" s="29">
        <v>2</v>
      </c>
      <c r="M138" s="30">
        <v>45362</v>
      </c>
      <c r="N138" s="30">
        <v>45365</v>
      </c>
      <c r="O138" s="427"/>
      <c r="P138" s="427"/>
      <c r="Q138" s="3">
        <v>2006.67</v>
      </c>
      <c r="R138" s="1">
        <v>3</v>
      </c>
      <c r="S138" s="3">
        <v>6020</v>
      </c>
      <c r="T138" s="28">
        <v>-207.65</v>
      </c>
      <c r="U138" s="3">
        <f t="shared" ref="U138" si="104">SUM(S138:T138)</f>
        <v>5812.35</v>
      </c>
      <c r="V138" s="50">
        <f t="shared" si="97"/>
        <v>1046.223</v>
      </c>
      <c r="W138" s="3">
        <f t="shared" si="98"/>
        <v>4766.1270000000004</v>
      </c>
      <c r="X138" s="3"/>
      <c r="Y138" s="3"/>
      <c r="Z138" s="3"/>
      <c r="AA138" s="3"/>
      <c r="AB138" s="3">
        <f t="shared" si="103"/>
        <v>1046.223</v>
      </c>
      <c r="AC138" s="24">
        <v>45363</v>
      </c>
      <c r="AD138" s="651"/>
    </row>
    <row r="139" spans="1:31">
      <c r="A139" s="279" t="s">
        <v>117</v>
      </c>
      <c r="B139" s="285" t="s">
        <v>117</v>
      </c>
      <c r="C139" s="285" t="s">
        <v>117</v>
      </c>
      <c r="D139" s="282" t="s">
        <v>117</v>
      </c>
      <c r="E139" s="233" t="s">
        <v>117</v>
      </c>
      <c r="F139" s="237">
        <v>5</v>
      </c>
      <c r="G139" s="238"/>
      <c r="H139" s="292" t="s">
        <v>554</v>
      </c>
      <c r="I139" s="53" t="s">
        <v>394</v>
      </c>
      <c r="J139" s="15" t="s">
        <v>124</v>
      </c>
      <c r="K139" s="18" t="s">
        <v>23</v>
      </c>
      <c r="L139" s="29">
        <v>2</v>
      </c>
      <c r="M139" s="30">
        <v>45363</v>
      </c>
      <c r="N139" s="30">
        <v>45366</v>
      </c>
      <c r="O139" s="427"/>
      <c r="P139" s="427"/>
      <c r="Q139" s="3">
        <v>2000</v>
      </c>
      <c r="R139" s="1">
        <v>3</v>
      </c>
      <c r="S139" s="47">
        <f>+Q139*R139</f>
        <v>6000</v>
      </c>
      <c r="T139" s="49">
        <v>-206.96</v>
      </c>
      <c r="U139" s="47">
        <f t="shared" ref="U139" si="105">SUM(S139:T139)</f>
        <v>5793.04</v>
      </c>
      <c r="V139" s="62">
        <f t="shared" ref="V139" si="106">+U139*0.18</f>
        <v>1042.7472</v>
      </c>
      <c r="W139" s="47">
        <f t="shared" ref="W139" si="107">+U139-V139</f>
        <v>4750.2928000000002</v>
      </c>
      <c r="Y139" s="3"/>
      <c r="Z139" s="3"/>
      <c r="AA139" s="3"/>
      <c r="AB139" s="3">
        <f t="shared" si="103"/>
        <v>1042.7472</v>
      </c>
      <c r="AC139" s="24">
        <v>45364</v>
      </c>
      <c r="AD139" s="651"/>
    </row>
    <row r="140" spans="1:31">
      <c r="A140" s="279" t="s">
        <v>117</v>
      </c>
      <c r="B140" s="285" t="s">
        <v>117</v>
      </c>
      <c r="C140" s="285" t="s">
        <v>117</v>
      </c>
      <c r="D140" s="282" t="s">
        <v>117</v>
      </c>
      <c r="E140" s="233" t="s">
        <v>117</v>
      </c>
      <c r="F140" s="237">
        <v>5</v>
      </c>
      <c r="G140" s="238">
        <v>5</v>
      </c>
      <c r="H140" s="292" t="s">
        <v>554</v>
      </c>
      <c r="I140" s="53" t="s">
        <v>147</v>
      </c>
      <c r="J140" s="53" t="s">
        <v>124</v>
      </c>
      <c r="K140" s="44" t="s">
        <v>24</v>
      </c>
      <c r="L140" s="29">
        <v>2</v>
      </c>
      <c r="M140" s="30">
        <v>45365</v>
      </c>
      <c r="N140" s="30">
        <v>45368</v>
      </c>
      <c r="O140" s="427"/>
      <c r="P140" s="427"/>
      <c r="Q140" s="3">
        <v>1500</v>
      </c>
      <c r="R140" s="1">
        <v>3</v>
      </c>
      <c r="S140" s="3">
        <f t="shared" si="96"/>
        <v>4500</v>
      </c>
      <c r="T140" s="28">
        <v>-155.22999999999999</v>
      </c>
      <c r="U140" s="3">
        <f t="shared" si="102"/>
        <v>4344.7700000000004</v>
      </c>
      <c r="V140" s="50">
        <f t="shared" si="97"/>
        <v>782.05860000000007</v>
      </c>
      <c r="W140" s="3">
        <f t="shared" si="98"/>
        <v>3562.7114000000001</v>
      </c>
      <c r="X140" s="3"/>
      <c r="Y140" s="3"/>
      <c r="Z140" s="3"/>
      <c r="AA140" s="3"/>
      <c r="AB140" s="3">
        <f t="shared" si="103"/>
        <v>782.05860000000007</v>
      </c>
      <c r="AC140" s="24">
        <v>45366</v>
      </c>
      <c r="AD140" s="651"/>
    </row>
    <row r="141" spans="1:31">
      <c r="A141" s="279" t="s">
        <v>117</v>
      </c>
      <c r="B141" s="285" t="s">
        <v>117</v>
      </c>
      <c r="C141" s="285" t="s">
        <v>117</v>
      </c>
      <c r="D141" s="282" t="s">
        <v>117</v>
      </c>
      <c r="E141" s="233" t="s">
        <v>117</v>
      </c>
      <c r="F141" s="237">
        <v>5</v>
      </c>
      <c r="G141" s="238"/>
      <c r="H141" s="292" t="s">
        <v>554</v>
      </c>
      <c r="I141" s="53" t="s">
        <v>370</v>
      </c>
      <c r="J141" t="s">
        <v>369</v>
      </c>
      <c r="K141" s="18" t="s">
        <v>23</v>
      </c>
      <c r="L141" s="29">
        <v>2</v>
      </c>
      <c r="M141" s="30">
        <v>45367</v>
      </c>
      <c r="N141" s="30">
        <v>45370</v>
      </c>
      <c r="O141" s="427"/>
      <c r="P141" s="427"/>
      <c r="Q141" s="3">
        <v>2380</v>
      </c>
      <c r="R141" s="1">
        <v>3</v>
      </c>
      <c r="S141" s="47">
        <f t="shared" ref="S141:S146" si="108">+Q141*R141</f>
        <v>7140</v>
      </c>
      <c r="T141" s="49">
        <v>-249.28</v>
      </c>
      <c r="U141" s="47">
        <f t="shared" ref="U141" si="109">SUM(S141:T141)</f>
        <v>6890.72</v>
      </c>
      <c r="V141" s="62">
        <f t="shared" ref="V141" si="110">+U141*0.18</f>
        <v>1240.3296</v>
      </c>
      <c r="W141" s="47">
        <f t="shared" ref="W141" si="111">+U141-V141</f>
        <v>5650.3904000000002</v>
      </c>
      <c r="AB141" s="3">
        <f t="shared" si="103"/>
        <v>1240.3296</v>
      </c>
      <c r="AC141" s="24">
        <v>45370</v>
      </c>
      <c r="AD141" s="651"/>
    </row>
    <row r="142" spans="1:31">
      <c r="A142" s="279" t="s">
        <v>117</v>
      </c>
      <c r="B142" s="285" t="s">
        <v>117</v>
      </c>
      <c r="C142" s="285" t="s">
        <v>117</v>
      </c>
      <c r="D142" s="282" t="s">
        <v>117</v>
      </c>
      <c r="E142" s="233" t="s">
        <v>117</v>
      </c>
      <c r="F142" s="237">
        <v>5</v>
      </c>
      <c r="G142" s="238">
        <v>5</v>
      </c>
      <c r="H142" s="292" t="s">
        <v>554</v>
      </c>
      <c r="I142" s="53" t="s">
        <v>275</v>
      </c>
      <c r="J142" s="53" t="s">
        <v>124</v>
      </c>
      <c r="K142" s="44" t="s">
        <v>24</v>
      </c>
      <c r="L142" s="29">
        <v>2</v>
      </c>
      <c r="M142" s="30">
        <v>45368</v>
      </c>
      <c r="N142" s="30">
        <v>45371</v>
      </c>
      <c r="O142" s="427"/>
      <c r="P142" s="427"/>
      <c r="Q142" s="50">
        <v>2000</v>
      </c>
      <c r="R142" s="29">
        <v>3</v>
      </c>
      <c r="S142" s="3">
        <f t="shared" si="108"/>
        <v>6000</v>
      </c>
      <c r="T142" s="28">
        <v>-206.9</v>
      </c>
      <c r="U142" s="3">
        <f t="shared" ref="U142:U143" si="112">SUM(S142:T142)</f>
        <v>5793.1</v>
      </c>
      <c r="V142" s="50">
        <f t="shared" ref="V142" si="113">+U142*0.18</f>
        <v>1042.758</v>
      </c>
      <c r="W142" s="3">
        <f t="shared" ref="W142" si="114">+U142-V142</f>
        <v>4750.3420000000006</v>
      </c>
      <c r="X142" s="3"/>
      <c r="Y142" s="3"/>
      <c r="Z142" s="3"/>
      <c r="AA142" s="3"/>
      <c r="AB142" s="3">
        <f t="shared" si="103"/>
        <v>1042.758</v>
      </c>
      <c r="AC142" s="24">
        <v>45369</v>
      </c>
      <c r="AD142" s="651"/>
    </row>
    <row r="143" spans="1:31">
      <c r="A143" s="279" t="s">
        <v>117</v>
      </c>
      <c r="B143" s="285" t="s">
        <v>117</v>
      </c>
      <c r="C143" s="285" t="s">
        <v>117</v>
      </c>
      <c r="D143" s="282" t="s">
        <v>117</v>
      </c>
      <c r="E143" s="233" t="s">
        <v>117</v>
      </c>
      <c r="F143" s="237"/>
      <c r="G143" s="238"/>
      <c r="H143" s="290" t="s">
        <v>556</v>
      </c>
      <c r="I143" s="465" t="s">
        <v>306</v>
      </c>
      <c r="J143" s="405" t="s">
        <v>307</v>
      </c>
      <c r="K143" s="183" t="s">
        <v>217</v>
      </c>
      <c r="L143" s="401">
        <v>1</v>
      </c>
      <c r="M143" s="402">
        <v>45367</v>
      </c>
      <c r="N143" s="402">
        <v>45372</v>
      </c>
      <c r="O143" s="463"/>
      <c r="P143" s="463"/>
      <c r="Q143" s="403">
        <v>0</v>
      </c>
      <c r="R143" s="401">
        <v>5</v>
      </c>
      <c r="S143" s="403">
        <f t="shared" si="108"/>
        <v>0</v>
      </c>
      <c r="T143" s="404">
        <v>0</v>
      </c>
      <c r="U143" s="403">
        <f t="shared" si="112"/>
        <v>0</v>
      </c>
      <c r="V143" s="403"/>
      <c r="W143" s="403"/>
      <c r="X143" s="405"/>
      <c r="Y143" s="405"/>
      <c r="Z143" s="405"/>
      <c r="AA143" s="405"/>
      <c r="AB143" s="403"/>
      <c r="AC143" s="402">
        <v>45372</v>
      </c>
      <c r="AD143" s="655"/>
    </row>
    <row r="144" spans="1:31">
      <c r="A144" s="279" t="s">
        <v>117</v>
      </c>
      <c r="B144" s="285" t="s">
        <v>117</v>
      </c>
      <c r="C144" s="285" t="s">
        <v>117</v>
      </c>
      <c r="D144" s="282" t="s">
        <v>117</v>
      </c>
      <c r="E144" s="233" t="s">
        <v>117</v>
      </c>
      <c r="F144" s="237"/>
      <c r="G144" s="238"/>
      <c r="H144" s="290" t="s">
        <v>555</v>
      </c>
      <c r="I144" s="228" t="s">
        <v>608</v>
      </c>
      <c r="J144" t="s">
        <v>107</v>
      </c>
      <c r="K144" s="244" t="s">
        <v>85</v>
      </c>
      <c r="L144" s="29">
        <v>2</v>
      </c>
      <c r="M144" s="30">
        <v>45369</v>
      </c>
      <c r="N144" s="30">
        <v>45374</v>
      </c>
      <c r="O144" s="427"/>
      <c r="P144" s="427"/>
      <c r="Q144" s="3">
        <f>+S144/R144</f>
        <v>1200</v>
      </c>
      <c r="R144" s="1">
        <v>5</v>
      </c>
      <c r="S144" s="3">
        <v>6000</v>
      </c>
      <c r="T144" s="28">
        <v>0</v>
      </c>
      <c r="U144" s="50">
        <f>S144</f>
        <v>6000</v>
      </c>
      <c r="V144" s="50">
        <f>+U144*0.18</f>
        <v>1080</v>
      </c>
      <c r="W144" s="3">
        <f>+U144-V144</f>
        <v>4920</v>
      </c>
      <c r="AB144" s="3">
        <f>V144</f>
        <v>1080</v>
      </c>
      <c r="AC144" s="24">
        <v>45374</v>
      </c>
      <c r="AD144" s="651"/>
    </row>
    <row r="145" spans="1:34">
      <c r="A145" s="279" t="s">
        <v>117</v>
      </c>
      <c r="B145" s="285" t="s">
        <v>117</v>
      </c>
      <c r="C145" s="285" t="s">
        <v>117</v>
      </c>
      <c r="D145" s="282" t="s">
        <v>117</v>
      </c>
      <c r="E145" s="233" t="s">
        <v>117</v>
      </c>
      <c r="F145" s="237">
        <v>5</v>
      </c>
      <c r="G145" s="238">
        <v>5</v>
      </c>
      <c r="H145" s="292" t="s">
        <v>554</v>
      </c>
      <c r="I145" s="53" t="s">
        <v>61</v>
      </c>
      <c r="J145" s="43" t="s">
        <v>14</v>
      </c>
      <c r="K145" s="44" t="s">
        <v>24</v>
      </c>
      <c r="L145" s="54">
        <v>2</v>
      </c>
      <c r="M145" s="55">
        <v>45372</v>
      </c>
      <c r="N145" s="55">
        <v>45374</v>
      </c>
      <c r="O145" s="428"/>
      <c r="P145" s="428"/>
      <c r="Q145" s="47">
        <v>1400</v>
      </c>
      <c r="R145" s="48">
        <v>2</v>
      </c>
      <c r="S145" s="47">
        <f t="shared" si="108"/>
        <v>2800</v>
      </c>
      <c r="T145" s="49">
        <v>-96.6</v>
      </c>
      <c r="U145" s="47">
        <f t="shared" si="2"/>
        <v>2703.4</v>
      </c>
      <c r="V145" s="62">
        <f t="shared" si="3"/>
        <v>486.61200000000002</v>
      </c>
      <c r="W145" s="47">
        <f t="shared" si="4"/>
        <v>2216.788</v>
      </c>
      <c r="X145" s="47"/>
      <c r="Y145" s="47"/>
      <c r="Z145" s="47"/>
      <c r="AA145" s="47"/>
      <c r="AB145" s="47">
        <f>V145</f>
        <v>486.61200000000002</v>
      </c>
      <c r="AC145" s="24">
        <v>45373</v>
      </c>
      <c r="AD145" s="651"/>
    </row>
    <row r="146" spans="1:34">
      <c r="A146" s="279" t="s">
        <v>117</v>
      </c>
      <c r="B146" s="285" t="s">
        <v>117</v>
      </c>
      <c r="C146" s="285" t="s">
        <v>117</v>
      </c>
      <c r="D146" s="282" t="s">
        <v>117</v>
      </c>
      <c r="E146" s="233" t="s">
        <v>117</v>
      </c>
      <c r="F146" s="237">
        <v>5</v>
      </c>
      <c r="G146" s="238">
        <v>5</v>
      </c>
      <c r="H146" s="292" t="s">
        <v>554</v>
      </c>
      <c r="I146" s="53" t="s">
        <v>626</v>
      </c>
      <c r="J146" s="53" t="s">
        <v>69</v>
      </c>
      <c r="K146" s="76" t="s">
        <v>23</v>
      </c>
      <c r="L146" s="54">
        <v>2</v>
      </c>
      <c r="M146" s="55">
        <v>45372</v>
      </c>
      <c r="N146" s="55">
        <v>45375</v>
      </c>
      <c r="O146" s="428"/>
      <c r="P146" s="428"/>
      <c r="Q146" s="47">
        <v>2500</v>
      </c>
      <c r="R146" s="48">
        <v>3</v>
      </c>
      <c r="S146" s="47">
        <f t="shared" si="108"/>
        <v>7500</v>
      </c>
      <c r="T146" s="49">
        <v>-258.64999999999998</v>
      </c>
      <c r="U146" s="47">
        <f t="shared" si="2"/>
        <v>7241.35</v>
      </c>
      <c r="V146" s="62">
        <f t="shared" si="3"/>
        <v>1303.443</v>
      </c>
      <c r="W146" s="47">
        <f t="shared" si="4"/>
        <v>5937.9070000000002</v>
      </c>
      <c r="X146" s="47"/>
      <c r="Y146" s="47"/>
      <c r="Z146" s="47"/>
      <c r="AA146" s="47"/>
      <c r="AB146" s="47">
        <f>V146</f>
        <v>1303.443</v>
      </c>
      <c r="AC146" s="24">
        <v>45373</v>
      </c>
      <c r="AD146" s="651"/>
    </row>
    <row r="147" spans="1:34">
      <c r="A147" s="279" t="s">
        <v>117</v>
      </c>
      <c r="B147" s="285" t="s">
        <v>117</v>
      </c>
      <c r="C147" s="285" t="s">
        <v>117</v>
      </c>
      <c r="D147" s="282" t="s">
        <v>117</v>
      </c>
      <c r="E147" s="233" t="s">
        <v>117</v>
      </c>
      <c r="F147" s="237" t="s">
        <v>592</v>
      </c>
      <c r="G147" s="238">
        <v>10</v>
      </c>
      <c r="H147" s="294" t="s">
        <v>557</v>
      </c>
      <c r="I147" s="464" t="s">
        <v>630</v>
      </c>
      <c r="J147" s="410" t="s">
        <v>654</v>
      </c>
      <c r="K147" s="183" t="s">
        <v>217</v>
      </c>
      <c r="L147" s="401">
        <v>2</v>
      </c>
      <c r="M147" s="402">
        <v>45373</v>
      </c>
      <c r="N147" s="402">
        <v>45377</v>
      </c>
      <c r="O147" s="463"/>
      <c r="P147" s="463"/>
      <c r="Q147" s="406">
        <f>+S147/R147</f>
        <v>671.625</v>
      </c>
      <c r="R147" s="407">
        <v>4</v>
      </c>
      <c r="S147" s="406">
        <v>2686.5</v>
      </c>
      <c r="T147" s="409">
        <f>-402.98-68.91-56.41</f>
        <v>-528.29999999999995</v>
      </c>
      <c r="U147" s="406">
        <f>+S147+T147+1000</f>
        <v>3158.2</v>
      </c>
      <c r="V147" s="406"/>
      <c r="W147" s="406"/>
      <c r="X147" s="406"/>
      <c r="Y147" s="406"/>
      <c r="Z147" s="406"/>
      <c r="AA147" s="406"/>
      <c r="AB147" s="406"/>
      <c r="AC147" s="408">
        <v>45379</v>
      </c>
      <c r="AD147" s="655"/>
    </row>
    <row r="148" spans="1:34">
      <c r="A148" s="279" t="s">
        <v>117</v>
      </c>
      <c r="B148" s="285" t="s">
        <v>117</v>
      </c>
      <c r="C148" s="285" t="s">
        <v>117</v>
      </c>
      <c r="D148" s="282" t="s">
        <v>117</v>
      </c>
      <c r="E148" s="233" t="s">
        <v>117</v>
      </c>
      <c r="F148" s="237" t="s">
        <v>454</v>
      </c>
      <c r="G148" s="238"/>
      <c r="H148" s="294" t="s">
        <v>557</v>
      </c>
      <c r="I148" s="476" t="s">
        <v>613</v>
      </c>
      <c r="J148" s="469" t="s">
        <v>107</v>
      </c>
      <c r="K148" s="250" t="s">
        <v>210</v>
      </c>
      <c r="L148" s="477">
        <v>4</v>
      </c>
      <c r="M148" s="478">
        <v>45373</v>
      </c>
      <c r="N148" s="478">
        <v>45377</v>
      </c>
      <c r="O148" s="479"/>
      <c r="P148" s="479"/>
      <c r="Q148" s="475">
        <f>+S148/R148</f>
        <v>1950</v>
      </c>
      <c r="R148" s="477">
        <v>4</v>
      </c>
      <c r="S148" s="475">
        <v>7800</v>
      </c>
      <c r="T148" s="480">
        <v>-1533.87</v>
      </c>
      <c r="U148" s="475">
        <f>+S148+T148</f>
        <v>6266.13</v>
      </c>
      <c r="V148" s="473">
        <f>+U148*0.2</f>
        <v>1253.2260000000001</v>
      </c>
      <c r="W148" s="473"/>
      <c r="X148" s="475">
        <f>+U148-V148</f>
        <v>5012.9040000000005</v>
      </c>
      <c r="Y148" s="475"/>
      <c r="Z148" s="475"/>
      <c r="AA148" s="475"/>
      <c r="AB148" s="475">
        <f>V148</f>
        <v>1253.2260000000001</v>
      </c>
      <c r="AC148" s="478">
        <v>45379</v>
      </c>
      <c r="AD148" s="651"/>
    </row>
    <row r="149" spans="1:34">
      <c r="A149" s="279" t="s">
        <v>117</v>
      </c>
      <c r="B149" s="285" t="s">
        <v>117</v>
      </c>
      <c r="C149" s="285" t="s">
        <v>117</v>
      </c>
      <c r="D149" s="282" t="s">
        <v>117</v>
      </c>
      <c r="E149" s="233" t="s">
        <v>117</v>
      </c>
      <c r="F149" s="237">
        <v>5</v>
      </c>
      <c r="G149" s="238">
        <v>5</v>
      </c>
      <c r="H149" s="292" t="s">
        <v>554</v>
      </c>
      <c r="I149" s="53" t="s">
        <v>489</v>
      </c>
      <c r="J149" s="53" t="s">
        <v>490</v>
      </c>
      <c r="K149" s="44" t="s">
        <v>24</v>
      </c>
      <c r="L149" s="54">
        <v>2</v>
      </c>
      <c r="M149" s="55">
        <v>45374</v>
      </c>
      <c r="N149" s="55">
        <v>45376</v>
      </c>
      <c r="O149" s="428"/>
      <c r="P149" s="428"/>
      <c r="Q149" s="47">
        <v>2500</v>
      </c>
      <c r="R149" s="48">
        <v>2</v>
      </c>
      <c r="S149" s="47">
        <f t="shared" ref="S149:S160" si="115">+Q149*R149</f>
        <v>5000</v>
      </c>
      <c r="T149" s="49">
        <v>-172.5</v>
      </c>
      <c r="U149" s="47">
        <f t="shared" ref="U149" si="116">SUM(S149:T149)</f>
        <v>4827.5</v>
      </c>
      <c r="V149" s="62">
        <f t="shared" ref="V149" si="117">+U149*0.18</f>
        <v>868.94999999999993</v>
      </c>
      <c r="W149" s="47">
        <f t="shared" ref="W149" si="118">+U149-V149</f>
        <v>3958.55</v>
      </c>
      <c r="X149" s="47"/>
      <c r="Y149" s="47"/>
      <c r="Z149" s="47"/>
      <c r="AA149" s="47"/>
      <c r="AB149" s="47">
        <f>V149</f>
        <v>868.94999999999993</v>
      </c>
      <c r="AC149" s="101">
        <v>45375</v>
      </c>
      <c r="AD149" s="651"/>
    </row>
    <row r="150" spans="1:34">
      <c r="A150" s="279" t="s">
        <v>117</v>
      </c>
      <c r="B150" s="285" t="s">
        <v>117</v>
      </c>
      <c r="C150" s="285" t="s">
        <v>117</v>
      </c>
      <c r="D150" s="282" t="s">
        <v>117</v>
      </c>
      <c r="E150" s="233" t="s">
        <v>117</v>
      </c>
      <c r="F150" s="237"/>
      <c r="G150" s="238"/>
      <c r="H150" s="290" t="s">
        <v>556</v>
      </c>
      <c r="I150" s="488" t="s">
        <v>438</v>
      </c>
      <c r="J150" s="489" t="s">
        <v>107</v>
      </c>
      <c r="K150" s="258" t="s">
        <v>388</v>
      </c>
      <c r="L150" s="490">
        <v>2</v>
      </c>
      <c r="M150" s="491">
        <v>45374</v>
      </c>
      <c r="N150" s="491">
        <v>45381</v>
      </c>
      <c r="O150" s="492"/>
      <c r="P150" s="492"/>
      <c r="Q150" s="493">
        <v>0</v>
      </c>
      <c r="R150" s="490">
        <v>7</v>
      </c>
      <c r="S150" s="493">
        <f>+Q150*R150</f>
        <v>0</v>
      </c>
      <c r="T150" s="494"/>
      <c r="U150" s="493"/>
      <c r="V150" s="493">
        <v>0</v>
      </c>
      <c r="W150" s="493"/>
      <c r="X150" s="493"/>
      <c r="Y150" s="493">
        <v>0</v>
      </c>
      <c r="Z150" s="493"/>
      <c r="AA150" s="493"/>
      <c r="AB150" s="493"/>
      <c r="AC150" s="491">
        <v>45381</v>
      </c>
      <c r="AD150" s="651"/>
    </row>
    <row r="151" spans="1:34">
      <c r="A151" s="279" t="s">
        <v>117</v>
      </c>
      <c r="B151" s="285" t="s">
        <v>117</v>
      </c>
      <c r="C151" s="285" t="s">
        <v>117</v>
      </c>
      <c r="D151" s="282" t="s">
        <v>117</v>
      </c>
      <c r="E151" s="233" t="s">
        <v>117</v>
      </c>
      <c r="F151" s="237">
        <v>5</v>
      </c>
      <c r="G151" s="238">
        <v>5</v>
      </c>
      <c r="H151" s="292" t="s">
        <v>554</v>
      </c>
      <c r="I151" s="53" t="s">
        <v>444</v>
      </c>
      <c r="J151" s="53" t="s">
        <v>398</v>
      </c>
      <c r="K151" s="76" t="s">
        <v>23</v>
      </c>
      <c r="L151" s="54">
        <v>2</v>
      </c>
      <c r="M151" s="55">
        <v>45376</v>
      </c>
      <c r="N151" s="55">
        <v>45378</v>
      </c>
      <c r="O151" s="428"/>
      <c r="P151" s="428"/>
      <c r="Q151" s="47">
        <v>2500</v>
      </c>
      <c r="R151" s="48">
        <v>2</v>
      </c>
      <c r="S151" s="47">
        <f t="shared" si="115"/>
        <v>5000</v>
      </c>
      <c r="T151" s="49">
        <v>-172.5</v>
      </c>
      <c r="U151" s="47">
        <f t="shared" ref="U151" si="119">SUM(S151:T151)</f>
        <v>4827.5</v>
      </c>
      <c r="V151" s="62">
        <f t="shared" ref="V151" si="120">+U151*0.18</f>
        <v>868.94999999999993</v>
      </c>
      <c r="W151" s="47">
        <f t="shared" ref="W151" si="121">+U151-V151</f>
        <v>3958.55</v>
      </c>
      <c r="X151" s="47"/>
      <c r="Y151" s="47"/>
      <c r="Z151" s="47"/>
      <c r="AA151" s="47"/>
      <c r="AB151" s="47">
        <f>V151</f>
        <v>868.94999999999993</v>
      </c>
      <c r="AC151" s="101">
        <v>45377</v>
      </c>
      <c r="AD151" s="651"/>
    </row>
    <row r="152" spans="1:34">
      <c r="A152" s="279" t="s">
        <v>117</v>
      </c>
      <c r="B152" s="285" t="s">
        <v>117</v>
      </c>
      <c r="C152" s="285" t="s">
        <v>117</v>
      </c>
      <c r="D152" s="282" t="s">
        <v>117</v>
      </c>
      <c r="E152" s="233" t="s">
        <v>117</v>
      </c>
      <c r="F152" s="237">
        <v>5</v>
      </c>
      <c r="G152" s="238">
        <v>5</v>
      </c>
      <c r="H152" s="292" t="s">
        <v>554</v>
      </c>
      <c r="I152" s="53" t="s">
        <v>451</v>
      </c>
      <c r="J152" s="53" t="s">
        <v>452</v>
      </c>
      <c r="K152" s="44" t="s">
        <v>24</v>
      </c>
      <c r="L152" s="54">
        <v>2</v>
      </c>
      <c r="M152" s="55">
        <v>45376</v>
      </c>
      <c r="N152" s="55">
        <v>45378</v>
      </c>
      <c r="O152" s="428"/>
      <c r="P152" s="428"/>
      <c r="Q152" s="47">
        <v>2500</v>
      </c>
      <c r="R152" s="48">
        <v>2</v>
      </c>
      <c r="S152" s="47">
        <f t="shared" si="115"/>
        <v>5000</v>
      </c>
      <c r="T152" s="49">
        <v>-172.5</v>
      </c>
      <c r="U152" s="47">
        <f t="shared" ref="U152" si="122">SUM(S152:T152)</f>
        <v>4827.5</v>
      </c>
      <c r="V152" s="62">
        <f t="shared" ref="V152" si="123">+U152*0.18</f>
        <v>868.94999999999993</v>
      </c>
      <c r="W152" s="47">
        <f t="shared" ref="W152" si="124">+U152-V152</f>
        <v>3958.55</v>
      </c>
      <c r="X152" s="47"/>
      <c r="Y152" s="47"/>
      <c r="Z152" s="47"/>
      <c r="AA152" s="47"/>
      <c r="AB152" s="47">
        <f>V152</f>
        <v>868.94999999999993</v>
      </c>
      <c r="AC152" s="101">
        <v>45377</v>
      </c>
      <c r="AD152" s="651"/>
    </row>
    <row r="153" spans="1:34">
      <c r="A153" s="279" t="s">
        <v>117</v>
      </c>
      <c r="B153" s="285" t="s">
        <v>117</v>
      </c>
      <c r="C153" s="285" t="s">
        <v>117</v>
      </c>
      <c r="D153" s="282" t="s">
        <v>117</v>
      </c>
      <c r="E153" s="233" t="s">
        <v>117</v>
      </c>
      <c r="F153" s="237"/>
      <c r="G153" s="238"/>
      <c r="H153" s="290" t="s">
        <v>555</v>
      </c>
      <c r="I153" s="228" t="s">
        <v>568</v>
      </c>
      <c r="J153" s="43" t="s">
        <v>569</v>
      </c>
      <c r="K153" s="244" t="s">
        <v>85</v>
      </c>
      <c r="L153" s="29">
        <v>2</v>
      </c>
      <c r="M153" s="30">
        <v>45378</v>
      </c>
      <c r="N153" s="30">
        <v>45382</v>
      </c>
      <c r="O153" s="427"/>
      <c r="P153" s="427"/>
      <c r="Q153" s="47">
        <v>0</v>
      </c>
      <c r="R153" s="48">
        <v>0</v>
      </c>
      <c r="S153" s="47">
        <v>0</v>
      </c>
      <c r="T153" s="49">
        <v>0</v>
      </c>
      <c r="U153" s="47">
        <v>0</v>
      </c>
      <c r="V153" s="62">
        <v>0</v>
      </c>
      <c r="W153" s="47">
        <v>0</v>
      </c>
      <c r="AC153" s="24">
        <v>45382</v>
      </c>
      <c r="AD153" s="651"/>
    </row>
    <row r="154" spans="1:34">
      <c r="A154" s="279" t="s">
        <v>117</v>
      </c>
      <c r="B154" s="285" t="s">
        <v>117</v>
      </c>
      <c r="C154" s="285" t="s">
        <v>117</v>
      </c>
      <c r="D154" s="282" t="s">
        <v>117</v>
      </c>
      <c r="E154" s="233" t="s">
        <v>117</v>
      </c>
      <c r="F154" s="237">
        <v>5</v>
      </c>
      <c r="G154" s="238">
        <v>5</v>
      </c>
      <c r="H154" s="292" t="s">
        <v>554</v>
      </c>
      <c r="I154" s="227" t="s">
        <v>631</v>
      </c>
      <c r="J154" s="53" t="s">
        <v>473</v>
      </c>
      <c r="K154" s="44" t="s">
        <v>24</v>
      </c>
      <c r="L154" s="54">
        <v>2</v>
      </c>
      <c r="M154" s="55">
        <v>45378</v>
      </c>
      <c r="N154" s="55">
        <v>45380</v>
      </c>
      <c r="O154" s="428"/>
      <c r="P154" s="428"/>
      <c r="Q154" s="47">
        <v>2500</v>
      </c>
      <c r="R154" s="48">
        <v>2</v>
      </c>
      <c r="S154" s="47">
        <f t="shared" ref="S154" si="125">+Q154*R154</f>
        <v>5000</v>
      </c>
      <c r="T154" s="49">
        <v>-172.5</v>
      </c>
      <c r="U154" s="47">
        <f t="shared" ref="U154" si="126">SUM(S154:T154)</f>
        <v>4827.5</v>
      </c>
      <c r="V154" s="62">
        <f t="shared" ref="V154" si="127">+U154*0.18</f>
        <v>868.94999999999993</v>
      </c>
      <c r="W154" s="47">
        <f t="shared" ref="W154" si="128">+U154-V154</f>
        <v>3958.55</v>
      </c>
      <c r="X154" s="47"/>
      <c r="Y154" s="47"/>
      <c r="Z154" s="47"/>
      <c r="AA154" s="47"/>
      <c r="AB154" s="47">
        <f>V154</f>
        <v>868.94999999999993</v>
      </c>
      <c r="AC154" s="101">
        <v>45379</v>
      </c>
      <c r="AD154" s="651"/>
    </row>
    <row r="155" spans="1:34">
      <c r="A155" s="279" t="s">
        <v>117</v>
      </c>
      <c r="B155" s="285" t="s">
        <v>117</v>
      </c>
      <c r="C155" s="285" t="s">
        <v>117</v>
      </c>
      <c r="D155" s="282" t="s">
        <v>117</v>
      </c>
      <c r="E155" s="233" t="s">
        <v>117</v>
      </c>
      <c r="F155" s="237" t="s">
        <v>592</v>
      </c>
      <c r="G155" s="238">
        <v>10</v>
      </c>
      <c r="H155" s="294" t="s">
        <v>557</v>
      </c>
      <c r="I155" s="410" t="s">
        <v>700</v>
      </c>
      <c r="J155" s="410" t="s">
        <v>107</v>
      </c>
      <c r="K155" s="183" t="s">
        <v>217</v>
      </c>
      <c r="L155" s="401">
        <v>2</v>
      </c>
      <c r="M155" s="402">
        <v>45379</v>
      </c>
      <c r="N155" s="402">
        <v>45384</v>
      </c>
      <c r="O155" s="463"/>
      <c r="P155" s="463"/>
      <c r="Q155" s="403">
        <v>810</v>
      </c>
      <c r="R155" s="401">
        <v>5</v>
      </c>
      <c r="S155" s="403">
        <f t="shared" si="115"/>
        <v>4050</v>
      </c>
      <c r="T155" s="404">
        <f>-607.5-103.88-85.05</f>
        <v>-796.43</v>
      </c>
      <c r="U155" s="406">
        <f>+S155+T155</f>
        <v>3253.57</v>
      </c>
      <c r="V155" s="403"/>
      <c r="W155" s="403"/>
      <c r="X155" s="406"/>
      <c r="Y155" s="406"/>
      <c r="Z155" s="406"/>
      <c r="AA155" s="406"/>
      <c r="AB155" s="406"/>
      <c r="AC155" s="408">
        <v>45386</v>
      </c>
      <c r="AD155" s="529"/>
    </row>
    <row r="156" spans="1:34">
      <c r="A156" s="279" t="s">
        <v>117</v>
      </c>
      <c r="B156" s="285" t="s">
        <v>117</v>
      </c>
      <c r="C156" s="285" t="s">
        <v>117</v>
      </c>
      <c r="D156" s="282" t="s">
        <v>117</v>
      </c>
      <c r="E156" s="233" t="s">
        <v>117</v>
      </c>
      <c r="F156" s="237">
        <v>5</v>
      </c>
      <c r="G156" s="238">
        <v>5</v>
      </c>
      <c r="H156" s="332" t="s">
        <v>617</v>
      </c>
      <c r="I156" s="469" t="s">
        <v>625</v>
      </c>
      <c r="J156" s="469" t="s">
        <v>107</v>
      </c>
      <c r="K156" s="250" t="s">
        <v>210</v>
      </c>
      <c r="L156" s="477">
        <v>3</v>
      </c>
      <c r="M156" s="478">
        <v>45379</v>
      </c>
      <c r="N156" s="478">
        <v>45382</v>
      </c>
      <c r="O156" s="479"/>
      <c r="P156" s="479"/>
      <c r="Q156" s="473">
        <f>+S156/R156</f>
        <v>1950</v>
      </c>
      <c r="R156" s="470">
        <v>3</v>
      </c>
      <c r="S156" s="473">
        <v>5850</v>
      </c>
      <c r="T156" s="480">
        <f>-877.5-131.63</f>
        <v>-1009.13</v>
      </c>
      <c r="U156" s="475">
        <f>+S156+T156</f>
        <v>4840.87</v>
      </c>
      <c r="V156" s="473">
        <f>+U156*0.2</f>
        <v>968.17399999999998</v>
      </c>
      <c r="W156" s="473"/>
      <c r="X156" s="475">
        <f>+U156-V156</f>
        <v>3872.6959999999999</v>
      </c>
      <c r="Y156" s="475"/>
      <c r="Z156" s="475"/>
      <c r="AA156" s="475"/>
      <c r="AB156" s="475">
        <f>V156</f>
        <v>968.17399999999998</v>
      </c>
      <c r="AC156" s="478">
        <v>45379</v>
      </c>
      <c r="AD156" s="189"/>
    </row>
    <row r="157" spans="1:34">
      <c r="A157" s="279" t="s">
        <v>117</v>
      </c>
      <c r="B157" s="285" t="s">
        <v>117</v>
      </c>
      <c r="C157" s="285" t="s">
        <v>117</v>
      </c>
      <c r="D157" s="282" t="s">
        <v>117</v>
      </c>
      <c r="E157" s="233" t="s">
        <v>117</v>
      </c>
      <c r="F157" s="237">
        <v>5</v>
      </c>
      <c r="G157" s="238">
        <v>5</v>
      </c>
      <c r="H157" s="292" t="s">
        <v>554</v>
      </c>
      <c r="I157" s="53" t="s">
        <v>566</v>
      </c>
      <c r="J157" s="53" t="s">
        <v>107</v>
      </c>
      <c r="K157" s="76" t="s">
        <v>23</v>
      </c>
      <c r="L157" s="54">
        <v>2</v>
      </c>
      <c r="M157" s="55">
        <v>45379</v>
      </c>
      <c r="N157" s="55">
        <v>45382</v>
      </c>
      <c r="O157" s="428"/>
      <c r="P157" s="428"/>
      <c r="Q157" s="47">
        <v>2500</v>
      </c>
      <c r="R157" s="48">
        <v>3</v>
      </c>
      <c r="S157" s="47">
        <f t="shared" ref="S157" si="129">+Q157*R157</f>
        <v>7500</v>
      </c>
      <c r="T157" s="49">
        <v>-258.75</v>
      </c>
      <c r="U157" s="47">
        <f t="shared" ref="U157" si="130">SUM(S157:T157)</f>
        <v>7241.25</v>
      </c>
      <c r="V157" s="62">
        <f t="shared" ref="V157" si="131">+U157*0.18</f>
        <v>1303.425</v>
      </c>
      <c r="W157" s="47">
        <f t="shared" ref="W157" si="132">+U157-V157</f>
        <v>5937.8249999999998</v>
      </c>
      <c r="X157" s="47"/>
      <c r="Y157" s="47"/>
      <c r="Z157" s="47"/>
      <c r="AA157" s="47"/>
      <c r="AB157" s="47">
        <f>V157</f>
        <v>1303.425</v>
      </c>
      <c r="AC157" s="101">
        <v>45380</v>
      </c>
      <c r="AD157" s="651"/>
    </row>
    <row r="158" spans="1:34">
      <c r="A158" s="279" t="s">
        <v>117</v>
      </c>
      <c r="B158" s="285" t="s">
        <v>117</v>
      </c>
      <c r="C158" s="285" t="s">
        <v>117</v>
      </c>
      <c r="D158" s="282" t="s">
        <v>117</v>
      </c>
      <c r="E158" s="233" t="s">
        <v>117</v>
      </c>
      <c r="F158" s="237">
        <v>5</v>
      </c>
      <c r="G158" s="238"/>
      <c r="H158" s="292" t="s">
        <v>554</v>
      </c>
      <c r="I158" s="53" t="s">
        <v>400</v>
      </c>
      <c r="J158" s="53" t="s">
        <v>401</v>
      </c>
      <c r="K158" s="44" t="s">
        <v>24</v>
      </c>
      <c r="L158" s="54">
        <v>2</v>
      </c>
      <c r="M158" s="55">
        <v>45380</v>
      </c>
      <c r="N158" s="55">
        <v>45382</v>
      </c>
      <c r="O158" s="428"/>
      <c r="P158" s="428"/>
      <c r="Q158" s="47">
        <v>2200</v>
      </c>
      <c r="R158" s="48">
        <v>2</v>
      </c>
      <c r="S158" s="47">
        <f t="shared" si="115"/>
        <v>4400</v>
      </c>
      <c r="T158" s="49">
        <v>-151.77000000000001</v>
      </c>
      <c r="U158" s="47">
        <f t="shared" ref="U158:U159" si="133">SUM(S158:T158)</f>
        <v>4248.2299999999996</v>
      </c>
      <c r="V158" s="62">
        <f t="shared" ref="V158:V159" si="134">+U158*0.18</f>
        <v>764.68139999999994</v>
      </c>
      <c r="W158" s="47">
        <f t="shared" ref="W158:W159" si="135">+U158-V158</f>
        <v>3483.5485999999996</v>
      </c>
      <c r="X158" s="47"/>
      <c r="Y158" s="47"/>
      <c r="Z158" s="47"/>
      <c r="AA158" s="47"/>
      <c r="AB158" s="47">
        <f>V158</f>
        <v>764.68139999999994</v>
      </c>
      <c r="AC158" s="101">
        <v>45381</v>
      </c>
      <c r="AD158" s="651"/>
    </row>
    <row r="159" spans="1:34" ht="15" thickBot="1">
      <c r="A159" s="279" t="s">
        <v>117</v>
      </c>
      <c r="B159" s="285" t="s">
        <v>117</v>
      </c>
      <c r="C159" s="285" t="s">
        <v>117</v>
      </c>
      <c r="D159" s="282" t="s">
        <v>117</v>
      </c>
      <c r="E159" s="233" t="s">
        <v>117</v>
      </c>
      <c r="F159" s="237">
        <v>5</v>
      </c>
      <c r="G159" s="238">
        <v>5</v>
      </c>
      <c r="H159" s="292" t="s">
        <v>554</v>
      </c>
      <c r="I159" s="53" t="s">
        <v>649</v>
      </c>
      <c r="J159" s="53" t="s">
        <v>124</v>
      </c>
      <c r="K159" s="44" t="s">
        <v>24</v>
      </c>
      <c r="L159" s="54">
        <v>2</v>
      </c>
      <c r="M159" s="55">
        <v>45382</v>
      </c>
      <c r="N159" s="55">
        <v>45386</v>
      </c>
      <c r="O159" s="428"/>
      <c r="P159" s="428"/>
      <c r="Q159" s="47">
        <v>2500</v>
      </c>
      <c r="R159" s="48">
        <v>4</v>
      </c>
      <c r="S159" s="47">
        <f t="shared" si="115"/>
        <v>10000</v>
      </c>
      <c r="T159" s="49">
        <v>-345.01</v>
      </c>
      <c r="U159" s="47">
        <f t="shared" si="133"/>
        <v>9654.99</v>
      </c>
      <c r="V159" s="62">
        <f t="shared" si="134"/>
        <v>1737.8981999999999</v>
      </c>
      <c r="W159" s="47">
        <f t="shared" si="135"/>
        <v>7917.0918000000001</v>
      </c>
      <c r="X159" s="47"/>
      <c r="Y159" s="47"/>
      <c r="Z159" s="47"/>
      <c r="AA159" s="47"/>
      <c r="AB159" s="47">
        <f>V159</f>
        <v>1737.8981999999999</v>
      </c>
      <c r="AC159" s="101">
        <v>45383</v>
      </c>
      <c r="AD159" s="651"/>
    </row>
    <row r="160" spans="1:34" ht="15" thickBot="1">
      <c r="A160" s="280" t="s">
        <v>117</v>
      </c>
      <c r="B160" s="286" t="s">
        <v>117</v>
      </c>
      <c r="C160" s="286" t="s">
        <v>117</v>
      </c>
      <c r="D160" s="283" t="s">
        <v>117</v>
      </c>
      <c r="E160" s="234" t="s">
        <v>117</v>
      </c>
      <c r="F160" s="239">
        <v>5</v>
      </c>
      <c r="G160" s="239">
        <v>5</v>
      </c>
      <c r="H160" s="293" t="s">
        <v>554</v>
      </c>
      <c r="I160" s="481" t="s">
        <v>648</v>
      </c>
      <c r="J160" s="481" t="s">
        <v>223</v>
      </c>
      <c r="K160" s="372" t="s">
        <v>210</v>
      </c>
      <c r="L160" s="482">
        <v>4</v>
      </c>
      <c r="M160" s="483">
        <v>45382</v>
      </c>
      <c r="N160" s="483">
        <v>45386</v>
      </c>
      <c r="O160" s="484"/>
      <c r="P160" s="484"/>
      <c r="Q160" s="485">
        <v>1600</v>
      </c>
      <c r="R160" s="482">
        <v>4</v>
      </c>
      <c r="S160" s="485">
        <f t="shared" si="115"/>
        <v>6400</v>
      </c>
      <c r="T160" s="486">
        <v>-231.14</v>
      </c>
      <c r="U160" s="485">
        <f>S160</f>
        <v>6400</v>
      </c>
      <c r="V160" s="485">
        <f>+U160*0.2</f>
        <v>1280</v>
      </c>
      <c r="W160" s="485"/>
      <c r="X160" s="485">
        <f>+U160-V160</f>
        <v>5120</v>
      </c>
      <c r="Y160" s="485"/>
      <c r="Z160" s="485"/>
      <c r="AA160" s="485"/>
      <c r="AB160" s="485">
        <f>V160</f>
        <v>1280</v>
      </c>
      <c r="AC160" s="483">
        <v>45383</v>
      </c>
      <c r="AD160" s="654"/>
      <c r="AE160" s="650" t="s">
        <v>464</v>
      </c>
      <c r="AF160" s="310" t="s">
        <v>465</v>
      </c>
      <c r="AG160" s="325" t="s">
        <v>59</v>
      </c>
      <c r="AH160" s="311" t="s">
        <v>466</v>
      </c>
    </row>
    <row r="161" spans="1:34" s="6" customFormat="1" ht="15" thickBot="1">
      <c r="A161" s="536" t="s">
        <v>731</v>
      </c>
      <c r="B161" s="530"/>
      <c r="C161" s="530"/>
      <c r="D161" s="530"/>
      <c r="E161" s="530"/>
      <c r="F161" s="530"/>
      <c r="G161" s="530"/>
      <c r="H161" s="531"/>
      <c r="I161" s="525"/>
      <c r="J161" s="532"/>
      <c r="K161" s="517"/>
      <c r="L161" s="518"/>
      <c r="M161" s="519"/>
      <c r="N161" s="519"/>
      <c r="O161" s="520"/>
      <c r="P161" s="520"/>
      <c r="Q161" s="521"/>
      <c r="R161" s="518"/>
      <c r="S161" s="521"/>
      <c r="T161" s="522"/>
      <c r="U161" s="521"/>
      <c r="V161" s="542">
        <f>SUM(V127:V160)</f>
        <v>22913.8658</v>
      </c>
      <c r="W161" s="523">
        <f>SUM(W127:W160)</f>
        <v>95837.344200000007</v>
      </c>
      <c r="X161" s="527">
        <f>SUM(X127:X160)</f>
        <v>14005.6</v>
      </c>
      <c r="Y161" s="645">
        <v>0</v>
      </c>
      <c r="Z161" s="521"/>
      <c r="AA161" s="521"/>
      <c r="AB161" s="524">
        <f>SUM(AB127:AB160)</f>
        <v>24113.866399999999</v>
      </c>
      <c r="AC161" s="519"/>
      <c r="AD161" s="529">
        <v>15769</v>
      </c>
      <c r="AE161" s="647">
        <f>SUM(AB127:AB160)</f>
        <v>24113.866399999999</v>
      </c>
      <c r="AF161" s="537">
        <f>+'Berman - Arrowood'!I40+'Camerer - Sewell'!J26+'Crook - Whalerock Beach'!J18</f>
        <v>4325</v>
      </c>
      <c r="AG161" s="538">
        <f>SUM(AE161:AF161)</f>
        <v>28438.866399999999</v>
      </c>
      <c r="AH161" s="539">
        <f>+AG161/3</f>
        <v>9479.6221333333324</v>
      </c>
    </row>
    <row r="162" spans="1:34">
      <c r="A162" s="279" t="s">
        <v>117</v>
      </c>
      <c r="B162" s="285" t="s">
        <v>117</v>
      </c>
      <c r="C162" s="285" t="s">
        <v>117</v>
      </c>
      <c r="D162" s="282" t="s">
        <v>117</v>
      </c>
      <c r="E162" s="233" t="s">
        <v>117</v>
      </c>
      <c r="F162" s="237" t="s">
        <v>592</v>
      </c>
      <c r="G162" s="238">
        <v>10</v>
      </c>
      <c r="H162" s="294" t="s">
        <v>557</v>
      </c>
      <c r="I162" s="410" t="s">
        <v>689</v>
      </c>
      <c r="J162" s="410" t="s">
        <v>107</v>
      </c>
      <c r="K162" s="229" t="s">
        <v>217</v>
      </c>
      <c r="L162" s="407">
        <v>2</v>
      </c>
      <c r="M162" s="408">
        <v>45385</v>
      </c>
      <c r="N162" s="408">
        <v>45387</v>
      </c>
      <c r="O162" s="449" t="s">
        <v>687</v>
      </c>
      <c r="P162" s="449" t="s">
        <v>756</v>
      </c>
      <c r="Q162" s="406">
        <f>+S162/R162</f>
        <v>995</v>
      </c>
      <c r="R162" s="407">
        <v>2</v>
      </c>
      <c r="S162" s="406">
        <v>1990</v>
      </c>
      <c r="T162" s="409">
        <f>-298.5-51.04-41.79</f>
        <v>-391.33000000000004</v>
      </c>
      <c r="U162" s="406">
        <f>+S162+T162</f>
        <v>1598.67</v>
      </c>
      <c r="V162" s="406"/>
      <c r="W162" s="406"/>
      <c r="X162" s="405"/>
      <c r="Y162" s="405"/>
      <c r="Z162" s="405"/>
      <c r="AA162" s="405"/>
      <c r="AB162" s="403"/>
      <c r="AC162" s="402">
        <v>45393</v>
      </c>
      <c r="AD162" s="655"/>
    </row>
    <row r="163" spans="1:34">
      <c r="A163" s="279" t="s">
        <v>117</v>
      </c>
      <c r="B163" s="285" t="s">
        <v>117</v>
      </c>
      <c r="C163" s="285" t="s">
        <v>117</v>
      </c>
      <c r="D163" s="282" t="s">
        <v>117</v>
      </c>
      <c r="E163" s="233" t="s">
        <v>117</v>
      </c>
      <c r="F163" s="237">
        <v>5</v>
      </c>
      <c r="G163" s="238"/>
      <c r="H163" s="292" t="s">
        <v>554</v>
      </c>
      <c r="I163" s="53" t="s">
        <v>491</v>
      </c>
      <c r="J163" s="53" t="s">
        <v>492</v>
      </c>
      <c r="K163" s="76" t="s">
        <v>23</v>
      </c>
      <c r="L163" s="54">
        <v>2</v>
      </c>
      <c r="M163" s="55">
        <v>45386</v>
      </c>
      <c r="N163" s="55">
        <v>45388</v>
      </c>
      <c r="O163" s="428" t="s">
        <v>687</v>
      </c>
      <c r="P163" s="428" t="s">
        <v>756</v>
      </c>
      <c r="Q163" s="47">
        <v>2500</v>
      </c>
      <c r="R163" s="48">
        <v>2</v>
      </c>
      <c r="S163" s="47">
        <f t="shared" ref="S163:S189" si="136">+Q163*R163</f>
        <v>5000</v>
      </c>
      <c r="T163" s="49">
        <v>-172.59</v>
      </c>
      <c r="U163" s="47">
        <f>SUM(S163:T163)</f>
        <v>4827.41</v>
      </c>
      <c r="V163" s="62">
        <f>+U163*0.18</f>
        <v>868.93379999999991</v>
      </c>
      <c r="W163" s="47">
        <f>+U163-V163</f>
        <v>3958.4762000000001</v>
      </c>
      <c r="X163" s="3"/>
      <c r="AB163" s="3">
        <f>V163</f>
        <v>868.93379999999991</v>
      </c>
      <c r="AC163" s="24">
        <v>45387</v>
      </c>
      <c r="AD163" s="651"/>
    </row>
    <row r="164" spans="1:34">
      <c r="A164" s="279" t="s">
        <v>117</v>
      </c>
      <c r="B164" s="285" t="s">
        <v>117</v>
      </c>
      <c r="C164" s="285" t="s">
        <v>117</v>
      </c>
      <c r="D164" s="282" t="s">
        <v>117</v>
      </c>
      <c r="E164" s="233" t="s">
        <v>117</v>
      </c>
      <c r="F164" s="237">
        <v>3</v>
      </c>
      <c r="G164" s="238">
        <v>1</v>
      </c>
      <c r="H164" s="292" t="s">
        <v>554</v>
      </c>
      <c r="I164" s="53" t="s">
        <v>693</v>
      </c>
      <c r="J164" s="53" t="s">
        <v>43</v>
      </c>
      <c r="K164" s="44" t="s">
        <v>24</v>
      </c>
      <c r="L164" s="54">
        <v>2</v>
      </c>
      <c r="M164" s="55">
        <v>45386</v>
      </c>
      <c r="N164" s="55">
        <v>45390</v>
      </c>
      <c r="O164" s="428" t="s">
        <v>687</v>
      </c>
      <c r="P164" s="428" t="s">
        <v>756</v>
      </c>
      <c r="Q164" s="62">
        <v>2500</v>
      </c>
      <c r="R164" s="54">
        <v>4</v>
      </c>
      <c r="S164" s="47">
        <f t="shared" si="136"/>
        <v>10000</v>
      </c>
      <c r="T164" s="49">
        <v>-344.97</v>
      </c>
      <c r="U164" s="47">
        <f t="shared" ref="U164" si="137">SUM(S164:T164)</f>
        <v>9655.0300000000007</v>
      </c>
      <c r="V164" s="62">
        <f t="shared" ref="V164" si="138">+U164*0.18</f>
        <v>1737.9054000000001</v>
      </c>
      <c r="W164" s="47">
        <f t="shared" ref="W164" si="139">+U164-V164</f>
        <v>7917.124600000001</v>
      </c>
      <c r="X164" s="3"/>
      <c r="AB164" s="3">
        <f>V164</f>
        <v>1737.9054000000001</v>
      </c>
      <c r="AC164" s="24">
        <v>45387</v>
      </c>
      <c r="AD164" s="651"/>
    </row>
    <row r="165" spans="1:34">
      <c r="A165" s="279" t="s">
        <v>117</v>
      </c>
      <c r="B165" s="285" t="s">
        <v>117</v>
      </c>
      <c r="C165" s="285" t="s">
        <v>117</v>
      </c>
      <c r="D165" s="282" t="s">
        <v>117</v>
      </c>
      <c r="E165" s="233" t="s">
        <v>117</v>
      </c>
      <c r="F165" s="237">
        <v>5</v>
      </c>
      <c r="G165" s="238">
        <v>5</v>
      </c>
      <c r="H165" s="292" t="s">
        <v>554</v>
      </c>
      <c r="I165" s="410" t="s">
        <v>699</v>
      </c>
      <c r="J165" s="410" t="s">
        <v>201</v>
      </c>
      <c r="K165" s="229" t="s">
        <v>217</v>
      </c>
      <c r="L165" s="407">
        <v>2</v>
      </c>
      <c r="M165" s="408">
        <v>45387</v>
      </c>
      <c r="N165" s="408">
        <v>45388</v>
      </c>
      <c r="O165" s="449" t="s">
        <v>687</v>
      </c>
      <c r="P165" s="449" t="s">
        <v>756</v>
      </c>
      <c r="Q165" s="406">
        <v>850</v>
      </c>
      <c r="R165" s="407">
        <v>1</v>
      </c>
      <c r="S165" s="406">
        <f t="shared" si="136"/>
        <v>850</v>
      </c>
      <c r="T165" s="409">
        <v>-29.35</v>
      </c>
      <c r="U165" s="406">
        <f>+S165+T165</f>
        <v>820.65</v>
      </c>
      <c r="V165" s="406"/>
      <c r="W165" s="406"/>
      <c r="X165" s="405"/>
      <c r="Y165" s="405"/>
      <c r="Z165" s="405"/>
      <c r="AA165" s="405"/>
      <c r="AB165" s="403"/>
      <c r="AC165" s="402">
        <v>45388</v>
      </c>
      <c r="AD165" s="655"/>
    </row>
    <row r="166" spans="1:34">
      <c r="A166" s="279" t="s">
        <v>117</v>
      </c>
      <c r="B166" s="285" t="s">
        <v>117</v>
      </c>
      <c r="C166" s="285" t="s">
        <v>117</v>
      </c>
      <c r="D166" s="282" t="s">
        <v>117</v>
      </c>
      <c r="E166" s="233" t="s">
        <v>117</v>
      </c>
      <c r="F166" s="237">
        <v>5</v>
      </c>
      <c r="G166" s="238"/>
      <c r="H166" s="292" t="s">
        <v>554</v>
      </c>
      <c r="I166" s="410" t="s">
        <v>698</v>
      </c>
      <c r="J166" s="410" t="s">
        <v>182</v>
      </c>
      <c r="K166" s="229" t="s">
        <v>217</v>
      </c>
      <c r="L166" s="407">
        <v>2</v>
      </c>
      <c r="M166" s="408">
        <v>45388</v>
      </c>
      <c r="N166" s="408">
        <v>45390</v>
      </c>
      <c r="O166" s="449" t="s">
        <v>687</v>
      </c>
      <c r="P166" s="449" t="s">
        <v>756</v>
      </c>
      <c r="Q166" s="406">
        <v>850</v>
      </c>
      <c r="R166" s="407">
        <v>2</v>
      </c>
      <c r="S166" s="406">
        <f t="shared" si="136"/>
        <v>1700</v>
      </c>
      <c r="T166" s="409">
        <v>-58.7</v>
      </c>
      <c r="U166" s="406">
        <f>+S166+T166</f>
        <v>1641.3</v>
      </c>
      <c r="V166" s="406"/>
      <c r="W166" s="406"/>
      <c r="X166" s="405"/>
      <c r="Y166" s="405"/>
      <c r="Z166" s="405"/>
      <c r="AA166" s="405"/>
      <c r="AB166" s="403"/>
      <c r="AC166" s="402">
        <v>45389</v>
      </c>
      <c r="AD166" s="655"/>
    </row>
    <row r="167" spans="1:34">
      <c r="A167" s="279" t="s">
        <v>117</v>
      </c>
      <c r="B167" s="285" t="s">
        <v>117</v>
      </c>
      <c r="C167" s="285" t="s">
        <v>117</v>
      </c>
      <c r="D167" s="282" t="s">
        <v>117</v>
      </c>
      <c r="E167" s="233" t="s">
        <v>117</v>
      </c>
      <c r="F167" s="237" t="s">
        <v>592</v>
      </c>
      <c r="G167" s="238"/>
      <c r="H167" s="290" t="s">
        <v>555</v>
      </c>
      <c r="I167" s="228" t="s">
        <v>570</v>
      </c>
      <c r="J167" s="43" t="s">
        <v>84</v>
      </c>
      <c r="K167" s="59" t="s">
        <v>87</v>
      </c>
      <c r="L167" s="54">
        <v>2</v>
      </c>
      <c r="M167" s="55">
        <v>45388</v>
      </c>
      <c r="N167" s="55">
        <v>45402</v>
      </c>
      <c r="O167" s="428" t="s">
        <v>687</v>
      </c>
      <c r="P167" s="428" t="s">
        <v>756</v>
      </c>
      <c r="Q167" s="47">
        <v>850</v>
      </c>
      <c r="R167" s="48">
        <v>14</v>
      </c>
      <c r="S167" s="47">
        <f>+Q167*R167</f>
        <v>11900</v>
      </c>
      <c r="T167" s="49">
        <v>0</v>
      </c>
      <c r="U167" s="47">
        <f>S167</f>
        <v>11900</v>
      </c>
      <c r="V167" s="62">
        <f>+U167*0.1</f>
        <v>1190</v>
      </c>
      <c r="W167" s="47">
        <f>+U167-V167</f>
        <v>10710</v>
      </c>
      <c r="AB167" s="3">
        <f>V167</f>
        <v>1190</v>
      </c>
      <c r="AC167" s="24">
        <v>45392</v>
      </c>
      <c r="AD167" s="651"/>
    </row>
    <row r="168" spans="1:34">
      <c r="A168" s="279" t="s">
        <v>117</v>
      </c>
      <c r="B168" s="285" t="s">
        <v>117</v>
      </c>
      <c r="C168" s="285" t="s">
        <v>117</v>
      </c>
      <c r="D168" s="282" t="s">
        <v>117</v>
      </c>
      <c r="E168" s="233" t="s">
        <v>117</v>
      </c>
      <c r="F168" s="237">
        <v>5</v>
      </c>
      <c r="G168" s="238">
        <v>5</v>
      </c>
      <c r="H168" s="292" t="s">
        <v>554</v>
      </c>
      <c r="I168" s="53" t="s">
        <v>725</v>
      </c>
      <c r="J168" t="s">
        <v>223</v>
      </c>
      <c r="K168" s="4" t="s">
        <v>24</v>
      </c>
      <c r="L168" s="29">
        <v>2</v>
      </c>
      <c r="M168" s="30">
        <v>45390</v>
      </c>
      <c r="N168" s="30">
        <v>45393</v>
      </c>
      <c r="O168" s="428" t="s">
        <v>687</v>
      </c>
      <c r="P168" s="428" t="s">
        <v>756</v>
      </c>
      <c r="Q168" s="3">
        <v>2500</v>
      </c>
      <c r="R168" s="1">
        <v>3</v>
      </c>
      <c r="S168" s="47">
        <f t="shared" si="136"/>
        <v>7500</v>
      </c>
      <c r="T168" s="49">
        <v>-258.73</v>
      </c>
      <c r="U168" s="47">
        <f t="shared" ref="U168" si="140">SUM(S168:T168)</f>
        <v>7241.27</v>
      </c>
      <c r="V168" s="62">
        <f t="shared" ref="V168" si="141">+U168*0.18</f>
        <v>1303.4286</v>
      </c>
      <c r="W168" s="47">
        <f t="shared" ref="W168" si="142">+U168-V168</f>
        <v>5937.8414000000002</v>
      </c>
      <c r="AB168" s="3">
        <f>V168</f>
        <v>1303.4286</v>
      </c>
      <c r="AC168" s="24">
        <v>45391</v>
      </c>
      <c r="AD168" s="651"/>
    </row>
    <row r="169" spans="1:34">
      <c r="A169" s="279" t="s">
        <v>117</v>
      </c>
      <c r="B169" s="285" t="s">
        <v>117</v>
      </c>
      <c r="C169" s="285" t="s">
        <v>117</v>
      </c>
      <c r="D169" s="282" t="s">
        <v>117</v>
      </c>
      <c r="E169" s="233" t="s">
        <v>117</v>
      </c>
      <c r="F169" s="237">
        <v>5</v>
      </c>
      <c r="G169" s="238"/>
      <c r="H169" s="290" t="s">
        <v>111</v>
      </c>
      <c r="I169" s="489" t="s">
        <v>718</v>
      </c>
      <c r="J169" s="495" t="s">
        <v>84</v>
      </c>
      <c r="K169" s="439" t="s">
        <v>388</v>
      </c>
      <c r="L169" s="497">
        <v>6</v>
      </c>
      <c r="M169" s="685">
        <v>45655</v>
      </c>
      <c r="N169" s="685">
        <v>45661</v>
      </c>
      <c r="O169" s="500" t="s">
        <v>692</v>
      </c>
      <c r="P169" s="500" t="s">
        <v>756</v>
      </c>
      <c r="Q169" s="496">
        <v>8900</v>
      </c>
      <c r="R169" s="497">
        <v>6</v>
      </c>
      <c r="S169" s="496">
        <f>+Q169*R169/2</f>
        <v>26700</v>
      </c>
      <c r="T169" s="498">
        <v>0</v>
      </c>
      <c r="U169" s="496">
        <f>S169</f>
        <v>26700</v>
      </c>
      <c r="V169" s="493">
        <f>+U169*0.2</f>
        <v>5340</v>
      </c>
      <c r="W169" s="493"/>
      <c r="X169" s="489"/>
      <c r="Y169" s="493">
        <f>+U169-V169</f>
        <v>21360</v>
      </c>
      <c r="Z169" s="493"/>
      <c r="AA169" s="493"/>
      <c r="AB169" s="496">
        <f>V169</f>
        <v>5340</v>
      </c>
      <c r="AC169" s="499">
        <v>45391</v>
      </c>
      <c r="AD169" s="687"/>
    </row>
    <row r="170" spans="1:34">
      <c r="A170" s="279" t="s">
        <v>117</v>
      </c>
      <c r="B170" s="285" t="s">
        <v>117</v>
      </c>
      <c r="C170" s="285" t="s">
        <v>117</v>
      </c>
      <c r="D170" s="282" t="s">
        <v>117</v>
      </c>
      <c r="E170" s="233" t="s">
        <v>117</v>
      </c>
      <c r="F170" s="237" t="s">
        <v>592</v>
      </c>
      <c r="G170" s="238"/>
      <c r="H170" s="290" t="s">
        <v>556</v>
      </c>
      <c r="I170" s="465" t="s">
        <v>737</v>
      </c>
      <c r="J170" s="405" t="s">
        <v>307</v>
      </c>
      <c r="K170" s="183" t="s">
        <v>217</v>
      </c>
      <c r="L170" s="401">
        <v>1</v>
      </c>
      <c r="M170" s="402">
        <v>45393</v>
      </c>
      <c r="N170" s="402">
        <v>45402</v>
      </c>
      <c r="O170" s="449" t="s">
        <v>687</v>
      </c>
      <c r="P170" s="449" t="s">
        <v>756</v>
      </c>
      <c r="Q170" s="403">
        <v>0</v>
      </c>
      <c r="R170" s="401">
        <v>13</v>
      </c>
      <c r="S170" s="403">
        <f>+Q170*R170</f>
        <v>0</v>
      </c>
      <c r="T170" s="404">
        <v>0</v>
      </c>
      <c r="U170" s="403">
        <v>0</v>
      </c>
      <c r="V170" s="403"/>
      <c r="W170" s="403"/>
      <c r="X170" s="406"/>
      <c r="Y170" s="406"/>
      <c r="Z170" s="406"/>
      <c r="AA170" s="406"/>
      <c r="AB170" s="406"/>
      <c r="AC170" s="408">
        <v>0</v>
      </c>
      <c r="AD170" s="655"/>
    </row>
    <row r="171" spans="1:34">
      <c r="A171" s="279" t="s">
        <v>117</v>
      </c>
      <c r="B171" s="285" t="s">
        <v>117</v>
      </c>
      <c r="C171" s="285" t="s">
        <v>117</v>
      </c>
      <c r="D171" s="282" t="s">
        <v>117</v>
      </c>
      <c r="E171" s="233" t="s">
        <v>117</v>
      </c>
      <c r="F171" s="237" t="s">
        <v>592</v>
      </c>
      <c r="G171" s="238"/>
      <c r="H171" s="290" t="s">
        <v>556</v>
      </c>
      <c r="I171" s="228" t="s">
        <v>733</v>
      </c>
      <c r="J171" s="15" t="s">
        <v>14</v>
      </c>
      <c r="K171" s="4" t="s">
        <v>24</v>
      </c>
      <c r="L171" s="29">
        <v>2</v>
      </c>
      <c r="M171" s="30">
        <v>45394</v>
      </c>
      <c r="N171" s="30">
        <v>45396</v>
      </c>
      <c r="O171" s="428" t="s">
        <v>687</v>
      </c>
      <c r="P171" s="428" t="s">
        <v>756</v>
      </c>
      <c r="Q171" s="3">
        <v>2500</v>
      </c>
      <c r="R171" s="1">
        <v>2</v>
      </c>
      <c r="S171" s="47">
        <v>2500</v>
      </c>
      <c r="T171" s="49">
        <v>0</v>
      </c>
      <c r="U171" s="47">
        <f t="shared" ref="U171" si="143">SUM(S171:T171)</f>
        <v>2500</v>
      </c>
      <c r="V171" s="62">
        <f t="shared" ref="V171" si="144">+U171*0.18</f>
        <v>450</v>
      </c>
      <c r="W171" s="47">
        <f t="shared" ref="W171" si="145">+U171-V171</f>
        <v>2050</v>
      </c>
      <c r="X171" s="62"/>
      <c r="Y171" s="62"/>
      <c r="Z171" s="62"/>
      <c r="AA171" s="62"/>
      <c r="AB171" s="62">
        <f t="shared" ref="AB171:AB176" si="146">V171</f>
        <v>450</v>
      </c>
      <c r="AC171" s="55">
        <v>45392</v>
      </c>
      <c r="AD171" s="189"/>
    </row>
    <row r="172" spans="1:34">
      <c r="A172" s="279" t="s">
        <v>117</v>
      </c>
      <c r="B172" s="285" t="s">
        <v>117</v>
      </c>
      <c r="C172" s="285" t="s">
        <v>117</v>
      </c>
      <c r="D172" s="282" t="s">
        <v>117</v>
      </c>
      <c r="E172" s="233" t="s">
        <v>117</v>
      </c>
      <c r="F172" s="237">
        <v>5</v>
      </c>
      <c r="G172" s="238">
        <v>5</v>
      </c>
      <c r="H172" s="292" t="s">
        <v>554</v>
      </c>
      <c r="I172" s="53" t="s">
        <v>738</v>
      </c>
      <c r="J172" s="15" t="s">
        <v>739</v>
      </c>
      <c r="K172" s="18" t="s">
        <v>23</v>
      </c>
      <c r="L172" s="29">
        <v>1</v>
      </c>
      <c r="M172" s="30">
        <v>45394</v>
      </c>
      <c r="N172" s="30">
        <v>45397</v>
      </c>
      <c r="O172" s="428" t="s">
        <v>687</v>
      </c>
      <c r="P172" s="428" t="s">
        <v>756</v>
      </c>
      <c r="Q172" s="3">
        <v>2000</v>
      </c>
      <c r="R172" s="1">
        <v>3</v>
      </c>
      <c r="S172" s="47">
        <f>+Q172*R172</f>
        <v>6000</v>
      </c>
      <c r="T172" s="49">
        <v>-207.05</v>
      </c>
      <c r="U172" s="47">
        <f>SUM(S172:T172)</f>
        <v>5792.95</v>
      </c>
      <c r="V172" s="62">
        <f>+U172*0.18</f>
        <v>1042.731</v>
      </c>
      <c r="W172" s="47">
        <f>+U172-V172</f>
        <v>4750.2190000000001</v>
      </c>
      <c r="X172" s="62"/>
      <c r="Y172" s="62"/>
      <c r="Z172" s="62"/>
      <c r="AA172" s="62"/>
      <c r="AB172" s="62">
        <f t="shared" si="146"/>
        <v>1042.731</v>
      </c>
      <c r="AC172" s="55">
        <v>45395</v>
      </c>
      <c r="AD172" s="189"/>
    </row>
    <row r="173" spans="1:34">
      <c r="A173" s="279" t="s">
        <v>117</v>
      </c>
      <c r="B173" s="285" t="s">
        <v>117</v>
      </c>
      <c r="C173" s="285" t="s">
        <v>117</v>
      </c>
      <c r="D173" s="282" t="s">
        <v>117</v>
      </c>
      <c r="E173" s="233" t="s">
        <v>117</v>
      </c>
      <c r="F173" s="237">
        <v>5</v>
      </c>
      <c r="G173" s="238">
        <v>5</v>
      </c>
      <c r="H173" s="292" t="s">
        <v>554</v>
      </c>
      <c r="I173" s="53" t="s">
        <v>365</v>
      </c>
      <c r="J173" t="s">
        <v>124</v>
      </c>
      <c r="K173" s="4" t="s">
        <v>24</v>
      </c>
      <c r="L173" s="29">
        <v>2</v>
      </c>
      <c r="M173" s="30">
        <v>45398</v>
      </c>
      <c r="N173" s="30">
        <v>45400</v>
      </c>
      <c r="O173" s="428" t="s">
        <v>687</v>
      </c>
      <c r="P173" s="428" t="s">
        <v>756</v>
      </c>
      <c r="Q173" s="3">
        <v>2500</v>
      </c>
      <c r="R173" s="1">
        <v>2</v>
      </c>
      <c r="S173" s="47">
        <f t="shared" si="136"/>
        <v>5000</v>
      </c>
      <c r="T173" s="49">
        <v>-172.47</v>
      </c>
      <c r="U173" s="47">
        <f t="shared" ref="U173" si="147">SUM(S173:T173)</f>
        <v>4827.53</v>
      </c>
      <c r="V173" s="62">
        <f t="shared" ref="V173" si="148">+U173*0.18</f>
        <v>868.95539999999994</v>
      </c>
      <c r="W173" s="47">
        <f t="shared" ref="W173" si="149">+U173-V173</f>
        <v>3958.5745999999999</v>
      </c>
      <c r="AB173" s="3">
        <f t="shared" si="146"/>
        <v>868.95539999999994</v>
      </c>
      <c r="AC173" s="24">
        <v>45399</v>
      </c>
      <c r="AD173" s="651"/>
    </row>
    <row r="174" spans="1:34">
      <c r="A174" s="279" t="s">
        <v>117</v>
      </c>
      <c r="B174" s="285" t="s">
        <v>117</v>
      </c>
      <c r="C174" s="285" t="s">
        <v>117</v>
      </c>
      <c r="D174" s="282" t="s">
        <v>117</v>
      </c>
      <c r="E174" s="233" t="s">
        <v>117</v>
      </c>
      <c r="F174" s="237">
        <v>5</v>
      </c>
      <c r="G174" s="238">
        <v>5</v>
      </c>
      <c r="H174" s="292" t="s">
        <v>554</v>
      </c>
      <c r="I174" s="489" t="s">
        <v>387</v>
      </c>
      <c r="J174" s="489" t="s">
        <v>223</v>
      </c>
      <c r="K174" s="258" t="s">
        <v>388</v>
      </c>
      <c r="L174" s="490">
        <v>7</v>
      </c>
      <c r="M174" s="491">
        <v>45402</v>
      </c>
      <c r="N174" s="491">
        <v>45405</v>
      </c>
      <c r="O174" s="492" t="s">
        <v>687</v>
      </c>
      <c r="P174" s="492" t="s">
        <v>756</v>
      </c>
      <c r="Q174" s="493">
        <v>3613.33</v>
      </c>
      <c r="R174" s="490">
        <v>3</v>
      </c>
      <c r="S174" s="493">
        <f t="shared" si="136"/>
        <v>10839.99</v>
      </c>
      <c r="T174" s="494">
        <v>-373.93</v>
      </c>
      <c r="U174" s="493">
        <f>SUM(S174:T174)</f>
        <v>10466.06</v>
      </c>
      <c r="V174" s="493">
        <f>+U174*0.2</f>
        <v>2093.212</v>
      </c>
      <c r="W174" s="493"/>
      <c r="X174" s="489"/>
      <c r="Y174" s="493">
        <f>+U174-V174</f>
        <v>8372.848</v>
      </c>
      <c r="Z174" s="493"/>
      <c r="AA174" s="493"/>
      <c r="AB174" s="493">
        <f t="shared" si="146"/>
        <v>2093.212</v>
      </c>
      <c r="AC174" s="491">
        <v>45403</v>
      </c>
      <c r="AD174" s="651"/>
    </row>
    <row r="175" spans="1:34" s="6" customFormat="1">
      <c r="A175" s="279" t="s">
        <v>117</v>
      </c>
      <c r="B175" s="285" t="s">
        <v>117</v>
      </c>
      <c r="C175" s="285" t="s">
        <v>117</v>
      </c>
      <c r="D175" s="282" t="s">
        <v>117</v>
      </c>
      <c r="E175" s="233" t="s">
        <v>117</v>
      </c>
      <c r="F175" s="237">
        <v>5</v>
      </c>
      <c r="G175" s="238">
        <v>5</v>
      </c>
      <c r="H175" s="292" t="s">
        <v>554</v>
      </c>
      <c r="I175" s="53" t="s">
        <v>743</v>
      </c>
      <c r="J175" s="53" t="s">
        <v>82</v>
      </c>
      <c r="K175" s="76" t="s">
        <v>23</v>
      </c>
      <c r="L175" s="54">
        <v>2</v>
      </c>
      <c r="M175" s="55">
        <v>45403</v>
      </c>
      <c r="N175" s="55">
        <v>45405</v>
      </c>
      <c r="O175" s="428" t="s">
        <v>687</v>
      </c>
      <c r="P175" s="428" t="s">
        <v>756</v>
      </c>
      <c r="Q175" s="3">
        <v>2000</v>
      </c>
      <c r="R175" s="1">
        <v>2</v>
      </c>
      <c r="S175" s="47">
        <f>+Q175*R175</f>
        <v>4000</v>
      </c>
      <c r="T175" s="49">
        <v>-138</v>
      </c>
      <c r="U175" s="47">
        <f>SUM(S175:T175)</f>
        <v>3862</v>
      </c>
      <c r="V175" s="62">
        <f>+U175*0.18</f>
        <v>695.16</v>
      </c>
      <c r="W175" s="47">
        <f>+U175-V175</f>
        <v>3166.84</v>
      </c>
      <c r="X175" s="53"/>
      <c r="Y175" s="62"/>
      <c r="Z175" s="62"/>
      <c r="AA175" s="62"/>
      <c r="AB175" s="62">
        <f t="shared" si="146"/>
        <v>695.16</v>
      </c>
      <c r="AC175" s="55">
        <v>45404</v>
      </c>
      <c r="AD175" s="651"/>
      <c r="AE175"/>
      <c r="AF175"/>
      <c r="AG175"/>
      <c r="AH175"/>
    </row>
    <row r="176" spans="1:34">
      <c r="A176" s="279" t="s">
        <v>117</v>
      </c>
      <c r="B176" s="285" t="s">
        <v>117</v>
      </c>
      <c r="C176" s="285" t="s">
        <v>117</v>
      </c>
      <c r="D176" s="282" t="s">
        <v>117</v>
      </c>
      <c r="E176" s="233" t="s">
        <v>117</v>
      </c>
      <c r="F176" s="237">
        <v>5</v>
      </c>
      <c r="G176" s="238">
        <v>5</v>
      </c>
      <c r="H176" s="292" t="s">
        <v>554</v>
      </c>
      <c r="I176" s="53" t="s">
        <v>641</v>
      </c>
      <c r="J176" s="43" t="s">
        <v>221</v>
      </c>
      <c r="K176" s="44" t="s">
        <v>24</v>
      </c>
      <c r="L176" s="54">
        <v>2</v>
      </c>
      <c r="M176" s="55">
        <v>45407</v>
      </c>
      <c r="N176" s="55">
        <v>45413</v>
      </c>
      <c r="O176" s="428" t="s">
        <v>687</v>
      </c>
      <c r="P176" s="428" t="s">
        <v>756</v>
      </c>
      <c r="Q176" s="47">
        <v>2500</v>
      </c>
      <c r="R176" s="48">
        <v>6</v>
      </c>
      <c r="S176" s="47">
        <f t="shared" si="136"/>
        <v>15000</v>
      </c>
      <c r="T176" s="49">
        <v>-517.5</v>
      </c>
      <c r="U176" s="47">
        <f>SUM(S176:T176)</f>
        <v>14482.5</v>
      </c>
      <c r="V176" s="62">
        <f t="shared" ref="V176" si="150">+U176*0.18</f>
        <v>2606.85</v>
      </c>
      <c r="W176" s="47">
        <f t="shared" ref="W176" si="151">+U176-V176</f>
        <v>11875.65</v>
      </c>
      <c r="X176" s="43"/>
      <c r="Y176" s="47"/>
      <c r="Z176" s="47"/>
      <c r="AA176" s="47"/>
      <c r="AB176" s="47">
        <f t="shared" si="146"/>
        <v>2606.85</v>
      </c>
      <c r="AC176" s="101">
        <v>45408</v>
      </c>
      <c r="AD176" s="651"/>
    </row>
    <row r="177" spans="1:34">
      <c r="A177" s="279" t="s">
        <v>117</v>
      </c>
      <c r="B177" s="285" t="s">
        <v>117</v>
      </c>
      <c r="C177" s="285" t="s">
        <v>117</v>
      </c>
      <c r="D177" s="282" t="s">
        <v>117</v>
      </c>
      <c r="E177" s="233" t="s">
        <v>117</v>
      </c>
      <c r="F177" s="237" t="s">
        <v>592</v>
      </c>
      <c r="G177" s="238"/>
      <c r="H177" s="290" t="s">
        <v>555</v>
      </c>
      <c r="I177" s="591" t="s">
        <v>691</v>
      </c>
      <c r="J177" s="469" t="s">
        <v>398</v>
      </c>
      <c r="K177" s="250" t="s">
        <v>210</v>
      </c>
      <c r="L177" s="477">
        <v>4</v>
      </c>
      <c r="M177" s="478">
        <v>45409</v>
      </c>
      <c r="N177" s="478">
        <v>45413</v>
      </c>
      <c r="O177" s="479" t="s">
        <v>692</v>
      </c>
      <c r="P177" s="479" t="s">
        <v>756</v>
      </c>
      <c r="Q177" s="475">
        <v>0</v>
      </c>
      <c r="R177" s="477">
        <v>4</v>
      </c>
      <c r="S177" s="475">
        <v>0</v>
      </c>
      <c r="T177" s="480">
        <v>0</v>
      </c>
      <c r="U177" s="475">
        <v>0</v>
      </c>
      <c r="V177" s="475">
        <v>0</v>
      </c>
      <c r="W177" s="475"/>
      <c r="X177" s="475">
        <v>0</v>
      </c>
      <c r="Y177" s="475"/>
      <c r="Z177" s="475"/>
      <c r="AA177" s="475"/>
      <c r="AB177" s="475"/>
      <c r="AC177" s="478">
        <v>0</v>
      </c>
      <c r="AD177" s="651"/>
    </row>
    <row r="178" spans="1:34" ht="15" thickBot="1">
      <c r="A178" s="279" t="s">
        <v>117</v>
      </c>
      <c r="B178" s="285" t="s">
        <v>117</v>
      </c>
      <c r="C178" s="285" t="s">
        <v>117</v>
      </c>
      <c r="D178" s="282" t="s">
        <v>117</v>
      </c>
      <c r="E178" s="233" t="s">
        <v>117</v>
      </c>
      <c r="F178" s="237">
        <v>5</v>
      </c>
      <c r="G178" s="238">
        <v>5</v>
      </c>
      <c r="H178" s="292" t="s">
        <v>554</v>
      </c>
      <c r="I178" s="53" t="s">
        <v>754</v>
      </c>
      <c r="J178" t="s">
        <v>14</v>
      </c>
      <c r="K178" s="18" t="s">
        <v>23</v>
      </c>
      <c r="L178" s="29">
        <v>2</v>
      </c>
      <c r="M178" s="30">
        <v>45408</v>
      </c>
      <c r="N178" s="30">
        <v>45410</v>
      </c>
      <c r="O178" s="428" t="s">
        <v>687</v>
      </c>
      <c r="P178" s="428" t="s">
        <v>756</v>
      </c>
      <c r="Q178" s="3">
        <v>2000</v>
      </c>
      <c r="R178" s="1">
        <v>2</v>
      </c>
      <c r="S178" s="3">
        <f t="shared" ref="S178" si="152">+Q178*R178</f>
        <v>4000</v>
      </c>
      <c r="T178" s="28">
        <v>-138</v>
      </c>
      <c r="U178" s="3">
        <f>SUM(S178:T178)</f>
        <v>3862</v>
      </c>
      <c r="V178" s="62">
        <f t="shared" ref="V178" si="153">+U178*0.18</f>
        <v>695.16</v>
      </c>
      <c r="W178" s="47">
        <f t="shared" ref="W178" si="154">+U178-V178</f>
        <v>3166.84</v>
      </c>
      <c r="Y178" s="3"/>
      <c r="Z178" s="3"/>
      <c r="AA178" s="3"/>
      <c r="AB178" s="3">
        <f>V178</f>
        <v>695.16</v>
      </c>
      <c r="AC178" s="24">
        <v>45409</v>
      </c>
      <c r="AD178" s="651"/>
    </row>
    <row r="179" spans="1:34" ht="15" thickBot="1">
      <c r="A179" s="279" t="s">
        <v>117</v>
      </c>
      <c r="B179" s="285" t="s">
        <v>117</v>
      </c>
      <c r="C179" s="285" t="s">
        <v>117</v>
      </c>
      <c r="D179" s="282" t="s">
        <v>117</v>
      </c>
      <c r="E179" s="233" t="s">
        <v>117</v>
      </c>
      <c r="F179" s="237" t="s">
        <v>592</v>
      </c>
      <c r="G179" s="238"/>
      <c r="H179" s="290" t="s">
        <v>556</v>
      </c>
      <c r="I179" s="465" t="s">
        <v>736</v>
      </c>
      <c r="J179" s="405" t="s">
        <v>308</v>
      </c>
      <c r="K179" s="183" t="s">
        <v>217</v>
      </c>
      <c r="L179" s="401">
        <v>4</v>
      </c>
      <c r="M179" s="402">
        <v>45410</v>
      </c>
      <c r="N179" s="402">
        <v>45411</v>
      </c>
      <c r="O179" s="449" t="s">
        <v>687</v>
      </c>
      <c r="P179" s="449" t="s">
        <v>756</v>
      </c>
      <c r="Q179" s="403">
        <v>0</v>
      </c>
      <c r="R179" s="401">
        <v>1</v>
      </c>
      <c r="S179" s="403">
        <f>+Q179*R179</f>
        <v>0</v>
      </c>
      <c r="T179" s="404">
        <v>0</v>
      </c>
      <c r="U179" s="403">
        <v>0</v>
      </c>
      <c r="V179" s="403"/>
      <c r="W179" s="403"/>
      <c r="X179" s="406"/>
      <c r="Y179" s="406"/>
      <c r="Z179" s="406"/>
      <c r="AA179" s="406"/>
      <c r="AB179" s="406"/>
      <c r="AC179" s="408"/>
      <c r="AD179" s="529"/>
      <c r="AE179" s="650" t="s">
        <v>464</v>
      </c>
      <c r="AF179" s="310" t="s">
        <v>465</v>
      </c>
      <c r="AG179" s="325" t="s">
        <v>59</v>
      </c>
      <c r="AH179" s="311" t="s">
        <v>466</v>
      </c>
    </row>
    <row r="180" spans="1:34" ht="15" thickBot="1">
      <c r="A180" s="536" t="s">
        <v>732</v>
      </c>
      <c r="B180" s="530"/>
      <c r="C180" s="530"/>
      <c r="D180" s="530"/>
      <c r="E180" s="530"/>
      <c r="F180" s="530"/>
      <c r="G180" s="530"/>
      <c r="H180" s="531"/>
      <c r="I180" s="525"/>
      <c r="J180" s="532"/>
      <c r="K180" s="517"/>
      <c r="L180" s="518"/>
      <c r="M180" s="519"/>
      <c r="N180" s="519"/>
      <c r="O180" s="520"/>
      <c r="P180" s="520"/>
      <c r="Q180" s="521"/>
      <c r="R180" s="518"/>
      <c r="S180" s="521"/>
      <c r="T180" s="522"/>
      <c r="U180" s="521"/>
      <c r="V180" s="542">
        <f>SUM(V162:V179)</f>
        <v>18892.336199999998</v>
      </c>
      <c r="W180" s="523">
        <f>SUM(W162:W179)</f>
        <v>57491.565800000011</v>
      </c>
      <c r="X180" s="527">
        <f>SUM(X170:X177)</f>
        <v>0</v>
      </c>
      <c r="Y180" s="645">
        <f>SUM(Y162:Y179)</f>
        <v>29732.847999999998</v>
      </c>
      <c r="Z180" s="521"/>
      <c r="AA180" s="521"/>
      <c r="AB180" s="524">
        <f>SUM(AB162:AB179)</f>
        <v>18892.336199999998</v>
      </c>
      <c r="AC180" s="519"/>
      <c r="AD180" s="529">
        <v>4060</v>
      </c>
      <c r="AE180" s="647">
        <f>AB180</f>
        <v>18892.336199999998</v>
      </c>
      <c r="AF180" s="537">
        <f>+'Berman - Arrowood'!I46+'Camerer - Sewell'!J37+'Crook - Whalerock Beach'!J24</f>
        <v>5550</v>
      </c>
      <c r="AG180" s="538">
        <f>SUM(AE180:AF180)</f>
        <v>24442.336199999998</v>
      </c>
      <c r="AH180" s="539">
        <f>+AG180/3</f>
        <v>8147.4453999999996</v>
      </c>
    </row>
    <row r="181" spans="1:34">
      <c r="A181" s="279" t="s">
        <v>117</v>
      </c>
      <c r="B181" s="285" t="s">
        <v>117</v>
      </c>
      <c r="C181" s="285" t="s">
        <v>117</v>
      </c>
      <c r="D181" s="282" t="s">
        <v>117</v>
      </c>
      <c r="E181" s="233" t="s">
        <v>117</v>
      </c>
      <c r="F181" s="237">
        <v>5</v>
      </c>
      <c r="G181" s="238"/>
      <c r="H181" s="292" t="s">
        <v>554</v>
      </c>
      <c r="I181" s="53" t="s">
        <v>750</v>
      </c>
      <c r="J181" t="s">
        <v>75</v>
      </c>
      <c r="K181" s="18" t="s">
        <v>23</v>
      </c>
      <c r="L181" s="29">
        <v>2</v>
      </c>
      <c r="M181" s="30">
        <v>45413</v>
      </c>
      <c r="N181" s="30">
        <v>45415</v>
      </c>
      <c r="O181" s="428" t="s">
        <v>687</v>
      </c>
      <c r="P181" s="428" t="s">
        <v>756</v>
      </c>
      <c r="Q181" s="3">
        <v>2000</v>
      </c>
      <c r="R181" s="1">
        <v>2</v>
      </c>
      <c r="S181" s="3">
        <f t="shared" ref="S181" si="155">+Q181*R181</f>
        <v>4000</v>
      </c>
      <c r="T181" s="28">
        <v>-137.99</v>
      </c>
      <c r="U181" s="3">
        <f>SUM(S181:T181)</f>
        <v>3862.01</v>
      </c>
      <c r="V181" s="62">
        <f t="shared" ref="V181" si="156">+U181*0.18</f>
        <v>695.16179999999997</v>
      </c>
      <c r="W181" s="47">
        <f t="shared" ref="W181" si="157">+U181-V181</f>
        <v>3166.8482000000004</v>
      </c>
      <c r="Y181" s="3"/>
      <c r="Z181" s="3"/>
      <c r="AA181" s="3"/>
      <c r="AB181" s="3">
        <f>V181</f>
        <v>695.16179999999997</v>
      </c>
      <c r="AC181" s="24">
        <v>45414</v>
      </c>
      <c r="AD181" s="651"/>
    </row>
    <row r="182" spans="1:34">
      <c r="A182" s="279" t="s">
        <v>117</v>
      </c>
      <c r="B182" s="285" t="s">
        <v>117</v>
      </c>
      <c r="C182" s="285" t="s">
        <v>117</v>
      </c>
      <c r="D182" s="282" t="s">
        <v>117</v>
      </c>
      <c r="E182" s="233" t="s">
        <v>117</v>
      </c>
      <c r="F182" s="237" t="s">
        <v>592</v>
      </c>
      <c r="G182" s="238"/>
      <c r="H182" s="290" t="s">
        <v>555</v>
      </c>
      <c r="I182" s="227" t="s">
        <v>762</v>
      </c>
      <c r="J182" s="43" t="s">
        <v>569</v>
      </c>
      <c r="K182" s="59" t="s">
        <v>87</v>
      </c>
      <c r="L182" s="54">
        <v>2</v>
      </c>
      <c r="M182" s="55">
        <v>45413</v>
      </c>
      <c r="N182" s="55">
        <v>45431</v>
      </c>
      <c r="O182" s="428" t="s">
        <v>687</v>
      </c>
      <c r="P182" s="428" t="s">
        <v>756</v>
      </c>
      <c r="Q182" s="47" t="s">
        <v>332</v>
      </c>
      <c r="R182" s="48">
        <v>18</v>
      </c>
      <c r="S182" s="47">
        <v>0</v>
      </c>
      <c r="T182" s="49">
        <v>0</v>
      </c>
      <c r="U182" s="47">
        <f>S182</f>
        <v>0</v>
      </c>
      <c r="V182" s="62">
        <f>+U182*0.1</f>
        <v>0</v>
      </c>
      <c r="W182" s="47">
        <f>+U182-V182</f>
        <v>0</v>
      </c>
      <c r="Y182" s="3"/>
      <c r="AB182" s="3">
        <v>0</v>
      </c>
      <c r="AC182" s="24">
        <v>0</v>
      </c>
      <c r="AD182" s="651"/>
    </row>
    <row r="183" spans="1:34">
      <c r="A183" s="279" t="s">
        <v>117</v>
      </c>
      <c r="B183" s="285" t="s">
        <v>117</v>
      </c>
      <c r="C183" s="285" t="s">
        <v>117</v>
      </c>
      <c r="D183" s="282" t="s">
        <v>117</v>
      </c>
      <c r="E183" s="233" t="s">
        <v>117</v>
      </c>
      <c r="F183" s="237" t="s">
        <v>592</v>
      </c>
      <c r="G183" s="238">
        <v>10</v>
      </c>
      <c r="H183" s="294" t="s">
        <v>557</v>
      </c>
      <c r="I183" s="464" t="s">
        <v>782</v>
      </c>
      <c r="J183" s="410" t="s">
        <v>107</v>
      </c>
      <c r="K183" s="229" t="s">
        <v>217</v>
      </c>
      <c r="L183" s="407">
        <v>2</v>
      </c>
      <c r="M183" s="408">
        <v>45415</v>
      </c>
      <c r="N183" s="408">
        <v>45416</v>
      </c>
      <c r="O183" s="449" t="s">
        <v>687</v>
      </c>
      <c r="P183" s="449" t="s">
        <v>756</v>
      </c>
      <c r="Q183" s="406">
        <v>895.5</v>
      </c>
      <c r="R183" s="407">
        <v>1</v>
      </c>
      <c r="S183" s="406">
        <f>Q183</f>
        <v>895.5</v>
      </c>
      <c r="T183" s="409">
        <f>-153.13-22.97</f>
        <v>-176.1</v>
      </c>
      <c r="U183" s="406">
        <f>+S183+T183</f>
        <v>719.4</v>
      </c>
      <c r="V183" s="406"/>
      <c r="W183" s="406"/>
      <c r="X183" s="405"/>
      <c r="Y183" s="405"/>
      <c r="Z183" s="405"/>
      <c r="AA183" s="405"/>
      <c r="AB183" s="403"/>
      <c r="AC183" s="402">
        <v>45421</v>
      </c>
      <c r="AD183" s="655"/>
    </row>
    <row r="184" spans="1:34">
      <c r="A184" s="279" t="s">
        <v>117</v>
      </c>
      <c r="B184" s="285" t="s">
        <v>117</v>
      </c>
      <c r="C184" s="285" t="s">
        <v>117</v>
      </c>
      <c r="D184" s="282" t="s">
        <v>117</v>
      </c>
      <c r="E184" s="233" t="s">
        <v>117</v>
      </c>
      <c r="F184" s="237">
        <v>5</v>
      </c>
      <c r="G184" s="238">
        <v>5</v>
      </c>
      <c r="H184" s="292" t="s">
        <v>554</v>
      </c>
      <c r="I184" s="464" t="s">
        <v>794</v>
      </c>
      <c r="J184" s="410" t="s">
        <v>107</v>
      </c>
      <c r="K184" s="229" t="s">
        <v>217</v>
      </c>
      <c r="L184" s="407">
        <v>1</v>
      </c>
      <c r="M184" s="408">
        <v>45421</v>
      </c>
      <c r="N184" s="408">
        <v>45422</v>
      </c>
      <c r="O184" s="449" t="s">
        <v>687</v>
      </c>
      <c r="P184" s="449" t="s">
        <v>756</v>
      </c>
      <c r="Q184" s="406">
        <v>750</v>
      </c>
      <c r="R184" s="407">
        <v>1</v>
      </c>
      <c r="S184" s="406">
        <f>Q184</f>
        <v>750</v>
      </c>
      <c r="T184" s="409">
        <v>-25.88</v>
      </c>
      <c r="U184" s="406">
        <f>+S184+T184</f>
        <v>724.12</v>
      </c>
      <c r="V184" s="406"/>
      <c r="W184" s="406"/>
      <c r="X184" s="405"/>
      <c r="Y184" s="405"/>
      <c r="Z184" s="405"/>
      <c r="AA184" s="405"/>
      <c r="AB184" s="403"/>
      <c r="AC184" s="402">
        <v>45422</v>
      </c>
      <c r="AD184" s="655"/>
    </row>
    <row r="185" spans="1:34">
      <c r="A185" s="279" t="s">
        <v>117</v>
      </c>
      <c r="B185" s="285" t="s">
        <v>117</v>
      </c>
      <c r="C185" s="285" t="s">
        <v>117</v>
      </c>
      <c r="D185" s="282" t="s">
        <v>117</v>
      </c>
      <c r="E185" s="233" t="s">
        <v>117</v>
      </c>
      <c r="F185" s="237">
        <v>5</v>
      </c>
      <c r="G185" s="238">
        <v>5</v>
      </c>
      <c r="H185" s="292" t="s">
        <v>554</v>
      </c>
      <c r="I185" s="464" t="s">
        <v>810</v>
      </c>
      <c r="J185" s="410" t="s">
        <v>124</v>
      </c>
      <c r="K185" s="229" t="s">
        <v>217</v>
      </c>
      <c r="L185" s="407">
        <v>2</v>
      </c>
      <c r="M185" s="408">
        <v>45423</v>
      </c>
      <c r="N185" s="408">
        <v>45424</v>
      </c>
      <c r="O185" s="449" t="s">
        <v>687</v>
      </c>
      <c r="P185" s="449" t="s">
        <v>756</v>
      </c>
      <c r="Q185" s="406">
        <v>750</v>
      </c>
      <c r="R185" s="407">
        <v>1</v>
      </c>
      <c r="S185" s="406">
        <f>Q185</f>
        <v>750</v>
      </c>
      <c r="T185" s="409">
        <v>-25.88</v>
      </c>
      <c r="U185" s="406">
        <f>+S185+T185</f>
        <v>724.12</v>
      </c>
      <c r="V185" s="406"/>
      <c r="W185" s="406"/>
      <c r="X185" s="405"/>
      <c r="Y185" s="405"/>
      <c r="Z185" s="405"/>
      <c r="AA185" s="405"/>
      <c r="AB185" s="403"/>
      <c r="AC185" s="402">
        <v>45424</v>
      </c>
      <c r="AD185" s="655"/>
    </row>
    <row r="186" spans="1:34">
      <c r="A186" s="279" t="s">
        <v>117</v>
      </c>
      <c r="B186" s="285" t="s">
        <v>117</v>
      </c>
      <c r="C186" s="285" t="s">
        <v>117</v>
      </c>
      <c r="D186" s="282" t="s">
        <v>117</v>
      </c>
      <c r="E186" s="233" t="s">
        <v>117</v>
      </c>
      <c r="F186" s="237">
        <v>5</v>
      </c>
      <c r="G186" s="238">
        <v>5</v>
      </c>
      <c r="H186" s="292" t="s">
        <v>554</v>
      </c>
      <c r="I186" s="227" t="s">
        <v>813</v>
      </c>
      <c r="J186" s="53" t="s">
        <v>814</v>
      </c>
      <c r="K186" s="622" t="s">
        <v>23</v>
      </c>
      <c r="L186" s="54">
        <v>2</v>
      </c>
      <c r="M186" s="55">
        <v>45425</v>
      </c>
      <c r="N186" s="55">
        <v>45427</v>
      </c>
      <c r="O186" s="428" t="s">
        <v>687</v>
      </c>
      <c r="P186" s="428" t="s">
        <v>756</v>
      </c>
      <c r="Q186" s="3">
        <v>2000</v>
      </c>
      <c r="R186" s="1">
        <v>2</v>
      </c>
      <c r="S186" s="3">
        <f t="shared" ref="S186" si="158">+Q186*R186</f>
        <v>4000</v>
      </c>
      <c r="T186" s="28">
        <v>-137.91</v>
      </c>
      <c r="U186" s="3">
        <f>SUM(S186:T186)</f>
        <v>3862.09</v>
      </c>
      <c r="V186" s="47">
        <f t="shared" ref="V186" si="159">+U186*0.18</f>
        <v>695.17619999999999</v>
      </c>
      <c r="W186" s="47">
        <f t="shared" ref="W186" si="160">+U186-V186</f>
        <v>3166.9138000000003</v>
      </c>
      <c r="X186" s="15"/>
      <c r="Y186" s="15"/>
      <c r="Z186" s="15"/>
      <c r="AA186" s="15"/>
      <c r="AB186" s="50">
        <f>V186</f>
        <v>695.17619999999999</v>
      </c>
      <c r="AC186" s="30">
        <v>45426</v>
      </c>
      <c r="AD186" s="189"/>
    </row>
    <row r="187" spans="1:34">
      <c r="A187" s="279" t="s">
        <v>117</v>
      </c>
      <c r="B187" s="285" t="s">
        <v>117</v>
      </c>
      <c r="C187" s="285" t="s">
        <v>117</v>
      </c>
      <c r="D187" s="282" t="s">
        <v>117</v>
      </c>
      <c r="E187" s="233" t="s">
        <v>117</v>
      </c>
      <c r="F187" s="237" t="s">
        <v>454</v>
      </c>
      <c r="G187" s="238"/>
      <c r="H187" s="301" t="s">
        <v>555</v>
      </c>
      <c r="I187" s="638" t="s">
        <v>586</v>
      </c>
      <c r="J187" s="495" t="s">
        <v>587</v>
      </c>
      <c r="K187" s="258" t="s">
        <v>388</v>
      </c>
      <c r="L187" s="490">
        <v>12</v>
      </c>
      <c r="M187" s="491">
        <v>45432</v>
      </c>
      <c r="N187" s="491">
        <v>45441</v>
      </c>
      <c r="O187" s="492" t="s">
        <v>687</v>
      </c>
      <c r="P187" s="492" t="s">
        <v>756</v>
      </c>
      <c r="Q187" s="496">
        <v>0</v>
      </c>
      <c r="R187" s="497">
        <v>9</v>
      </c>
      <c r="S187" s="496">
        <f>+Q187*R187</f>
        <v>0</v>
      </c>
      <c r="T187" s="498">
        <v>0</v>
      </c>
      <c r="U187" s="496">
        <f>SUM(S187:T187)</f>
        <v>0</v>
      </c>
      <c r="V187" s="493">
        <f>+U187*0.18</f>
        <v>0</v>
      </c>
      <c r="W187" s="493"/>
      <c r="X187" s="495"/>
      <c r="Y187" s="496">
        <v>0</v>
      </c>
      <c r="Z187" s="496">
        <v>0</v>
      </c>
      <c r="AA187" s="496">
        <v>0</v>
      </c>
      <c r="AB187" s="496">
        <v>0</v>
      </c>
      <c r="AC187" s="499">
        <v>0</v>
      </c>
      <c r="AD187" s="189"/>
    </row>
    <row r="188" spans="1:34">
      <c r="A188" s="279" t="s">
        <v>117</v>
      </c>
      <c r="B188" s="285" t="s">
        <v>117</v>
      </c>
      <c r="C188" s="285" t="s">
        <v>117</v>
      </c>
      <c r="D188" s="282" t="s">
        <v>117</v>
      </c>
      <c r="E188" s="233" t="s">
        <v>117</v>
      </c>
      <c r="F188" s="237">
        <v>5</v>
      </c>
      <c r="G188" s="238"/>
      <c r="H188" s="292" t="s">
        <v>554</v>
      </c>
      <c r="I188" s="53" t="s">
        <v>832</v>
      </c>
      <c r="J188" s="53" t="s">
        <v>84</v>
      </c>
      <c r="K188" s="18" t="s">
        <v>23</v>
      </c>
      <c r="L188" s="29">
        <v>1</v>
      </c>
      <c r="M188" s="30">
        <v>45433</v>
      </c>
      <c r="N188" s="30">
        <v>45435</v>
      </c>
      <c r="O188" s="428" t="s">
        <v>687</v>
      </c>
      <c r="P188" s="428" t="s">
        <v>756</v>
      </c>
      <c r="Q188" s="3">
        <v>2000</v>
      </c>
      <c r="R188" s="1">
        <v>2</v>
      </c>
      <c r="S188" s="3">
        <f t="shared" ref="S188" si="161">+Q188*R188</f>
        <v>4000</v>
      </c>
      <c r="T188" s="28">
        <v>-138</v>
      </c>
      <c r="U188" s="3">
        <f>SUM(S188:T188)</f>
        <v>3862</v>
      </c>
      <c r="V188" s="47">
        <f t="shared" ref="V188" si="162">+U188*0.18</f>
        <v>695.16</v>
      </c>
      <c r="W188" s="47">
        <f t="shared" ref="W188" si="163">+U188-V188</f>
        <v>3166.84</v>
      </c>
      <c r="X188" s="15"/>
      <c r="Y188" s="50"/>
      <c r="Z188" s="50"/>
      <c r="AA188" s="50"/>
      <c r="AB188" s="50">
        <f>V188</f>
        <v>695.16</v>
      </c>
      <c r="AC188" s="30">
        <v>45434</v>
      </c>
      <c r="AD188" s="189"/>
    </row>
    <row r="189" spans="1:34">
      <c r="A189" s="279" t="s">
        <v>592</v>
      </c>
      <c r="B189" s="285" t="s">
        <v>592</v>
      </c>
      <c r="C189" s="285" t="s">
        <v>592</v>
      </c>
      <c r="D189" s="282" t="s">
        <v>592</v>
      </c>
      <c r="E189" s="233" t="s">
        <v>592</v>
      </c>
      <c r="F189" s="237" t="s">
        <v>592</v>
      </c>
      <c r="G189" s="238" t="s">
        <v>592</v>
      </c>
      <c r="H189" s="292" t="s">
        <v>554</v>
      </c>
      <c r="I189" s="623" t="s">
        <v>421</v>
      </c>
      <c r="J189" s="624" t="s">
        <v>418</v>
      </c>
      <c r="K189" s="18" t="s">
        <v>23</v>
      </c>
      <c r="L189" s="29">
        <v>2</v>
      </c>
      <c r="M189" s="306">
        <v>45434</v>
      </c>
      <c r="N189" s="306">
        <v>45436</v>
      </c>
      <c r="O189" s="428" t="s">
        <v>687</v>
      </c>
      <c r="P189" s="428" t="s">
        <v>756</v>
      </c>
      <c r="Q189" s="3">
        <v>2000</v>
      </c>
      <c r="R189" s="1">
        <v>2</v>
      </c>
      <c r="S189" s="3">
        <f t="shared" si="136"/>
        <v>4000</v>
      </c>
      <c r="T189" s="28">
        <v>-138.04</v>
      </c>
      <c r="U189" s="3">
        <f>SUM(S189:T189)</f>
        <v>3861.96</v>
      </c>
      <c r="V189" s="47">
        <f t="shared" ref="V189:V190" si="164">+U189*0.18</f>
        <v>695.15279999999996</v>
      </c>
      <c r="W189" s="47">
        <f t="shared" ref="W189:W190" si="165">+U189-V189</f>
        <v>3166.8072000000002</v>
      </c>
      <c r="Y189" s="3"/>
      <c r="Z189" s="3"/>
      <c r="AA189" s="3"/>
      <c r="AB189" s="50">
        <f>V189</f>
        <v>695.15279999999996</v>
      </c>
      <c r="AC189" s="24">
        <v>45435</v>
      </c>
      <c r="AD189" s="651"/>
    </row>
    <row r="190" spans="1:34" ht="15" thickBot="1">
      <c r="A190" s="279" t="s">
        <v>117</v>
      </c>
      <c r="B190" s="285" t="s">
        <v>117</v>
      </c>
      <c r="C190" s="285" t="s">
        <v>117</v>
      </c>
      <c r="D190" s="282" t="s">
        <v>117</v>
      </c>
      <c r="E190" s="233" t="s">
        <v>117</v>
      </c>
      <c r="F190" s="237">
        <v>5</v>
      </c>
      <c r="G190" s="238">
        <v>5</v>
      </c>
      <c r="H190" s="292" t="s">
        <v>554</v>
      </c>
      <c r="I190" s="53" t="s">
        <v>824</v>
      </c>
      <c r="J190" s="15" t="s">
        <v>825</v>
      </c>
      <c r="K190" s="4" t="s">
        <v>24</v>
      </c>
      <c r="L190" s="29">
        <v>2</v>
      </c>
      <c r="M190" s="30">
        <v>45468</v>
      </c>
      <c r="N190" s="30">
        <v>45472</v>
      </c>
      <c r="O190" s="428" t="s">
        <v>687</v>
      </c>
      <c r="P190" s="428" t="s">
        <v>756</v>
      </c>
      <c r="Q190" s="50">
        <v>2000</v>
      </c>
      <c r="R190" s="29">
        <v>4</v>
      </c>
      <c r="S190" s="50">
        <f>+Q190*R190</f>
        <v>8000</v>
      </c>
      <c r="T190" s="49">
        <v>-276</v>
      </c>
      <c r="U190" s="47">
        <f t="shared" ref="U190" si="166">SUM(S190:T190)</f>
        <v>7724</v>
      </c>
      <c r="V190" s="47">
        <f t="shared" si="164"/>
        <v>1390.32</v>
      </c>
      <c r="W190" s="47">
        <f t="shared" si="165"/>
        <v>6333.68</v>
      </c>
      <c r="Y190" s="3"/>
      <c r="Z190" s="3"/>
      <c r="AA190" s="3"/>
      <c r="AB190" s="50">
        <f>V190</f>
        <v>1390.32</v>
      </c>
      <c r="AC190" s="24">
        <v>45438</v>
      </c>
      <c r="AD190" s="651"/>
    </row>
    <row r="191" spans="1:34" ht="15" thickBot="1">
      <c r="A191" s="280" t="s">
        <v>117</v>
      </c>
      <c r="B191" s="286" t="s">
        <v>117</v>
      </c>
      <c r="C191" s="286" t="s">
        <v>117</v>
      </c>
      <c r="D191" s="283" t="s">
        <v>117</v>
      </c>
      <c r="E191" s="234" t="s">
        <v>117</v>
      </c>
      <c r="F191" s="239" t="s">
        <v>592</v>
      </c>
      <c r="G191" s="239"/>
      <c r="H191" s="592" t="s">
        <v>556</v>
      </c>
      <c r="I191" s="467" t="s">
        <v>309</v>
      </c>
      <c r="J191" s="467" t="s">
        <v>308</v>
      </c>
      <c r="K191" s="243" t="s">
        <v>217</v>
      </c>
      <c r="L191" s="411">
        <v>2</v>
      </c>
      <c r="M191" s="412">
        <v>45442</v>
      </c>
      <c r="N191" s="412">
        <v>45449</v>
      </c>
      <c r="O191" s="468" t="s">
        <v>687</v>
      </c>
      <c r="P191" s="468" t="s">
        <v>756</v>
      </c>
      <c r="Q191" s="413">
        <v>0</v>
      </c>
      <c r="R191" s="411">
        <v>7</v>
      </c>
      <c r="S191" s="413">
        <v>0</v>
      </c>
      <c r="T191" s="414">
        <v>0</v>
      </c>
      <c r="U191" s="413">
        <v>0</v>
      </c>
      <c r="V191" s="413"/>
      <c r="W191" s="413"/>
      <c r="X191" s="467"/>
      <c r="Y191" s="467"/>
      <c r="Z191" s="467"/>
      <c r="AA191" s="467"/>
      <c r="AB191" s="413">
        <v>0</v>
      </c>
      <c r="AC191" s="412"/>
      <c r="AD191" s="529"/>
      <c r="AE191" s="650" t="s">
        <v>464</v>
      </c>
      <c r="AF191" s="310" t="s">
        <v>465</v>
      </c>
      <c r="AG191" s="325" t="s">
        <v>59</v>
      </c>
      <c r="AH191" s="311" t="s">
        <v>466</v>
      </c>
    </row>
    <row r="192" spans="1:34" ht="15" thickBot="1">
      <c r="A192" s="536" t="s">
        <v>860</v>
      </c>
      <c r="B192" s="530"/>
      <c r="C192" s="530"/>
      <c r="D192" s="530"/>
      <c r="E192" s="530"/>
      <c r="F192" s="530"/>
      <c r="G192" s="530"/>
      <c r="H192" s="531"/>
      <c r="I192" s="525"/>
      <c r="J192" s="532"/>
      <c r="K192" s="517"/>
      <c r="L192" s="518"/>
      <c r="M192" s="519"/>
      <c r="N192" s="519"/>
      <c r="O192" s="520"/>
      <c r="P192" s="520"/>
      <c r="Q192" s="521"/>
      <c r="R192" s="518"/>
      <c r="S192" s="521"/>
      <c r="T192" s="522"/>
      <c r="U192" s="521"/>
      <c r="V192" s="542">
        <f>SUM(V181:V191)</f>
        <v>4170.9708000000001</v>
      </c>
      <c r="W192" s="523">
        <f>SUM(W181:W191)</f>
        <v>19001.089200000002</v>
      </c>
      <c r="X192" s="527">
        <v>0</v>
      </c>
      <c r="Y192" s="645">
        <v>0</v>
      </c>
      <c r="Z192" s="521"/>
      <c r="AA192" s="521"/>
      <c r="AB192" s="524">
        <f>SUM(AB181:AB191)</f>
        <v>4170.9708000000001</v>
      </c>
      <c r="AC192" s="519"/>
      <c r="AD192" s="529">
        <v>2167</v>
      </c>
      <c r="AE192" s="647">
        <f>AB192</f>
        <v>4170.9708000000001</v>
      </c>
      <c r="AF192" s="537">
        <f>+'Berman - Arrowood'!I51+'Camerer - Sewell'!J47+'Crook - Whalerock Beach'!J31</f>
        <v>4550</v>
      </c>
      <c r="AG192" s="538">
        <f>SUM(AE192:AF192)</f>
        <v>8720.9707999999991</v>
      </c>
      <c r="AH192" s="539">
        <f>+AG192/3</f>
        <v>2906.9902666666662</v>
      </c>
    </row>
    <row r="193" spans="1:34">
      <c r="A193" s="279" t="s">
        <v>117</v>
      </c>
      <c r="B193" s="285" t="s">
        <v>117</v>
      </c>
      <c r="C193" s="285" t="s">
        <v>117</v>
      </c>
      <c r="D193" s="282" t="s">
        <v>117</v>
      </c>
      <c r="E193" s="233" t="s">
        <v>117</v>
      </c>
      <c r="F193" s="237">
        <v>5</v>
      </c>
      <c r="G193" s="238">
        <v>4</v>
      </c>
      <c r="H193" s="292" t="s">
        <v>554</v>
      </c>
      <c r="I193" s="53" t="s">
        <v>735</v>
      </c>
      <c r="J193" s="15" t="s">
        <v>257</v>
      </c>
      <c r="K193" s="4" t="s">
        <v>24</v>
      </c>
      <c r="L193" s="29">
        <v>2</v>
      </c>
      <c r="M193" s="30">
        <v>45448</v>
      </c>
      <c r="N193" s="30">
        <v>45452</v>
      </c>
      <c r="O193" s="428" t="s">
        <v>687</v>
      </c>
      <c r="P193" s="428" t="s">
        <v>756</v>
      </c>
      <c r="Q193" s="50">
        <v>2000</v>
      </c>
      <c r="R193" s="29">
        <v>4</v>
      </c>
      <c r="S193" s="50">
        <f t="shared" ref="S193:S200" si="167">+Q193*R193</f>
        <v>8000</v>
      </c>
      <c r="T193" s="49">
        <v>-275.99</v>
      </c>
      <c r="U193" s="47">
        <f t="shared" ref="U193:U198" si="168">SUM(S193:T193)</f>
        <v>7724.01</v>
      </c>
      <c r="V193" s="47">
        <f t="shared" ref="V193:V198" si="169">+U193*0.18</f>
        <v>1390.3217999999999</v>
      </c>
      <c r="W193" s="47">
        <f t="shared" ref="W193:W198" si="170">+U193-V193</f>
        <v>6333.6882000000005</v>
      </c>
      <c r="X193" s="15"/>
      <c r="Y193" s="15"/>
      <c r="Z193" s="15"/>
      <c r="AA193" s="15"/>
      <c r="AB193" s="50">
        <f>V193</f>
        <v>1390.3217999999999</v>
      </c>
      <c r="AC193" s="30">
        <v>45449</v>
      </c>
      <c r="AD193" s="189"/>
    </row>
    <row r="194" spans="1:34">
      <c r="A194" s="279" t="s">
        <v>117</v>
      </c>
      <c r="B194" s="285" t="s">
        <v>117</v>
      </c>
      <c r="C194" s="285" t="s">
        <v>117</v>
      </c>
      <c r="D194" s="282" t="s">
        <v>117</v>
      </c>
      <c r="E194" s="233" t="s">
        <v>117</v>
      </c>
      <c r="F194" s="237">
        <v>5</v>
      </c>
      <c r="G194" s="238">
        <v>5</v>
      </c>
      <c r="H194" s="292" t="s">
        <v>554</v>
      </c>
      <c r="I194" s="53" t="s">
        <v>822</v>
      </c>
      <c r="J194" s="15" t="s">
        <v>398</v>
      </c>
      <c r="K194" s="244" t="s">
        <v>85</v>
      </c>
      <c r="L194" s="29">
        <v>7</v>
      </c>
      <c r="M194" s="30">
        <v>45449</v>
      </c>
      <c r="N194" s="30">
        <v>45452</v>
      </c>
      <c r="O194" s="428" t="s">
        <v>687</v>
      </c>
      <c r="P194" s="428" t="s">
        <v>756</v>
      </c>
      <c r="Q194" s="50">
        <v>2500</v>
      </c>
      <c r="R194" s="29">
        <v>3</v>
      </c>
      <c r="S194" s="50">
        <f t="shared" si="167"/>
        <v>7500</v>
      </c>
      <c r="T194" s="49">
        <v>-258.75</v>
      </c>
      <c r="U194" s="47">
        <f t="shared" si="168"/>
        <v>7241.25</v>
      </c>
      <c r="V194" s="47">
        <f t="shared" si="169"/>
        <v>1303.425</v>
      </c>
      <c r="W194" s="47">
        <f t="shared" si="170"/>
        <v>5937.8249999999998</v>
      </c>
      <c r="X194" s="15"/>
      <c r="Y194" s="50"/>
      <c r="Z194" s="15"/>
      <c r="AA194" s="15"/>
      <c r="AB194" s="50">
        <f>V194</f>
        <v>1303.425</v>
      </c>
      <c r="AC194" s="30">
        <v>45450</v>
      </c>
      <c r="AD194" s="189"/>
    </row>
    <row r="195" spans="1:34">
      <c r="A195" s="279" t="s">
        <v>117</v>
      </c>
      <c r="B195" s="285" t="s">
        <v>117</v>
      </c>
      <c r="C195" s="285" t="s">
        <v>117</v>
      </c>
      <c r="D195" s="282" t="s">
        <v>117</v>
      </c>
      <c r="E195" s="233" t="s">
        <v>117</v>
      </c>
      <c r="F195" s="237">
        <v>5</v>
      </c>
      <c r="G195" s="238">
        <v>5</v>
      </c>
      <c r="H195" s="292" t="s">
        <v>554</v>
      </c>
      <c r="I195" s="53" t="s">
        <v>865</v>
      </c>
      <c r="J195" s="53" t="s">
        <v>569</v>
      </c>
      <c r="K195" s="18" t="s">
        <v>23</v>
      </c>
      <c r="L195" s="29">
        <v>2</v>
      </c>
      <c r="M195" s="30">
        <v>45454</v>
      </c>
      <c r="N195" s="30">
        <v>45456</v>
      </c>
      <c r="O195" s="428" t="s">
        <v>687</v>
      </c>
      <c r="P195" s="428" t="s">
        <v>756</v>
      </c>
      <c r="Q195" s="50">
        <v>2000</v>
      </c>
      <c r="R195" s="29">
        <v>2</v>
      </c>
      <c r="S195" s="50">
        <f t="shared" si="167"/>
        <v>4000</v>
      </c>
      <c r="T195" s="49">
        <v>-138</v>
      </c>
      <c r="U195" s="47">
        <f t="shared" ref="U195" si="171">SUM(S195:T195)</f>
        <v>3862</v>
      </c>
      <c r="V195" s="47">
        <f t="shared" ref="V195" si="172">+U195*0.18</f>
        <v>695.16</v>
      </c>
      <c r="W195" s="47">
        <f t="shared" ref="W195" si="173">+U195-V195</f>
        <v>3166.84</v>
      </c>
      <c r="X195" s="15"/>
      <c r="Y195" s="50"/>
      <c r="Z195" s="15"/>
      <c r="AA195" s="15"/>
      <c r="AB195" s="50">
        <f>V195</f>
        <v>695.16</v>
      </c>
      <c r="AC195" s="30">
        <v>45455</v>
      </c>
      <c r="AD195" s="189"/>
    </row>
    <row r="196" spans="1:34">
      <c r="A196" s="279" t="s">
        <v>117</v>
      </c>
      <c r="B196" s="285" t="s">
        <v>117</v>
      </c>
      <c r="C196" s="285" t="s">
        <v>117</v>
      </c>
      <c r="D196" s="282" t="s">
        <v>117</v>
      </c>
      <c r="E196" s="233" t="s">
        <v>117</v>
      </c>
      <c r="F196" s="237" t="s">
        <v>592</v>
      </c>
      <c r="G196" s="238"/>
      <c r="H196" s="301" t="s">
        <v>555</v>
      </c>
      <c r="I196" s="688" t="s">
        <v>806</v>
      </c>
      <c r="J196" s="689" t="s">
        <v>84</v>
      </c>
      <c r="K196" s="593" t="s">
        <v>787</v>
      </c>
      <c r="L196" s="693">
        <v>2</v>
      </c>
      <c r="M196" s="690">
        <v>45459</v>
      </c>
      <c r="N196" s="690">
        <v>45461</v>
      </c>
      <c r="O196" s="691" t="s">
        <v>687</v>
      </c>
      <c r="P196" s="691" t="s">
        <v>756</v>
      </c>
      <c r="Q196" s="692">
        <v>0</v>
      </c>
      <c r="R196" s="693">
        <v>2</v>
      </c>
      <c r="S196" s="694">
        <v>0</v>
      </c>
      <c r="T196" s="695">
        <v>0</v>
      </c>
      <c r="U196" s="694">
        <v>0</v>
      </c>
      <c r="V196" s="694"/>
      <c r="W196" s="694"/>
      <c r="X196" s="689"/>
      <c r="Y196" s="692"/>
      <c r="Z196" s="692"/>
      <c r="AA196" s="692"/>
      <c r="AB196" s="692">
        <v>0</v>
      </c>
      <c r="AC196" s="690">
        <v>0</v>
      </c>
      <c r="AD196" s="189"/>
    </row>
    <row r="197" spans="1:34">
      <c r="A197" s="279" t="s">
        <v>117</v>
      </c>
      <c r="B197" s="285" t="s">
        <v>117</v>
      </c>
      <c r="C197" s="285" t="s">
        <v>117</v>
      </c>
      <c r="D197" s="282" t="s">
        <v>117</v>
      </c>
      <c r="E197" s="233" t="s">
        <v>117</v>
      </c>
      <c r="F197" s="237">
        <v>5</v>
      </c>
      <c r="G197" s="238">
        <v>5</v>
      </c>
      <c r="H197" s="292" t="s">
        <v>554</v>
      </c>
      <c r="I197" s="53" t="s">
        <v>877</v>
      </c>
      <c r="J197" s="53" t="s">
        <v>878</v>
      </c>
      <c r="K197" s="18" t="s">
        <v>23</v>
      </c>
      <c r="L197" s="29">
        <v>2</v>
      </c>
      <c r="M197" s="30">
        <v>45460</v>
      </c>
      <c r="N197" s="30">
        <v>45462</v>
      </c>
      <c r="O197" s="428" t="s">
        <v>687</v>
      </c>
      <c r="P197" s="428" t="s">
        <v>756</v>
      </c>
      <c r="Q197" s="3">
        <v>2000</v>
      </c>
      <c r="R197" s="1">
        <v>2</v>
      </c>
      <c r="S197" s="47">
        <f>+Q197*R197</f>
        <v>4000</v>
      </c>
      <c r="T197" s="49">
        <v>-137.99</v>
      </c>
      <c r="U197" s="47">
        <f>SUM(S197:T197)</f>
        <v>3862.01</v>
      </c>
      <c r="V197" s="47">
        <f>+U197*0.18</f>
        <v>695.16179999999997</v>
      </c>
      <c r="W197" s="47">
        <f t="shared" ref="W197" si="174">+U197-V197</f>
        <v>3166.8482000000004</v>
      </c>
      <c r="X197" s="15"/>
      <c r="Y197" s="50"/>
      <c r="Z197" s="50"/>
      <c r="AA197" s="50"/>
      <c r="AB197" s="50">
        <f>V197</f>
        <v>695.16179999999997</v>
      </c>
      <c r="AC197" s="30">
        <v>45461</v>
      </c>
      <c r="AD197" s="189"/>
    </row>
    <row r="198" spans="1:34">
      <c r="A198" s="279" t="s">
        <v>117</v>
      </c>
      <c r="B198" s="285" t="s">
        <v>117</v>
      </c>
      <c r="C198" s="285" t="s">
        <v>117</v>
      </c>
      <c r="D198" s="282" t="s">
        <v>117</v>
      </c>
      <c r="E198" s="233" t="s">
        <v>117</v>
      </c>
      <c r="F198" s="237">
        <v>5</v>
      </c>
      <c r="G198" s="238">
        <v>5</v>
      </c>
      <c r="H198" s="292" t="s">
        <v>554</v>
      </c>
      <c r="I198" s="681" t="s">
        <v>815</v>
      </c>
      <c r="J198" s="15" t="s">
        <v>75</v>
      </c>
      <c r="K198" s="4" t="s">
        <v>24</v>
      </c>
      <c r="L198" s="29">
        <v>2</v>
      </c>
      <c r="M198" s="30">
        <v>45461</v>
      </c>
      <c r="N198" s="30">
        <v>45463</v>
      </c>
      <c r="O198" s="428" t="s">
        <v>687</v>
      </c>
      <c r="P198" s="428" t="s">
        <v>756</v>
      </c>
      <c r="Q198" s="50">
        <v>2000</v>
      </c>
      <c r="R198" s="29">
        <v>2</v>
      </c>
      <c r="S198" s="50">
        <f t="shared" si="167"/>
        <v>4000</v>
      </c>
      <c r="T198" s="49">
        <v>-138.02000000000001</v>
      </c>
      <c r="U198" s="47">
        <f t="shared" si="168"/>
        <v>3861.98</v>
      </c>
      <c r="V198" s="47">
        <f t="shared" si="169"/>
        <v>695.15639999999996</v>
      </c>
      <c r="W198" s="47">
        <f t="shared" si="170"/>
        <v>3166.8236000000002</v>
      </c>
      <c r="X198" s="15"/>
      <c r="Y198" s="15"/>
      <c r="Z198" s="15"/>
      <c r="AA198" s="15"/>
      <c r="AB198" s="50">
        <f>V198</f>
        <v>695.15639999999996</v>
      </c>
      <c r="AC198" s="30">
        <v>45462</v>
      </c>
      <c r="AD198" s="189"/>
    </row>
    <row r="199" spans="1:34">
      <c r="A199" s="279" t="s">
        <v>117</v>
      </c>
      <c r="B199" s="285" t="s">
        <v>117</v>
      </c>
      <c r="C199" s="285" t="s">
        <v>117</v>
      </c>
      <c r="D199" s="282" t="s">
        <v>117</v>
      </c>
      <c r="E199" s="233" t="s">
        <v>117</v>
      </c>
      <c r="F199" s="237" t="s">
        <v>592</v>
      </c>
      <c r="G199" s="238"/>
      <c r="H199" s="301" t="s">
        <v>556</v>
      </c>
      <c r="I199" s="488" t="s">
        <v>864</v>
      </c>
      <c r="J199" s="495" t="s">
        <v>587</v>
      </c>
      <c r="K199" s="258" t="s">
        <v>388</v>
      </c>
      <c r="L199" s="490">
        <v>2</v>
      </c>
      <c r="M199" s="491">
        <v>45463</v>
      </c>
      <c r="N199" s="491">
        <v>45475</v>
      </c>
      <c r="O199" s="492" t="s">
        <v>687</v>
      </c>
      <c r="P199" s="492" t="s">
        <v>756</v>
      </c>
      <c r="Q199" s="496">
        <v>0</v>
      </c>
      <c r="R199" s="497">
        <v>13</v>
      </c>
      <c r="S199" s="496">
        <f t="shared" si="167"/>
        <v>0</v>
      </c>
      <c r="T199" s="498">
        <v>0</v>
      </c>
      <c r="U199" s="496">
        <f>SUM(S199:T199)</f>
        <v>0</v>
      </c>
      <c r="V199" s="493">
        <f>+U199*0.18</f>
        <v>0</v>
      </c>
      <c r="W199" s="493"/>
      <c r="X199" s="495"/>
      <c r="Y199" s="496">
        <v>0</v>
      </c>
      <c r="Z199" s="496">
        <v>0</v>
      </c>
      <c r="AA199" s="496">
        <v>0</v>
      </c>
      <c r="AB199" s="496">
        <v>0</v>
      </c>
      <c r="AC199" s="499"/>
      <c r="AD199" s="651"/>
    </row>
    <row r="200" spans="1:34">
      <c r="A200" s="279" t="s">
        <v>117</v>
      </c>
      <c r="B200" s="285" t="s">
        <v>117</v>
      </c>
      <c r="C200" s="285" t="s">
        <v>117</v>
      </c>
      <c r="D200" s="282" t="s">
        <v>117</v>
      </c>
      <c r="E200" s="233" t="s">
        <v>117</v>
      </c>
      <c r="F200" s="237">
        <v>4</v>
      </c>
      <c r="G200" s="238">
        <v>5</v>
      </c>
      <c r="H200" s="292" t="s">
        <v>554</v>
      </c>
      <c r="I200" s="53" t="s">
        <v>840</v>
      </c>
      <c r="J200" s="15" t="s">
        <v>841</v>
      </c>
      <c r="K200" s="244" t="s">
        <v>85</v>
      </c>
      <c r="L200" s="29">
        <v>7</v>
      </c>
      <c r="M200" s="30">
        <v>45464</v>
      </c>
      <c r="N200" s="30">
        <v>45467</v>
      </c>
      <c r="O200" s="428" t="s">
        <v>687</v>
      </c>
      <c r="P200" s="428" t="s">
        <v>756</v>
      </c>
      <c r="Q200" s="50">
        <v>2500</v>
      </c>
      <c r="R200" s="29">
        <v>3</v>
      </c>
      <c r="S200" s="50">
        <f t="shared" si="167"/>
        <v>7500</v>
      </c>
      <c r="T200" s="49">
        <v>-258.75</v>
      </c>
      <c r="U200" s="47">
        <f t="shared" ref="U200:U201" si="175">SUM(S200:T200)</f>
        <v>7241.25</v>
      </c>
      <c r="V200" s="47">
        <f t="shared" ref="V200:V201" si="176">+U200*0.18</f>
        <v>1303.425</v>
      </c>
      <c r="W200" s="47">
        <f t="shared" ref="W200:W201" si="177">+U200-V200</f>
        <v>5937.8249999999998</v>
      </c>
      <c r="X200" s="15"/>
      <c r="Y200" s="15"/>
      <c r="Z200" s="15"/>
      <c r="AA200" s="15"/>
      <c r="AB200" s="50">
        <f>V200</f>
        <v>1303.425</v>
      </c>
      <c r="AC200" s="30">
        <v>45465</v>
      </c>
      <c r="AD200" s="189"/>
    </row>
    <row r="201" spans="1:34">
      <c r="A201" s="279" t="s">
        <v>592</v>
      </c>
      <c r="B201" s="285" t="s">
        <v>592</v>
      </c>
      <c r="C201" s="285" t="s">
        <v>592</v>
      </c>
      <c r="D201" s="282" t="s">
        <v>592</v>
      </c>
      <c r="E201" s="233" t="s">
        <v>592</v>
      </c>
      <c r="F201" s="237" t="s">
        <v>592</v>
      </c>
      <c r="G201" s="238"/>
      <c r="H201" s="301" t="s">
        <v>555</v>
      </c>
      <c r="I201" s="228" t="s">
        <v>989</v>
      </c>
      <c r="J201" t="s">
        <v>107</v>
      </c>
      <c r="K201" s="244" t="s">
        <v>85</v>
      </c>
      <c r="L201" s="29">
        <v>2</v>
      </c>
      <c r="M201" s="686">
        <v>45610</v>
      </c>
      <c r="N201" s="686">
        <v>45614</v>
      </c>
      <c r="O201" s="428" t="s">
        <v>687</v>
      </c>
      <c r="P201" s="428" t="s">
        <v>756</v>
      </c>
      <c r="Q201" s="3">
        <v>1000</v>
      </c>
      <c r="R201" s="1">
        <v>4</v>
      </c>
      <c r="S201" s="47">
        <f>+Q201*R201/2</f>
        <v>2000</v>
      </c>
      <c r="T201" s="49">
        <v>0</v>
      </c>
      <c r="U201" s="47">
        <f t="shared" si="175"/>
        <v>2000</v>
      </c>
      <c r="V201" s="47">
        <f t="shared" si="176"/>
        <v>360</v>
      </c>
      <c r="W201" s="47">
        <f t="shared" si="177"/>
        <v>1640</v>
      </c>
      <c r="X201" t="s">
        <v>992</v>
      </c>
      <c r="Y201" s="3"/>
      <c r="Z201" s="3"/>
      <c r="AA201" s="3"/>
      <c r="AB201" s="50">
        <v>360</v>
      </c>
      <c r="AC201" s="24">
        <v>45469</v>
      </c>
      <c r="AD201" s="651"/>
    </row>
    <row r="202" spans="1:34">
      <c r="A202" s="279" t="s">
        <v>117</v>
      </c>
      <c r="B202" s="285" t="s">
        <v>117</v>
      </c>
      <c r="C202" s="285" t="s">
        <v>117</v>
      </c>
      <c r="D202" s="282" t="s">
        <v>117</v>
      </c>
      <c r="E202" s="233" t="s">
        <v>117</v>
      </c>
      <c r="F202" s="237" t="s">
        <v>592</v>
      </c>
      <c r="G202" s="238"/>
      <c r="H202" s="301" t="s">
        <v>556</v>
      </c>
      <c r="I202" s="410" t="s">
        <v>595</v>
      </c>
      <c r="J202" s="405" t="s">
        <v>308</v>
      </c>
      <c r="K202" s="183" t="s">
        <v>217</v>
      </c>
      <c r="L202" s="401">
        <v>4</v>
      </c>
      <c r="M202" s="402">
        <v>45468</v>
      </c>
      <c r="N202" s="402">
        <v>45471</v>
      </c>
      <c r="O202" s="449" t="s">
        <v>687</v>
      </c>
      <c r="P202" s="449" t="s">
        <v>756</v>
      </c>
      <c r="Q202" s="403">
        <v>0</v>
      </c>
      <c r="R202" s="401">
        <v>3</v>
      </c>
      <c r="S202" s="403">
        <v>0</v>
      </c>
      <c r="T202" s="404">
        <v>0</v>
      </c>
      <c r="U202" s="403">
        <v>0</v>
      </c>
      <c r="V202" s="403"/>
      <c r="W202" s="403">
        <v>0</v>
      </c>
      <c r="X202" s="405"/>
      <c r="Y202" s="405"/>
      <c r="Z202" s="405"/>
      <c r="AA202" s="405"/>
      <c r="AB202" s="403"/>
      <c r="AC202" s="402"/>
      <c r="AD202" s="655"/>
    </row>
    <row r="203" spans="1:34">
      <c r="A203" s="279" t="s">
        <v>117</v>
      </c>
      <c r="B203" s="285" t="s">
        <v>117</v>
      </c>
      <c r="C203" s="285" t="s">
        <v>117</v>
      </c>
      <c r="D203" s="282" t="s">
        <v>117</v>
      </c>
      <c r="E203" s="233" t="s">
        <v>117</v>
      </c>
      <c r="F203" s="237">
        <v>5</v>
      </c>
      <c r="G203" s="238">
        <v>5</v>
      </c>
      <c r="H203" s="292" t="s">
        <v>554</v>
      </c>
      <c r="I203" s="53" t="s">
        <v>611</v>
      </c>
      <c r="J203" t="s">
        <v>612</v>
      </c>
      <c r="K203" s="4" t="s">
        <v>24</v>
      </c>
      <c r="L203" s="29">
        <v>2</v>
      </c>
      <c r="M203" s="30">
        <v>45468</v>
      </c>
      <c r="N203" s="30">
        <v>45470</v>
      </c>
      <c r="O203" s="428" t="s">
        <v>687</v>
      </c>
      <c r="P203" s="428" t="s">
        <v>756</v>
      </c>
      <c r="Q203" s="3">
        <v>2000</v>
      </c>
      <c r="R203" s="1">
        <v>2</v>
      </c>
      <c r="S203" s="47">
        <f t="shared" ref="S203:S208" si="178">+Q203*R203</f>
        <v>4000</v>
      </c>
      <c r="T203" s="49">
        <v>-137.99</v>
      </c>
      <c r="U203" s="47">
        <f t="shared" ref="U203" si="179">SUM(S203:T203)</f>
        <v>3862.01</v>
      </c>
      <c r="V203" s="47">
        <f t="shared" ref="V203" si="180">+U203*0.18</f>
        <v>695.16179999999997</v>
      </c>
      <c r="W203" s="47">
        <f t="shared" ref="W203" si="181">+U203-V203</f>
        <v>3166.8482000000004</v>
      </c>
      <c r="AB203" s="50">
        <f>V203</f>
        <v>695.16179999999997</v>
      </c>
      <c r="AC203" s="24">
        <v>45469</v>
      </c>
      <c r="AD203" s="651"/>
    </row>
    <row r="204" spans="1:34" ht="15" thickBot="1">
      <c r="A204" s="279" t="s">
        <v>592</v>
      </c>
      <c r="B204" s="285" t="s">
        <v>592</v>
      </c>
      <c r="C204" s="285" t="s">
        <v>592</v>
      </c>
      <c r="D204" s="282" t="s">
        <v>592</v>
      </c>
      <c r="E204" s="233" t="s">
        <v>592</v>
      </c>
      <c r="F204" s="237" t="s">
        <v>592</v>
      </c>
      <c r="G204" s="238"/>
      <c r="H204" s="290" t="s">
        <v>555</v>
      </c>
      <c r="I204" s="696" t="s">
        <v>899</v>
      </c>
      <c r="J204" s="689" t="s">
        <v>84</v>
      </c>
      <c r="K204" s="593" t="s">
        <v>787</v>
      </c>
      <c r="L204" s="693">
        <v>5</v>
      </c>
      <c r="M204" s="690">
        <v>45716</v>
      </c>
      <c r="N204" s="690">
        <v>45720</v>
      </c>
      <c r="O204" s="691" t="s">
        <v>687</v>
      </c>
      <c r="P204" s="691" t="s">
        <v>756</v>
      </c>
      <c r="Q204" s="692">
        <v>2500</v>
      </c>
      <c r="R204" s="693">
        <v>4</v>
      </c>
      <c r="S204" s="694">
        <f>+Q204*R204/2</f>
        <v>5000</v>
      </c>
      <c r="T204" s="695">
        <v>0</v>
      </c>
      <c r="U204" s="694">
        <f>+S204+T204</f>
        <v>5000</v>
      </c>
      <c r="V204" s="694">
        <f>+U204*0.2</f>
        <v>1000</v>
      </c>
      <c r="W204" s="694"/>
      <c r="X204" s="689" t="s">
        <v>995</v>
      </c>
      <c r="Y204" s="692"/>
      <c r="Z204" s="692">
        <f>+U204-V204</f>
        <v>4000</v>
      </c>
      <c r="AA204" s="692"/>
      <c r="AB204" s="692">
        <f>V204</f>
        <v>1000</v>
      </c>
      <c r="AC204" s="690">
        <v>45470</v>
      </c>
      <c r="AD204" s="189"/>
    </row>
    <row r="205" spans="1:34" ht="15" thickBot="1">
      <c r="A205" s="280" t="s">
        <v>117</v>
      </c>
      <c r="B205" s="286" t="s">
        <v>117</v>
      </c>
      <c r="C205" s="286" t="s">
        <v>117</v>
      </c>
      <c r="D205" s="283" t="s">
        <v>117</v>
      </c>
      <c r="E205" s="234" t="s">
        <v>117</v>
      </c>
      <c r="F205" s="239">
        <v>5</v>
      </c>
      <c r="G205" s="239">
        <v>5</v>
      </c>
      <c r="H205" s="293" t="s">
        <v>554</v>
      </c>
      <c r="I205" s="696" t="s">
        <v>866</v>
      </c>
      <c r="J205" s="697" t="s">
        <v>107</v>
      </c>
      <c r="K205" s="640" t="s">
        <v>787</v>
      </c>
      <c r="L205" s="700">
        <v>5</v>
      </c>
      <c r="M205" s="702">
        <v>45472</v>
      </c>
      <c r="N205" s="702">
        <v>45477</v>
      </c>
      <c r="O205" s="698" t="s">
        <v>687</v>
      </c>
      <c r="P205" s="698" t="s">
        <v>756</v>
      </c>
      <c r="Q205" s="699">
        <v>2500</v>
      </c>
      <c r="R205" s="700">
        <v>5</v>
      </c>
      <c r="S205" s="699">
        <f t="shared" si="178"/>
        <v>12500</v>
      </c>
      <c r="T205" s="701">
        <v>-431.25</v>
      </c>
      <c r="U205" s="699">
        <f>SUM(S205:T205)</f>
        <v>12068.75</v>
      </c>
      <c r="V205" s="699">
        <f>+U205-Z205</f>
        <v>2413.75</v>
      </c>
      <c r="W205" s="699"/>
      <c r="X205" s="697"/>
      <c r="Y205" s="699"/>
      <c r="Z205" s="699">
        <v>9655</v>
      </c>
      <c r="AA205" s="699"/>
      <c r="AB205" s="699">
        <f>V205</f>
        <v>2413.75</v>
      </c>
      <c r="AC205" s="702">
        <v>45473</v>
      </c>
      <c r="AD205" s="654"/>
      <c r="AE205" s="650" t="s">
        <v>464</v>
      </c>
      <c r="AF205" s="310" t="s">
        <v>465</v>
      </c>
      <c r="AG205" s="325" t="s">
        <v>59</v>
      </c>
      <c r="AH205" s="311" t="s">
        <v>466</v>
      </c>
    </row>
    <row r="206" spans="1:34" ht="15" thickBot="1">
      <c r="A206" s="536" t="s">
        <v>1009</v>
      </c>
      <c r="B206" s="530"/>
      <c r="C206" s="530"/>
      <c r="D206" s="530"/>
      <c r="E206" s="530"/>
      <c r="F206" s="530"/>
      <c r="G206" s="530"/>
      <c r="H206" s="531"/>
      <c r="I206" s="525"/>
      <c r="J206" s="532"/>
      <c r="K206" s="517"/>
      <c r="L206" s="518"/>
      <c r="M206" s="519"/>
      <c r="N206" s="519"/>
      <c r="O206" s="520"/>
      <c r="P206" s="520"/>
      <c r="Q206" s="521"/>
      <c r="R206" s="518"/>
      <c r="S206" s="521"/>
      <c r="T206" s="522"/>
      <c r="U206" s="521"/>
      <c r="V206" s="542">
        <f>SUM(V193:V205)</f>
        <v>10551.561799999999</v>
      </c>
      <c r="W206" s="523">
        <f>SUM(W193:W205)</f>
        <v>32516.698200000003</v>
      </c>
      <c r="X206" s="527">
        <v>0</v>
      </c>
      <c r="Y206" s="645">
        <v>0</v>
      </c>
      <c r="Z206" s="646">
        <f>SUM(Z204:Z205)</f>
        <v>13655</v>
      </c>
      <c r="AA206" s="521"/>
      <c r="AB206" s="524">
        <f>SUM(AB193:AB205)</f>
        <v>10551.561799999999</v>
      </c>
      <c r="AC206" s="519"/>
      <c r="AD206" s="529"/>
      <c r="AE206" s="647">
        <f>AB206</f>
        <v>10551.561799999999</v>
      </c>
      <c r="AF206" s="537">
        <f>+'Camerer - Sewell'!J61+'Reyneke - Proteadale'!J7+'Crook - Whalerock Beach'!J37</f>
        <v>4825</v>
      </c>
      <c r="AG206" s="538">
        <f>SUM(AE206:AF206)</f>
        <v>15376.561799999999</v>
      </c>
      <c r="AH206" s="539">
        <f>+AG206/3</f>
        <v>5125.5205999999998</v>
      </c>
    </row>
    <row r="207" spans="1:34">
      <c r="A207" s="279" t="s">
        <v>117</v>
      </c>
      <c r="B207" s="285" t="s">
        <v>117</v>
      </c>
      <c r="C207" s="285" t="s">
        <v>117</v>
      </c>
      <c r="D207" s="282" t="s">
        <v>117</v>
      </c>
      <c r="E207" s="233" t="s">
        <v>117</v>
      </c>
      <c r="F207" s="237" t="s">
        <v>592</v>
      </c>
      <c r="G207" s="238"/>
      <c r="H207" s="301" t="s">
        <v>567</v>
      </c>
      <c r="I207" s="659" t="s">
        <v>993</v>
      </c>
      <c r="J207" s="549" t="s">
        <v>996</v>
      </c>
      <c r="K207" s="660" t="s">
        <v>761</v>
      </c>
      <c r="L207" s="746">
        <v>8</v>
      </c>
      <c r="M207" s="843">
        <v>45471</v>
      </c>
      <c r="N207" s="843">
        <v>45473</v>
      </c>
      <c r="O207" s="663" t="s">
        <v>688</v>
      </c>
      <c r="P207" s="663" t="s">
        <v>1221</v>
      </c>
      <c r="Q207" s="551">
        <f>+S207/R207</f>
        <v>5600</v>
      </c>
      <c r="R207" s="552">
        <v>2</v>
      </c>
      <c r="S207" s="551">
        <v>11200</v>
      </c>
      <c r="T207" s="664">
        <f>-1680*1.15</f>
        <v>-1931.9999999999998</v>
      </c>
      <c r="U207" s="551">
        <f>SUM(S207:T207)</f>
        <v>9268</v>
      </c>
      <c r="V207" s="1053">
        <f>+S207*0.1-1000</f>
        <v>120</v>
      </c>
      <c r="W207" s="553"/>
      <c r="X207" s="549"/>
      <c r="Y207" s="551"/>
      <c r="Z207" s="551"/>
      <c r="AA207" s="551">
        <f>U207</f>
        <v>9268</v>
      </c>
      <c r="AB207" s="551">
        <f>V207</f>
        <v>120</v>
      </c>
      <c r="AC207" s="555">
        <v>45474</v>
      </c>
      <c r="AD207" s="651"/>
    </row>
    <row r="208" spans="1:34">
      <c r="A208" s="279" t="s">
        <v>117</v>
      </c>
      <c r="B208" s="302" t="s">
        <v>117</v>
      </c>
      <c r="C208" s="302" t="s">
        <v>117</v>
      </c>
      <c r="D208" s="303" t="s">
        <v>117</v>
      </c>
      <c r="E208" s="304" t="s">
        <v>117</v>
      </c>
      <c r="F208" s="238">
        <v>5</v>
      </c>
      <c r="G208" s="238">
        <v>5</v>
      </c>
      <c r="H208" s="292" t="s">
        <v>554</v>
      </c>
      <c r="I208" s="53" t="s">
        <v>987</v>
      </c>
      <c r="J208" s="53" t="s">
        <v>988</v>
      </c>
      <c r="K208" s="4" t="s">
        <v>24</v>
      </c>
      <c r="L208" s="29">
        <v>2</v>
      </c>
      <c r="M208" s="30">
        <v>45478</v>
      </c>
      <c r="N208" s="30">
        <v>45480</v>
      </c>
      <c r="O208" s="428" t="s">
        <v>687</v>
      </c>
      <c r="P208" s="428" t="s">
        <v>756</v>
      </c>
      <c r="Q208" s="3">
        <v>2000</v>
      </c>
      <c r="R208" s="1">
        <v>2</v>
      </c>
      <c r="S208" s="47">
        <f t="shared" si="178"/>
        <v>4000</v>
      </c>
      <c r="T208" s="49">
        <v>-138</v>
      </c>
      <c r="U208" s="47">
        <f t="shared" ref="U208" si="182">SUM(S208:T208)</f>
        <v>3862</v>
      </c>
      <c r="V208" s="47">
        <f t="shared" ref="V208" si="183">+U208*0.18</f>
        <v>695.16</v>
      </c>
      <c r="W208" s="47">
        <f t="shared" ref="W208" si="184">+U208-V208</f>
        <v>3166.84</v>
      </c>
      <c r="X208" s="53"/>
      <c r="Y208" s="62"/>
      <c r="Z208" s="62"/>
      <c r="AA208" s="62"/>
      <c r="AB208" s="62">
        <f>V208</f>
        <v>695.16</v>
      </c>
      <c r="AC208" s="55">
        <v>45479</v>
      </c>
      <c r="AD208" s="651"/>
      <c r="AE208" s="43"/>
      <c r="AF208" s="43"/>
      <c r="AG208" s="43"/>
      <c r="AH208" s="43"/>
    </row>
    <row r="209" spans="1:34">
      <c r="A209" s="279" t="s">
        <v>117</v>
      </c>
      <c r="B209" s="285" t="s">
        <v>117</v>
      </c>
      <c r="C209" s="285" t="s">
        <v>117</v>
      </c>
      <c r="D209" s="282" t="s">
        <v>117</v>
      </c>
      <c r="E209" s="233" t="s">
        <v>117</v>
      </c>
      <c r="F209" s="237">
        <v>5</v>
      </c>
      <c r="G209" s="238"/>
      <c r="H209" s="292" t="s">
        <v>554</v>
      </c>
      <c r="I209" s="53" t="s">
        <v>702</v>
      </c>
      <c r="J209" t="s">
        <v>571</v>
      </c>
      <c r="K209" s="4" t="s">
        <v>24</v>
      </c>
      <c r="L209" s="29">
        <v>2</v>
      </c>
      <c r="M209" s="30">
        <v>45492</v>
      </c>
      <c r="N209" s="30">
        <v>45495</v>
      </c>
      <c r="O209" s="428" t="s">
        <v>687</v>
      </c>
      <c r="P209" s="428" t="s">
        <v>756</v>
      </c>
      <c r="Q209" s="3">
        <v>2000</v>
      </c>
      <c r="R209" s="1">
        <v>3</v>
      </c>
      <c r="S209" s="47">
        <f t="shared" ref="S209" si="185">+Q209*R209</f>
        <v>6000</v>
      </c>
      <c r="T209" s="49">
        <v>-207.01</v>
      </c>
      <c r="U209" s="47">
        <f t="shared" ref="U209" si="186">SUM(S209:T209)</f>
        <v>5792.99</v>
      </c>
      <c r="V209" s="47">
        <f t="shared" ref="V209" si="187">+U209*0.18</f>
        <v>1042.7382</v>
      </c>
      <c r="W209" s="47">
        <f t="shared" ref="W209" si="188">+U209-V209</f>
        <v>4750.2518</v>
      </c>
      <c r="Y209" s="3"/>
      <c r="Z209" s="3"/>
      <c r="AA209" s="3"/>
      <c r="AB209" s="50">
        <f>V209</f>
        <v>1042.7382</v>
      </c>
      <c r="AC209" s="24">
        <v>45493</v>
      </c>
      <c r="AD209" s="651"/>
      <c r="AF209" s="3"/>
    </row>
    <row r="210" spans="1:34" ht="15" thickBot="1">
      <c r="A210" s="279" t="s">
        <v>117</v>
      </c>
      <c r="B210" s="285" t="s">
        <v>117</v>
      </c>
      <c r="C210" s="285" t="s">
        <v>117</v>
      </c>
      <c r="D210" s="282" t="s">
        <v>117</v>
      </c>
      <c r="E210" s="233" t="s">
        <v>117</v>
      </c>
      <c r="F210" s="237" t="s">
        <v>592</v>
      </c>
      <c r="G210" s="238"/>
      <c r="H210" s="301" t="s">
        <v>555</v>
      </c>
      <c r="I210" s="227" t="s">
        <v>1152</v>
      </c>
      <c r="J210" t="s">
        <v>569</v>
      </c>
      <c r="K210" s="18" t="s">
        <v>23</v>
      </c>
      <c r="L210" s="29">
        <v>2</v>
      </c>
      <c r="M210" s="30">
        <v>45493</v>
      </c>
      <c r="N210" s="30">
        <v>45494</v>
      </c>
      <c r="O210" s="428" t="s">
        <v>687</v>
      </c>
      <c r="P210" s="428" t="s">
        <v>756</v>
      </c>
      <c r="Q210" s="3" t="s">
        <v>592</v>
      </c>
      <c r="R210" s="1">
        <v>1</v>
      </c>
      <c r="S210" s="47" t="s">
        <v>592</v>
      </c>
      <c r="T210" s="49" t="s">
        <v>592</v>
      </c>
      <c r="U210" s="47" t="s">
        <v>592</v>
      </c>
      <c r="V210" s="47"/>
      <c r="W210" s="47" t="s">
        <v>592</v>
      </c>
      <c r="Y210" s="3"/>
      <c r="Z210" s="3"/>
      <c r="AA210" s="3"/>
      <c r="AB210" s="3" t="s">
        <v>592</v>
      </c>
      <c r="AC210" s="24">
        <v>0</v>
      </c>
      <c r="AD210" s="651"/>
    </row>
    <row r="211" spans="1:34" ht="15" thickBot="1">
      <c r="A211" s="280" t="s">
        <v>117</v>
      </c>
      <c r="B211" s="286" t="s">
        <v>117</v>
      </c>
      <c r="C211" s="286" t="s">
        <v>117</v>
      </c>
      <c r="D211" s="283" t="s">
        <v>117</v>
      </c>
      <c r="E211" s="234" t="s">
        <v>117</v>
      </c>
      <c r="F211" s="239" t="s">
        <v>592</v>
      </c>
      <c r="G211" s="239"/>
      <c r="H211" s="592" t="s">
        <v>567</v>
      </c>
      <c r="I211" s="707" t="s">
        <v>1203</v>
      </c>
      <c r="J211" s="708" t="s">
        <v>1180</v>
      </c>
      <c r="K211" s="709" t="s">
        <v>761</v>
      </c>
      <c r="L211" s="714">
        <v>8</v>
      </c>
      <c r="M211" s="716">
        <v>45498</v>
      </c>
      <c r="N211" s="716">
        <v>45502</v>
      </c>
      <c r="O211" s="712" t="s">
        <v>688</v>
      </c>
      <c r="P211" s="712" t="s">
        <v>1221</v>
      </c>
      <c r="Q211" s="713">
        <f>+S211/R211</f>
        <v>8000</v>
      </c>
      <c r="R211" s="714">
        <v>4</v>
      </c>
      <c r="S211" s="713">
        <v>32000</v>
      </c>
      <c r="T211" s="715">
        <v>-3680</v>
      </c>
      <c r="U211" s="713">
        <f>+S211+T211</f>
        <v>28320</v>
      </c>
      <c r="V211" s="713">
        <f>+S211*0.1-1000</f>
        <v>2200</v>
      </c>
      <c r="W211" s="713"/>
      <c r="X211" s="708"/>
      <c r="Y211" s="713"/>
      <c r="Z211" s="713"/>
      <c r="AA211" s="713">
        <f>+U211-3200+1360</f>
        <v>26480</v>
      </c>
      <c r="AB211" s="713">
        <f>V211</f>
        <v>2200</v>
      </c>
      <c r="AC211" s="716">
        <v>45503</v>
      </c>
      <c r="AD211" s="654"/>
      <c r="AE211" s="650" t="s">
        <v>464</v>
      </c>
      <c r="AF211" s="310" t="s">
        <v>465</v>
      </c>
      <c r="AG211" s="325" t="s">
        <v>59</v>
      </c>
      <c r="AH211" s="311" t="s">
        <v>466</v>
      </c>
    </row>
    <row r="212" spans="1:34" ht="15" thickBot="1">
      <c r="A212" s="536" t="s">
        <v>1255</v>
      </c>
      <c r="B212" s="530"/>
      <c r="C212" s="530"/>
      <c r="D212" s="530"/>
      <c r="E212" s="530"/>
      <c r="F212" s="530"/>
      <c r="G212" s="530"/>
      <c r="H212" s="531"/>
      <c r="I212" s="525"/>
      <c r="J212" s="532"/>
      <c r="K212" s="517"/>
      <c r="L212" s="518"/>
      <c r="M212" s="519"/>
      <c r="N212" s="519"/>
      <c r="O212" s="520"/>
      <c r="P212" s="520"/>
      <c r="Q212" s="521"/>
      <c r="R212" s="518"/>
      <c r="S212" s="521"/>
      <c r="T212" s="522"/>
      <c r="U212" s="521"/>
      <c r="V212" s="542">
        <f>SUM(V207:V211)</f>
        <v>4057.8982000000001</v>
      </c>
      <c r="W212" s="523">
        <f>SUM(W207:W211)</f>
        <v>7917.0918000000001</v>
      </c>
      <c r="X212" s="527">
        <v>0</v>
      </c>
      <c r="Y212" s="645">
        <v>0</v>
      </c>
      <c r="Z212" s="646">
        <f>SUM(Z210:Z211)</f>
        <v>0</v>
      </c>
      <c r="AA212" s="1045">
        <f>SUM(AA207:AA211)</f>
        <v>35748</v>
      </c>
      <c r="AB212" s="524">
        <f>SUM(AB207:AB211)</f>
        <v>4057.8982000000001</v>
      </c>
      <c r="AC212" s="519"/>
      <c r="AD212" s="529"/>
      <c r="AE212" s="647">
        <f>AB212</f>
        <v>4057.8982000000001</v>
      </c>
      <c r="AF212" s="537">
        <f>+'Dunkley - Toplis'!F13+'Camerer - Sewell'!J77+'Reyneke - Proteadale'!J14+'Crook - Whalerock Beach'!J44</f>
        <v>5700</v>
      </c>
      <c r="AG212" s="538">
        <f>SUM(AE212:AF212)</f>
        <v>9757.8981999999996</v>
      </c>
      <c r="AH212" s="539">
        <f>+AG212/3</f>
        <v>3252.6327333333334</v>
      </c>
    </row>
    <row r="213" spans="1:34">
      <c r="A213" s="279" t="s">
        <v>117</v>
      </c>
      <c r="B213" s="302" t="s">
        <v>117</v>
      </c>
      <c r="C213" s="302" t="s">
        <v>117</v>
      </c>
      <c r="D213" s="303" t="s">
        <v>117</v>
      </c>
      <c r="E213" s="304" t="s">
        <v>117</v>
      </c>
      <c r="F213" s="238">
        <v>5</v>
      </c>
      <c r="G213" s="238"/>
      <c r="H213" s="292" t="s">
        <v>554</v>
      </c>
      <c r="I213" s="696" t="s">
        <v>1126</v>
      </c>
      <c r="J213" s="689" t="s">
        <v>1127</v>
      </c>
      <c r="K213" s="848" t="s">
        <v>1236</v>
      </c>
      <c r="L213" s="846">
        <v>4.5</v>
      </c>
      <c r="M213" s="847">
        <v>45507</v>
      </c>
      <c r="N213" s="847">
        <v>45510</v>
      </c>
      <c r="O213" s="845" t="s">
        <v>687</v>
      </c>
      <c r="P213" s="845" t="s">
        <v>756</v>
      </c>
      <c r="Q213" s="694">
        <v>2500</v>
      </c>
      <c r="R213" s="846">
        <v>3</v>
      </c>
      <c r="S213" s="694">
        <f>+Q213*R213</f>
        <v>7500</v>
      </c>
      <c r="T213" s="695">
        <v>-258.75</v>
      </c>
      <c r="U213" s="694">
        <f>SUM(S213:T213)</f>
        <v>7241.25</v>
      </c>
      <c r="V213" s="694">
        <f>+U213*0.2</f>
        <v>1448.25</v>
      </c>
      <c r="W213" s="694"/>
      <c r="X213" s="844"/>
      <c r="Y213" s="694"/>
      <c r="Z213" s="694">
        <f>+U213-V213</f>
        <v>5793</v>
      </c>
      <c r="AA213" s="694"/>
      <c r="AB213" s="694">
        <f>V213</f>
        <v>1448.25</v>
      </c>
      <c r="AC213" s="847">
        <v>45508</v>
      </c>
      <c r="AD213" s="651"/>
    </row>
    <row r="214" spans="1:34">
      <c r="A214" s="279" t="s">
        <v>117</v>
      </c>
      <c r="B214" s="302" t="s">
        <v>117</v>
      </c>
      <c r="C214" s="302" t="s">
        <v>117</v>
      </c>
      <c r="D214" s="303" t="s">
        <v>117</v>
      </c>
      <c r="E214" s="304" t="s">
        <v>117</v>
      </c>
      <c r="F214" s="238">
        <v>5</v>
      </c>
      <c r="G214" s="238"/>
      <c r="H214" s="301" t="s">
        <v>567</v>
      </c>
      <c r="I214" s="978" t="s">
        <v>1219</v>
      </c>
      <c r="J214" s="549" t="s">
        <v>1220</v>
      </c>
      <c r="K214" s="546" t="s">
        <v>761</v>
      </c>
      <c r="L214" s="547">
        <v>4</v>
      </c>
      <c r="M214" s="548">
        <v>45509</v>
      </c>
      <c r="N214" s="548">
        <v>45513</v>
      </c>
      <c r="O214" s="663" t="s">
        <v>687</v>
      </c>
      <c r="P214" s="663" t="s">
        <v>1221</v>
      </c>
      <c r="Q214" s="551">
        <v>8000</v>
      </c>
      <c r="R214" s="552">
        <v>4</v>
      </c>
      <c r="S214" s="553">
        <f>+Q214*R214</f>
        <v>32000</v>
      </c>
      <c r="T214" s="554">
        <f>-4800*1.15</f>
        <v>-5520</v>
      </c>
      <c r="U214" s="553">
        <f>SUM(S214:T214)</f>
        <v>26480</v>
      </c>
      <c r="V214" s="195">
        <f>+S214*0.1-1000</f>
        <v>2200</v>
      </c>
      <c r="W214" s="553"/>
      <c r="X214" s="978"/>
      <c r="Y214" s="553"/>
      <c r="Z214" s="553"/>
      <c r="AA214" s="553">
        <f>+U214-V214</f>
        <v>24280</v>
      </c>
      <c r="AB214" s="553"/>
      <c r="AC214" s="983"/>
      <c r="AD214" s="651"/>
    </row>
    <row r="215" spans="1:34">
      <c r="A215" s="279" t="s">
        <v>117</v>
      </c>
      <c r="B215" s="302" t="s">
        <v>117</v>
      </c>
      <c r="C215" s="302" t="s">
        <v>117</v>
      </c>
      <c r="D215" s="303" t="s">
        <v>117</v>
      </c>
      <c r="E215" s="304" t="s">
        <v>117</v>
      </c>
      <c r="F215" s="238" t="s">
        <v>592</v>
      </c>
      <c r="G215" s="238"/>
      <c r="H215" s="301" t="s">
        <v>556</v>
      </c>
      <c r="I215" s="591" t="s">
        <v>1261</v>
      </c>
      <c r="J215" s="469" t="s">
        <v>398</v>
      </c>
      <c r="K215" s="333" t="s">
        <v>210</v>
      </c>
      <c r="L215" s="470">
        <v>2</v>
      </c>
      <c r="M215" s="471">
        <v>45509</v>
      </c>
      <c r="N215" s="471">
        <v>45515</v>
      </c>
      <c r="O215" s="479" t="s">
        <v>688</v>
      </c>
      <c r="P215" s="479" t="s">
        <v>756</v>
      </c>
      <c r="Q215" s="473" t="s">
        <v>592</v>
      </c>
      <c r="R215" s="470">
        <v>6</v>
      </c>
      <c r="S215" s="475" t="s">
        <v>592</v>
      </c>
      <c r="T215" s="480" t="s">
        <v>592</v>
      </c>
      <c r="U215" s="475" t="s">
        <v>592</v>
      </c>
      <c r="V215" s="475" t="s">
        <v>592</v>
      </c>
      <c r="W215" s="475"/>
      <c r="X215" s="469" t="s">
        <v>592</v>
      </c>
      <c r="Y215" s="475"/>
      <c r="Z215" s="475"/>
      <c r="AA215" s="475"/>
      <c r="AB215" s="475" t="s">
        <v>592</v>
      </c>
      <c r="AC215" s="478">
        <v>0</v>
      </c>
      <c r="AD215" s="651"/>
    </row>
    <row r="216" spans="1:34">
      <c r="A216" s="279" t="s">
        <v>117</v>
      </c>
      <c r="B216" s="302" t="s">
        <v>117</v>
      </c>
      <c r="C216" s="302" t="s">
        <v>117</v>
      </c>
      <c r="D216" s="303" t="s">
        <v>117</v>
      </c>
      <c r="E216" s="304" t="s">
        <v>117</v>
      </c>
      <c r="F216" s="238">
        <v>5</v>
      </c>
      <c r="G216" s="238">
        <v>5</v>
      </c>
      <c r="H216" s="292" t="s">
        <v>554</v>
      </c>
      <c r="I216" s="53" t="s">
        <v>1290</v>
      </c>
      <c r="J216" s="53" t="s">
        <v>14</v>
      </c>
      <c r="K216" s="4" t="s">
        <v>24</v>
      </c>
      <c r="L216" s="29">
        <v>2</v>
      </c>
      <c r="M216" s="30">
        <v>45511</v>
      </c>
      <c r="N216" s="30">
        <v>45515</v>
      </c>
      <c r="O216" s="428" t="s">
        <v>687</v>
      </c>
      <c r="P216" s="428" t="s">
        <v>756</v>
      </c>
      <c r="Q216" s="50">
        <v>2000</v>
      </c>
      <c r="R216" s="29">
        <v>2</v>
      </c>
      <c r="S216" s="62">
        <f>+Q216*R216</f>
        <v>4000</v>
      </c>
      <c r="T216" s="119">
        <v>-138</v>
      </c>
      <c r="U216" s="47">
        <f>SUM(S216:T216)</f>
        <v>3862</v>
      </c>
      <c r="V216" s="47">
        <f>+U216*0.18</f>
        <v>695.16</v>
      </c>
      <c r="W216" s="47">
        <f t="shared" ref="W216" si="189">+U216-V216</f>
        <v>3166.84</v>
      </c>
      <c r="X216" s="53"/>
      <c r="Y216" s="62"/>
      <c r="Z216" s="62"/>
      <c r="AA216" s="62"/>
      <c r="AB216" s="62">
        <f>V216</f>
        <v>695.16</v>
      </c>
      <c r="AC216" s="55">
        <v>45512</v>
      </c>
      <c r="AD216" s="651"/>
    </row>
    <row r="217" spans="1:34">
      <c r="A217" s="279" t="s">
        <v>117</v>
      </c>
      <c r="B217" s="302" t="s">
        <v>117</v>
      </c>
      <c r="C217" s="302" t="s">
        <v>117</v>
      </c>
      <c r="D217" s="303" t="s">
        <v>117</v>
      </c>
      <c r="E217" s="304" t="s">
        <v>117</v>
      </c>
      <c r="F217" s="238">
        <v>5</v>
      </c>
      <c r="G217" s="238"/>
      <c r="H217" s="292" t="s">
        <v>554</v>
      </c>
      <c r="I217" s="53" t="s">
        <v>1303</v>
      </c>
      <c r="J217" s="15" t="s">
        <v>1239</v>
      </c>
      <c r="K217" s="4" t="s">
        <v>24</v>
      </c>
      <c r="L217" s="29">
        <v>2</v>
      </c>
      <c r="M217" s="30">
        <v>45513</v>
      </c>
      <c r="N217" s="30">
        <v>45515</v>
      </c>
      <c r="O217" s="428" t="s">
        <v>687</v>
      </c>
      <c r="P217" s="428" t="s">
        <v>756</v>
      </c>
      <c r="Q217" s="50">
        <v>2000</v>
      </c>
      <c r="R217" s="29">
        <v>2</v>
      </c>
      <c r="S217" s="62">
        <f>+Q217*R217</f>
        <v>4000</v>
      </c>
      <c r="T217" s="119">
        <v>-138</v>
      </c>
      <c r="U217" s="47">
        <f>SUM(S217:T217)</f>
        <v>3862</v>
      </c>
      <c r="V217" s="47">
        <f>+U217*0.18</f>
        <v>695.16</v>
      </c>
      <c r="W217" s="47">
        <f t="shared" ref="W217" si="190">+U217-V217</f>
        <v>3166.84</v>
      </c>
      <c r="X217" s="53"/>
      <c r="Y217" s="62"/>
      <c r="Z217" s="62"/>
      <c r="AA217" s="62"/>
      <c r="AB217" s="62">
        <f>V217</f>
        <v>695.16</v>
      </c>
      <c r="AC217" s="55">
        <v>45514</v>
      </c>
      <c r="AD217" s="651"/>
    </row>
    <row r="218" spans="1:34">
      <c r="A218" s="279" t="s">
        <v>117</v>
      </c>
      <c r="B218" s="302" t="s">
        <v>117</v>
      </c>
      <c r="C218" s="302" t="s">
        <v>117</v>
      </c>
      <c r="D218" s="303" t="s">
        <v>117</v>
      </c>
      <c r="E218" s="304" t="s">
        <v>117</v>
      </c>
      <c r="F218" s="238">
        <v>5</v>
      </c>
      <c r="G218" s="238">
        <v>5</v>
      </c>
      <c r="H218" s="292" t="s">
        <v>554</v>
      </c>
      <c r="I218" s="53" t="s">
        <v>1262</v>
      </c>
      <c r="J218" s="15" t="s">
        <v>1302</v>
      </c>
      <c r="K218" s="18" t="s">
        <v>23</v>
      </c>
      <c r="L218" s="29">
        <v>2</v>
      </c>
      <c r="M218" s="30">
        <v>45513</v>
      </c>
      <c r="N218" s="30">
        <v>45515</v>
      </c>
      <c r="O218" s="428" t="s">
        <v>687</v>
      </c>
      <c r="P218" s="428" t="s">
        <v>756</v>
      </c>
      <c r="Q218" s="50">
        <v>2000</v>
      </c>
      <c r="R218" s="29">
        <v>2</v>
      </c>
      <c r="S218" s="62">
        <f>+Q218*R218</f>
        <v>4000</v>
      </c>
      <c r="T218" s="119">
        <v>-138</v>
      </c>
      <c r="U218" s="47">
        <f>SUM(S218:T218)</f>
        <v>3862</v>
      </c>
      <c r="V218" s="47">
        <f>+U218*0.18</f>
        <v>695.16</v>
      </c>
      <c r="W218" s="47">
        <f t="shared" ref="W218" si="191">+U218-V218</f>
        <v>3166.84</v>
      </c>
      <c r="X218" s="53"/>
      <c r="Y218" s="62"/>
      <c r="Z218" s="62"/>
      <c r="AA218" s="62"/>
      <c r="AB218" s="62">
        <f>V218</f>
        <v>695.16</v>
      </c>
      <c r="AC218" s="55">
        <v>45514</v>
      </c>
      <c r="AD218" s="651"/>
    </row>
    <row r="219" spans="1:34">
      <c r="A219" s="279" t="s">
        <v>117</v>
      </c>
      <c r="B219" s="302" t="s">
        <v>117</v>
      </c>
      <c r="C219" s="302" t="s">
        <v>117</v>
      </c>
      <c r="D219" s="303"/>
      <c r="E219" s="304"/>
      <c r="F219" s="238"/>
      <c r="G219" s="238"/>
      <c r="H219" s="292" t="s">
        <v>554</v>
      </c>
      <c r="I219" s="76" t="s">
        <v>1124</v>
      </c>
      <c r="J219" t="s">
        <v>1125</v>
      </c>
      <c r="K219" s="18" t="s">
        <v>23</v>
      </c>
      <c r="L219" s="19">
        <v>2</v>
      </c>
      <c r="M219" s="20">
        <v>45518</v>
      </c>
      <c r="N219" s="20">
        <v>45520</v>
      </c>
      <c r="O219" s="428" t="s">
        <v>687</v>
      </c>
      <c r="P219" s="428" t="s">
        <v>756</v>
      </c>
      <c r="Q219" s="3">
        <v>2000</v>
      </c>
      <c r="R219" s="1">
        <v>2</v>
      </c>
      <c r="S219" s="47">
        <f>+Q219*R219</f>
        <v>4000</v>
      </c>
      <c r="T219" s="49">
        <v>-138.02000000000001</v>
      </c>
      <c r="U219" s="47">
        <f>SUM(S219:T219)</f>
        <v>3861.98</v>
      </c>
      <c r="V219" s="47">
        <f>+U219*0.18</f>
        <v>695.15639999999996</v>
      </c>
      <c r="W219" s="47">
        <f t="shared" ref="W219" si="192">+U219-V219</f>
        <v>3166.8236000000002</v>
      </c>
      <c r="X219" s="53"/>
      <c r="Y219" s="62"/>
      <c r="Z219" s="62"/>
      <c r="AA219" s="62"/>
      <c r="AB219" s="62"/>
      <c r="AC219" s="55"/>
      <c r="AD219" s="651"/>
    </row>
    <row r="220" spans="1:34">
      <c r="A220" s="279" t="s">
        <v>117</v>
      </c>
      <c r="B220" s="285" t="s">
        <v>117</v>
      </c>
      <c r="C220" s="285" t="s">
        <v>117</v>
      </c>
      <c r="D220" s="282"/>
      <c r="E220" s="233"/>
      <c r="F220" s="237"/>
      <c r="G220" s="238"/>
      <c r="H220" s="292" t="s">
        <v>554</v>
      </c>
      <c r="I220" s="76" t="s">
        <v>745</v>
      </c>
      <c r="J220" t="s">
        <v>746</v>
      </c>
      <c r="K220" s="4" t="s">
        <v>24</v>
      </c>
      <c r="L220" s="17">
        <v>2</v>
      </c>
      <c r="M220" s="16">
        <v>45518</v>
      </c>
      <c r="N220" s="16">
        <v>45521</v>
      </c>
      <c r="O220" s="428" t="s">
        <v>687</v>
      </c>
      <c r="P220" s="428" t="s">
        <v>756</v>
      </c>
      <c r="Q220" s="3">
        <v>2000</v>
      </c>
      <c r="R220" s="1">
        <v>3</v>
      </c>
      <c r="S220" s="47">
        <f t="shared" ref="S220" si="193">+Q220*R220</f>
        <v>6000</v>
      </c>
      <c r="T220" s="49">
        <v>-207</v>
      </c>
      <c r="U220" s="47">
        <f t="shared" ref="U220" si="194">SUM(S220:T220)</f>
        <v>5793</v>
      </c>
      <c r="V220" s="47">
        <f t="shared" ref="V220" si="195">+U220*0.18</f>
        <v>1042.74</v>
      </c>
      <c r="W220" s="47">
        <f t="shared" ref="W220" si="196">+U220-V220</f>
        <v>4750.26</v>
      </c>
      <c r="Y220" s="3"/>
      <c r="Z220" s="3"/>
      <c r="AA220" s="3"/>
      <c r="AD220" s="651"/>
    </row>
    <row r="221" spans="1:34">
      <c r="A221" s="279" t="s">
        <v>117</v>
      </c>
      <c r="B221" s="285"/>
      <c r="C221" s="285"/>
      <c r="D221" s="282"/>
      <c r="E221" s="233"/>
      <c r="F221" s="237"/>
      <c r="G221" s="238"/>
      <c r="H221" s="301" t="s">
        <v>567</v>
      </c>
      <c r="I221" s="1098" t="s">
        <v>1216</v>
      </c>
      <c r="J221" s="549" t="s">
        <v>1217</v>
      </c>
      <c r="K221" s="546" t="s">
        <v>761</v>
      </c>
      <c r="L221" s="547">
        <v>6</v>
      </c>
      <c r="M221" s="548">
        <v>45519</v>
      </c>
      <c r="N221" s="548">
        <v>45523</v>
      </c>
      <c r="O221" s="663" t="s">
        <v>687</v>
      </c>
      <c r="P221" s="663" t="s">
        <v>1221</v>
      </c>
      <c r="Q221" s="551">
        <v>8000</v>
      </c>
      <c r="R221" s="552">
        <v>4</v>
      </c>
      <c r="S221" s="553">
        <f>+Q221*R221</f>
        <v>32000</v>
      </c>
      <c r="T221" s="554">
        <f>-4800*1.15</f>
        <v>-5520</v>
      </c>
      <c r="U221" s="553">
        <f>SUM(S221:T221)</f>
        <v>26480</v>
      </c>
      <c r="V221" s="195">
        <f>+S221*0.1-1000</f>
        <v>2200</v>
      </c>
      <c r="W221" s="553"/>
      <c r="X221" s="549"/>
      <c r="Y221" s="551"/>
      <c r="Z221" s="551"/>
      <c r="AA221" s="553">
        <f>+U221-V221</f>
        <v>24280</v>
      </c>
      <c r="AB221" s="551"/>
      <c r="AC221" s="555"/>
      <c r="AD221" s="651"/>
    </row>
    <row r="222" spans="1:34">
      <c r="A222" s="279"/>
      <c r="B222" s="302"/>
      <c r="C222" s="302"/>
      <c r="D222" s="303"/>
      <c r="E222" s="304"/>
      <c r="F222" s="238"/>
      <c r="G222" s="1096"/>
      <c r="H222" s="1095" t="s">
        <v>555</v>
      </c>
      <c r="I222" s="688" t="s">
        <v>806</v>
      </c>
      <c r="J222" s="844" t="s">
        <v>84</v>
      </c>
      <c r="K222" s="848" t="s">
        <v>1236</v>
      </c>
      <c r="L222" s="1079">
        <v>4</v>
      </c>
      <c r="M222" s="1080">
        <v>45527</v>
      </c>
      <c r="N222" s="1080">
        <v>45536</v>
      </c>
      <c r="O222" s="845" t="s">
        <v>687</v>
      </c>
      <c r="P222" s="845" t="s">
        <v>756</v>
      </c>
      <c r="Q222" s="694"/>
      <c r="R222" s="846"/>
      <c r="S222" s="694"/>
      <c r="T222" s="695"/>
      <c r="U222" s="694"/>
      <c r="V222" s="694"/>
      <c r="W222" s="694"/>
      <c r="X222" s="844"/>
      <c r="Y222" s="694"/>
      <c r="Z222" s="694"/>
      <c r="AA222" s="694"/>
      <c r="AB222" s="694"/>
      <c r="AC222" s="847"/>
      <c r="AD222" s="189"/>
    </row>
    <row r="223" spans="1:34">
      <c r="A223" s="280"/>
      <c r="B223" s="286"/>
      <c r="C223" s="286"/>
      <c r="D223" s="283"/>
      <c r="E223" s="234"/>
      <c r="F223" s="239"/>
      <c r="G223" s="239"/>
      <c r="H223" s="759" t="s">
        <v>567</v>
      </c>
      <c r="I223" s="806" t="s">
        <v>1330</v>
      </c>
      <c r="J223" s="708" t="s">
        <v>1331</v>
      </c>
      <c r="K223" s="709" t="s">
        <v>761</v>
      </c>
      <c r="L223" s="710" t="s">
        <v>332</v>
      </c>
      <c r="M223" s="711">
        <v>45528</v>
      </c>
      <c r="N223" s="711">
        <v>45530</v>
      </c>
      <c r="O223" s="712" t="s">
        <v>688</v>
      </c>
      <c r="P223" s="712" t="s">
        <v>756</v>
      </c>
      <c r="Q223" s="713">
        <v>8000</v>
      </c>
      <c r="R223" s="714">
        <v>2</v>
      </c>
      <c r="S223" s="713">
        <f>+Q223*R223</f>
        <v>16000</v>
      </c>
      <c r="T223" s="715">
        <v>0</v>
      </c>
      <c r="U223" s="713">
        <f>SUM(S223:T223)</f>
        <v>16000</v>
      </c>
      <c r="V223" s="1097">
        <f>+S223*0.1-1000</f>
        <v>600</v>
      </c>
      <c r="W223" s="713"/>
      <c r="X223" s="708"/>
      <c r="Y223" s="713"/>
      <c r="Z223" s="713"/>
      <c r="AA223" s="713">
        <f>+U223-V223</f>
        <v>15400</v>
      </c>
      <c r="AB223" s="713"/>
      <c r="AC223" s="716"/>
      <c r="AD223" s="261"/>
    </row>
    <row r="224" spans="1:34">
      <c r="A224" s="279"/>
      <c r="B224" s="285"/>
      <c r="C224" s="285"/>
      <c r="D224" s="282"/>
      <c r="E224" s="233"/>
      <c r="F224" s="237"/>
      <c r="G224" s="238"/>
      <c r="H224" s="301" t="s">
        <v>555</v>
      </c>
      <c r="I224" s="228" t="s">
        <v>990</v>
      </c>
      <c r="J224" t="s">
        <v>107</v>
      </c>
      <c r="K224" s="244" t="s">
        <v>1153</v>
      </c>
      <c r="L224" s="39">
        <v>3</v>
      </c>
      <c r="M224" s="625">
        <v>45540</v>
      </c>
      <c r="N224" s="625">
        <v>45542</v>
      </c>
      <c r="O224" s="428" t="s">
        <v>687</v>
      </c>
      <c r="P224" s="428" t="s">
        <v>756</v>
      </c>
      <c r="Q224" s="3">
        <v>1500</v>
      </c>
      <c r="R224" s="1">
        <v>2</v>
      </c>
      <c r="S224" s="47">
        <f>+Q224*R224</f>
        <v>3000</v>
      </c>
      <c r="T224" s="49">
        <v>0</v>
      </c>
      <c r="U224" s="47">
        <f t="shared" ref="U224" si="197">SUM(S224:T224)</f>
        <v>3000</v>
      </c>
      <c r="V224" s="195">
        <f t="shared" ref="V224" si="198">+U224*0.18</f>
        <v>540</v>
      </c>
      <c r="W224" s="47">
        <f t="shared" ref="W224" si="199">+U224-V224</f>
        <v>2460</v>
      </c>
      <c r="X224" t="s">
        <v>1055</v>
      </c>
      <c r="Y224" s="3"/>
      <c r="Z224" s="3"/>
      <c r="AA224" s="3"/>
      <c r="AD224" s="651"/>
    </row>
    <row r="225" spans="1:30">
      <c r="A225" s="279"/>
      <c r="B225" s="285"/>
      <c r="C225" s="285"/>
      <c r="D225" s="282"/>
      <c r="E225" s="233"/>
      <c r="F225" s="237"/>
      <c r="G225" s="238"/>
      <c r="H225" s="292" t="s">
        <v>554</v>
      </c>
      <c r="I225" s="43" t="s">
        <v>705</v>
      </c>
      <c r="J225" t="s">
        <v>417</v>
      </c>
      <c r="K225" s="4" t="s">
        <v>24</v>
      </c>
      <c r="L225" s="17">
        <v>2</v>
      </c>
      <c r="M225" s="16">
        <v>45544</v>
      </c>
      <c r="N225" s="16">
        <v>45549</v>
      </c>
      <c r="O225" s="428" t="s">
        <v>687</v>
      </c>
      <c r="P225" s="428" t="s">
        <v>756</v>
      </c>
      <c r="Q225" s="3">
        <v>2090</v>
      </c>
      <c r="R225" s="1">
        <v>5</v>
      </c>
      <c r="S225" s="47">
        <f t="shared" ref="S225:S282" si="200">+Q225*R225</f>
        <v>10450</v>
      </c>
      <c r="T225" s="49">
        <v>-360.61</v>
      </c>
      <c r="U225" s="47">
        <f t="shared" ref="U225:U253" si="201">SUM(S225:T225)</f>
        <v>10089.39</v>
      </c>
      <c r="V225" s="47">
        <f t="shared" ref="V225:V253" si="202">+U225*0.18</f>
        <v>1816.0901999999999</v>
      </c>
      <c r="W225" s="47">
        <f t="shared" ref="W225:W253" si="203">+U225-V225</f>
        <v>8273.2997999999989</v>
      </c>
      <c r="Y225" s="3"/>
      <c r="Z225" s="3"/>
      <c r="AA225" s="3"/>
      <c r="AD225" s="651"/>
    </row>
    <row r="226" spans="1:30">
      <c r="A226" s="279"/>
      <c r="B226" s="285"/>
      <c r="C226" s="285"/>
      <c r="D226" s="282"/>
      <c r="E226" s="233"/>
      <c r="F226" s="237"/>
      <c r="G226" s="238"/>
      <c r="H226" s="292" t="s">
        <v>554</v>
      </c>
      <c r="I226" s="43" t="s">
        <v>1167</v>
      </c>
      <c r="J226" t="s">
        <v>495</v>
      </c>
      <c r="K226" s="18" t="s">
        <v>23</v>
      </c>
      <c r="L226" s="19">
        <v>2</v>
      </c>
      <c r="M226" s="20">
        <v>45551</v>
      </c>
      <c r="N226" s="20">
        <v>45553</v>
      </c>
      <c r="O226" s="428" t="s">
        <v>687</v>
      </c>
      <c r="P226" s="428" t="s">
        <v>756</v>
      </c>
      <c r="Q226" s="3">
        <v>2000</v>
      </c>
      <c r="R226" s="1">
        <v>2</v>
      </c>
      <c r="S226" s="47">
        <f t="shared" si="200"/>
        <v>4000</v>
      </c>
      <c r="T226" s="49">
        <v>-137.91</v>
      </c>
      <c r="U226" s="47">
        <f t="shared" si="201"/>
        <v>3862.09</v>
      </c>
      <c r="V226" s="47">
        <f t="shared" si="202"/>
        <v>695.17619999999999</v>
      </c>
      <c r="W226" s="47">
        <f t="shared" si="203"/>
        <v>3166.9138000000003</v>
      </c>
      <c r="Y226" s="3"/>
      <c r="Z226" s="3"/>
      <c r="AA226" s="3"/>
      <c r="AD226" s="651"/>
    </row>
    <row r="227" spans="1:30">
      <c r="A227" s="279"/>
      <c r="B227" s="285"/>
      <c r="C227" s="285"/>
      <c r="D227" s="282"/>
      <c r="E227" s="233"/>
      <c r="F227" s="237"/>
      <c r="G227" s="238"/>
      <c r="H227" s="292" t="s">
        <v>554</v>
      </c>
      <c r="I227" s="43" t="s">
        <v>1168</v>
      </c>
      <c r="J227" t="s">
        <v>1169</v>
      </c>
      <c r="K227" s="4" t="s">
        <v>24</v>
      </c>
      <c r="L227" s="17">
        <v>2</v>
      </c>
      <c r="M227" s="16">
        <v>45553</v>
      </c>
      <c r="N227" s="16">
        <v>45556</v>
      </c>
      <c r="O227" s="428" t="s">
        <v>687</v>
      </c>
      <c r="P227" s="428" t="s">
        <v>756</v>
      </c>
      <c r="Q227" s="3">
        <v>2000</v>
      </c>
      <c r="R227" s="1">
        <v>3</v>
      </c>
      <c r="S227" s="47">
        <f t="shared" si="200"/>
        <v>6000</v>
      </c>
      <c r="T227" s="49">
        <v>-207</v>
      </c>
      <c r="U227" s="47">
        <f t="shared" si="201"/>
        <v>5793</v>
      </c>
      <c r="V227" s="47">
        <f t="shared" si="202"/>
        <v>1042.74</v>
      </c>
      <c r="W227" s="47">
        <f t="shared" si="203"/>
        <v>4750.26</v>
      </c>
      <c r="Y227" s="3"/>
      <c r="Z227" s="3"/>
      <c r="AA227" s="3"/>
      <c r="AD227" s="651"/>
    </row>
    <row r="228" spans="1:30">
      <c r="A228" s="279"/>
      <c r="B228" s="285"/>
      <c r="C228" s="285"/>
      <c r="D228" s="282"/>
      <c r="E228" s="233"/>
      <c r="F228" s="237"/>
      <c r="G228" s="238"/>
      <c r="H228" s="290" t="s">
        <v>555</v>
      </c>
      <c r="I228" s="666" t="s">
        <v>760</v>
      </c>
      <c r="J228" s="549" t="s">
        <v>84</v>
      </c>
      <c r="K228" s="546" t="s">
        <v>761</v>
      </c>
      <c r="L228" s="547">
        <v>4</v>
      </c>
      <c r="M228" s="548">
        <v>45555</v>
      </c>
      <c r="N228" s="548">
        <v>45559</v>
      </c>
      <c r="O228" s="550" t="s">
        <v>688</v>
      </c>
      <c r="P228" s="550" t="s">
        <v>1221</v>
      </c>
      <c r="Q228" s="551">
        <v>0</v>
      </c>
      <c r="R228" s="552">
        <v>4</v>
      </c>
      <c r="S228" s="553">
        <v>0</v>
      </c>
      <c r="T228" s="554">
        <v>0</v>
      </c>
      <c r="U228" s="553">
        <v>0</v>
      </c>
      <c r="V228" s="551">
        <v>0</v>
      </c>
      <c r="W228" s="553"/>
      <c r="X228" s="553"/>
      <c r="Y228" s="551"/>
      <c r="Z228" s="551"/>
      <c r="AA228" s="551">
        <v>0</v>
      </c>
      <c r="AB228" s="551"/>
      <c r="AC228" s="555"/>
      <c r="AD228" s="651"/>
    </row>
    <row r="229" spans="1:30">
      <c r="A229" s="279"/>
      <c r="B229" s="285"/>
      <c r="C229" s="285"/>
      <c r="D229" s="282"/>
      <c r="E229" s="233"/>
      <c r="F229" s="237"/>
      <c r="G229" s="238"/>
      <c r="H229" s="294" t="s">
        <v>557</v>
      </c>
      <c r="I229" s="696" t="s">
        <v>1301</v>
      </c>
      <c r="J229" s="689" t="s">
        <v>107</v>
      </c>
      <c r="K229" s="848" t="s">
        <v>1236</v>
      </c>
      <c r="L229" s="1079">
        <v>6</v>
      </c>
      <c r="M229" s="595">
        <v>45555</v>
      </c>
      <c r="N229" s="595">
        <v>45562</v>
      </c>
      <c r="O229" s="691" t="s">
        <v>688</v>
      </c>
      <c r="P229" s="691" t="s">
        <v>756</v>
      </c>
      <c r="Q229" s="692">
        <f>+S229/R229</f>
        <v>2930</v>
      </c>
      <c r="R229" s="693">
        <v>7</v>
      </c>
      <c r="S229" s="694">
        <v>20510</v>
      </c>
      <c r="T229" s="695">
        <v>-3507.21</v>
      </c>
      <c r="U229" s="694">
        <f>SUM(S229:T229)</f>
        <v>17002.79</v>
      </c>
      <c r="V229" s="692">
        <f>+U229*0.2</f>
        <v>3400.5580000000004</v>
      </c>
      <c r="W229" s="694"/>
      <c r="X229" s="694"/>
      <c r="Y229" s="692"/>
      <c r="Z229" s="692">
        <f>+U229-V229</f>
        <v>13602.232</v>
      </c>
      <c r="AA229" s="692"/>
      <c r="AB229" s="692"/>
      <c r="AC229" s="690"/>
      <c r="AD229" s="651"/>
    </row>
    <row r="230" spans="1:30">
      <c r="A230" s="279"/>
      <c r="B230" s="285"/>
      <c r="C230" s="285"/>
      <c r="D230" s="282"/>
      <c r="E230" s="233"/>
      <c r="F230" s="237"/>
      <c r="G230" s="238"/>
      <c r="H230" s="301" t="s">
        <v>556</v>
      </c>
      <c r="I230" s="488" t="s">
        <v>588</v>
      </c>
      <c r="J230" s="495" t="s">
        <v>587</v>
      </c>
      <c r="K230" s="258" t="s">
        <v>388</v>
      </c>
      <c r="L230" s="259" t="s">
        <v>332</v>
      </c>
      <c r="M230" s="260">
        <v>45555</v>
      </c>
      <c r="N230" s="260">
        <v>45564</v>
      </c>
      <c r="O230" s="492" t="s">
        <v>687</v>
      </c>
      <c r="P230" s="492" t="s">
        <v>756</v>
      </c>
      <c r="Q230" s="496">
        <v>0</v>
      </c>
      <c r="R230" s="497">
        <v>9</v>
      </c>
      <c r="S230" s="496">
        <f>+Q230*R230</f>
        <v>0</v>
      </c>
      <c r="T230" s="498">
        <v>0</v>
      </c>
      <c r="U230" s="496">
        <f>SUM(S230:T230)</f>
        <v>0</v>
      </c>
      <c r="V230" s="493">
        <f>+U230*0.18</f>
        <v>0</v>
      </c>
      <c r="W230" s="493"/>
      <c r="X230" s="495"/>
      <c r="Y230" s="496"/>
      <c r="Z230" s="496"/>
      <c r="AA230" s="496"/>
      <c r="AB230" s="496"/>
      <c r="AC230" s="499"/>
      <c r="AD230" s="651"/>
    </row>
    <row r="231" spans="1:30">
      <c r="A231" s="279"/>
      <c r="B231" s="285"/>
      <c r="C231" s="285"/>
      <c r="D231" s="282"/>
      <c r="E231" s="233"/>
      <c r="F231" s="237"/>
      <c r="G231" s="238"/>
      <c r="H231" s="292" t="s">
        <v>554</v>
      </c>
      <c r="I231" s="43" t="s">
        <v>1237</v>
      </c>
      <c r="J231" t="s">
        <v>1238</v>
      </c>
      <c r="K231" s="18" t="s">
        <v>23</v>
      </c>
      <c r="L231" s="19">
        <v>2</v>
      </c>
      <c r="M231" s="20">
        <v>45556</v>
      </c>
      <c r="N231" s="20">
        <v>45560</v>
      </c>
      <c r="O231" s="428" t="s">
        <v>687</v>
      </c>
      <c r="P231" s="428" t="s">
        <v>756</v>
      </c>
      <c r="Q231" s="50">
        <v>2000</v>
      </c>
      <c r="R231" s="29">
        <v>4</v>
      </c>
      <c r="S231" s="50">
        <f>+Q231*R231</f>
        <v>8000</v>
      </c>
      <c r="T231" s="1035">
        <v>-276</v>
      </c>
      <c r="U231" s="50">
        <f>SUM(S231:T231)</f>
        <v>7724</v>
      </c>
      <c r="V231" s="62">
        <f>+U231*0.18</f>
        <v>1390.32</v>
      </c>
      <c r="W231" s="62"/>
      <c r="X231" s="15"/>
      <c r="Y231" s="50"/>
      <c r="Z231" s="50"/>
      <c r="AA231" s="50"/>
      <c r="AB231" s="50"/>
      <c r="AC231" s="30"/>
      <c r="AD231" s="651"/>
    </row>
    <row r="232" spans="1:30">
      <c r="A232" s="279"/>
      <c r="B232" s="285"/>
      <c r="C232" s="285"/>
      <c r="D232" s="282"/>
      <c r="E232" s="233"/>
      <c r="F232" s="237"/>
      <c r="G232" s="238"/>
      <c r="H232" s="294" t="s">
        <v>557</v>
      </c>
      <c r="I232" s="43" t="s">
        <v>1307</v>
      </c>
      <c r="J232" t="s">
        <v>107</v>
      </c>
      <c r="K232" s="59" t="s">
        <v>1308</v>
      </c>
      <c r="L232" s="361">
        <v>6</v>
      </c>
      <c r="M232" s="362">
        <v>45556</v>
      </c>
      <c r="N232" s="362">
        <v>45559</v>
      </c>
      <c r="O232" s="428" t="s">
        <v>688</v>
      </c>
      <c r="P232" s="428" t="s">
        <v>756</v>
      </c>
      <c r="Q232" s="50">
        <v>2930</v>
      </c>
      <c r="R232" s="29">
        <v>4</v>
      </c>
      <c r="S232" s="50">
        <f>+Q232*R232</f>
        <v>11720</v>
      </c>
      <c r="T232" s="370">
        <v>-2004.12</v>
      </c>
      <c r="U232" s="50">
        <f>+S232+T232</f>
        <v>9715.880000000001</v>
      </c>
      <c r="V232" s="62">
        <f>+U232*0.18</f>
        <v>1748.8584000000001</v>
      </c>
      <c r="W232" s="62">
        <f>+U232-V232</f>
        <v>7967.0216000000009</v>
      </c>
      <c r="X232" s="15"/>
      <c r="Y232" s="50"/>
      <c r="Z232" s="50"/>
      <c r="AA232" s="50"/>
      <c r="AB232" s="50"/>
      <c r="AC232" s="30"/>
      <c r="AD232" s="651"/>
    </row>
    <row r="233" spans="1:30">
      <c r="A233" s="279"/>
      <c r="B233" s="302"/>
      <c r="C233" s="302"/>
      <c r="D233" s="303"/>
      <c r="E233" s="304"/>
      <c r="F233" s="238"/>
      <c r="G233" s="238"/>
      <c r="H233" s="301" t="s">
        <v>567</v>
      </c>
      <c r="I233" s="659" t="s">
        <v>889</v>
      </c>
      <c r="J233" s="978" t="s">
        <v>332</v>
      </c>
      <c r="K233" s="660" t="s">
        <v>761</v>
      </c>
      <c r="L233" s="661" t="s">
        <v>332</v>
      </c>
      <c r="M233" s="662">
        <v>45560</v>
      </c>
      <c r="N233" s="662">
        <v>45563</v>
      </c>
      <c r="O233" s="663" t="s">
        <v>688</v>
      </c>
      <c r="P233" s="663" t="s">
        <v>1221</v>
      </c>
      <c r="Q233" s="553">
        <f>+S233/R233</f>
        <v>8000</v>
      </c>
      <c r="R233" s="746">
        <v>3</v>
      </c>
      <c r="S233" s="553">
        <v>24000</v>
      </c>
      <c r="T233" s="554">
        <f>-3600*1.15</f>
        <v>-4140</v>
      </c>
      <c r="U233" s="553">
        <f>SUM(S233:T233)</f>
        <v>19860</v>
      </c>
      <c r="V233" s="1078" t="s">
        <v>1131</v>
      </c>
      <c r="W233" s="553"/>
      <c r="X233" s="978"/>
      <c r="Y233" s="553"/>
      <c r="Z233" s="553"/>
      <c r="AA233" s="553">
        <f>U233</f>
        <v>19860</v>
      </c>
      <c r="AB233" s="553"/>
      <c r="AC233" s="983"/>
      <c r="AD233" s="651"/>
    </row>
    <row r="234" spans="1:30">
      <c r="A234" s="279"/>
      <c r="B234" s="302"/>
      <c r="C234" s="302"/>
      <c r="D234" s="303"/>
      <c r="E234" s="304"/>
      <c r="F234" s="238"/>
      <c r="G234" s="238"/>
      <c r="H234" s="292" t="s">
        <v>554</v>
      </c>
      <c r="I234" s="227" t="s">
        <v>1335</v>
      </c>
      <c r="J234" s="53" t="s">
        <v>1336</v>
      </c>
      <c r="K234" s="4" t="s">
        <v>24</v>
      </c>
      <c r="L234" s="17">
        <v>2</v>
      </c>
      <c r="M234" s="16">
        <v>45561</v>
      </c>
      <c r="N234" s="16">
        <v>45563</v>
      </c>
      <c r="O234" s="428" t="s">
        <v>687</v>
      </c>
      <c r="P234" s="428" t="s">
        <v>756</v>
      </c>
      <c r="Q234" s="3">
        <v>2000</v>
      </c>
      <c r="R234" s="1">
        <v>2</v>
      </c>
      <c r="S234" s="47">
        <f t="shared" ref="S234" si="204">+Q234*R234</f>
        <v>4000</v>
      </c>
      <c r="T234" s="49">
        <v>-138</v>
      </c>
      <c r="U234" s="47">
        <f t="shared" ref="U234" si="205">SUM(S234:T234)</f>
        <v>3862</v>
      </c>
      <c r="V234" s="47">
        <f t="shared" ref="V234" si="206">+U234*0.18</f>
        <v>695.16</v>
      </c>
      <c r="W234" s="47">
        <f t="shared" ref="W234" si="207">+U234-V234</f>
        <v>3166.84</v>
      </c>
      <c r="X234" s="53"/>
      <c r="Y234" s="62"/>
      <c r="Z234" s="62"/>
      <c r="AA234" s="62"/>
      <c r="AB234" s="62"/>
      <c r="AC234" s="55"/>
      <c r="AD234" s="651"/>
    </row>
    <row r="235" spans="1:30">
      <c r="A235" s="280"/>
      <c r="B235" s="286"/>
      <c r="C235" s="286"/>
      <c r="D235" s="283"/>
      <c r="E235" s="234"/>
      <c r="F235" s="239"/>
      <c r="G235" s="239"/>
      <c r="H235" s="1093" t="s">
        <v>617</v>
      </c>
      <c r="I235" s="807" t="s">
        <v>1298</v>
      </c>
      <c r="J235" s="697" t="s">
        <v>107</v>
      </c>
      <c r="K235" s="640" t="s">
        <v>1236</v>
      </c>
      <c r="L235" s="760">
        <v>6</v>
      </c>
      <c r="M235" s="761">
        <v>45562</v>
      </c>
      <c r="N235" s="761">
        <v>45564</v>
      </c>
      <c r="O235" s="698" t="s">
        <v>688</v>
      </c>
      <c r="P235" s="698" t="s">
        <v>756</v>
      </c>
      <c r="Q235" s="699">
        <f>+S235/R235</f>
        <v>2935</v>
      </c>
      <c r="R235" s="700">
        <v>2</v>
      </c>
      <c r="S235" s="699">
        <v>5870</v>
      </c>
      <c r="T235" s="701">
        <f>-879-131.85</f>
        <v>-1010.85</v>
      </c>
      <c r="U235" s="699">
        <f>SUM(S235:T235)</f>
        <v>4859.1499999999996</v>
      </c>
      <c r="V235" s="1094">
        <f>+U235*0.2</f>
        <v>971.82999999999993</v>
      </c>
      <c r="W235" s="699"/>
      <c r="X235" s="697"/>
      <c r="Y235" s="699"/>
      <c r="Z235" s="699">
        <f>+U235-V235</f>
        <v>3887.3199999999997</v>
      </c>
      <c r="AA235" s="699"/>
      <c r="AB235" s="699"/>
      <c r="AC235" s="702"/>
      <c r="AD235" s="654"/>
    </row>
    <row r="236" spans="1:30">
      <c r="A236" s="279"/>
      <c r="B236" s="302"/>
      <c r="C236" s="302"/>
      <c r="D236" s="303"/>
      <c r="E236" s="304"/>
      <c r="F236" s="238"/>
      <c r="G236" s="238"/>
      <c r="H236" s="292" t="s">
        <v>554</v>
      </c>
      <c r="I236" s="227" t="s">
        <v>1253</v>
      </c>
      <c r="J236" s="53" t="s">
        <v>1254</v>
      </c>
      <c r="K236" s="76" t="s">
        <v>23</v>
      </c>
      <c r="L236" s="1040">
        <v>2</v>
      </c>
      <c r="M236" s="1041">
        <v>45568</v>
      </c>
      <c r="N236" s="1041">
        <v>45570</v>
      </c>
      <c r="O236" s="428" t="s">
        <v>687</v>
      </c>
      <c r="P236" s="428" t="s">
        <v>756</v>
      </c>
      <c r="Q236" s="62">
        <v>2000</v>
      </c>
      <c r="R236" s="54">
        <v>2</v>
      </c>
      <c r="S236" s="47">
        <f t="shared" ref="S236" si="208">+Q236*R236</f>
        <v>4000</v>
      </c>
      <c r="T236" s="49">
        <v>-137.94</v>
      </c>
      <c r="U236" s="47">
        <f t="shared" ref="U236" si="209">SUM(S236:T236)</f>
        <v>3862.06</v>
      </c>
      <c r="V236" s="47">
        <f t="shared" ref="V236" si="210">+U236*0.18</f>
        <v>695.17079999999999</v>
      </c>
      <c r="W236" s="47">
        <f t="shared" ref="W236" si="211">+U236-V236</f>
        <v>3166.8892000000001</v>
      </c>
      <c r="X236" s="53"/>
      <c r="Y236" s="62"/>
      <c r="Z236" s="62"/>
      <c r="AA236" s="62"/>
      <c r="AB236" s="62"/>
      <c r="AC236" s="55"/>
      <c r="AD236" s="651"/>
    </row>
    <row r="237" spans="1:30">
      <c r="A237" s="279"/>
      <c r="B237" s="285"/>
      <c r="C237" s="285"/>
      <c r="D237" s="282"/>
      <c r="E237" s="233"/>
      <c r="F237" s="237"/>
      <c r="G237" s="238"/>
      <c r="H237" s="292" t="s">
        <v>554</v>
      </c>
      <c r="I237" s="53" t="s">
        <v>856</v>
      </c>
      <c r="J237" t="s">
        <v>857</v>
      </c>
      <c r="K237" s="4" t="s">
        <v>24</v>
      </c>
      <c r="L237" s="17">
        <v>2</v>
      </c>
      <c r="M237" s="16">
        <v>45569</v>
      </c>
      <c r="N237" s="16">
        <v>45572</v>
      </c>
      <c r="O237" s="428" t="s">
        <v>687</v>
      </c>
      <c r="P237" s="428" t="s">
        <v>756</v>
      </c>
      <c r="Q237" s="3">
        <v>2000</v>
      </c>
      <c r="R237" s="1">
        <v>3</v>
      </c>
      <c r="S237" s="47">
        <f t="shared" ref="S237" si="212">+Q237*R237</f>
        <v>6000</v>
      </c>
      <c r="T237" s="49">
        <v>-206.92</v>
      </c>
      <c r="U237" s="47">
        <f t="shared" ref="U237" si="213">SUM(S237:T237)</f>
        <v>5793.08</v>
      </c>
      <c r="V237" s="47">
        <f t="shared" ref="V237" si="214">+U237*0.18</f>
        <v>1042.7544</v>
      </c>
      <c r="W237" s="47">
        <f t="shared" ref="W237" si="215">+U237-V237</f>
        <v>4750.3256000000001</v>
      </c>
      <c r="Y237" s="3"/>
      <c r="Z237" s="3"/>
      <c r="AA237" s="3"/>
      <c r="AD237" s="651"/>
    </row>
    <row r="238" spans="1:30">
      <c r="A238" s="279"/>
      <c r="B238" s="285"/>
      <c r="C238" s="285"/>
      <c r="D238" s="282"/>
      <c r="E238" s="233"/>
      <c r="F238" s="237"/>
      <c r="G238" s="238"/>
      <c r="H238" s="292" t="s">
        <v>554</v>
      </c>
      <c r="I238" s="53" t="s">
        <v>855</v>
      </c>
      <c r="J238" t="s">
        <v>201</v>
      </c>
      <c r="K238" s="18" t="s">
        <v>23</v>
      </c>
      <c r="L238" s="19">
        <v>2</v>
      </c>
      <c r="M238" s="20">
        <v>45572</v>
      </c>
      <c r="N238" s="20">
        <v>45575</v>
      </c>
      <c r="O238" s="428" t="s">
        <v>687</v>
      </c>
      <c r="P238" s="428" t="s">
        <v>756</v>
      </c>
      <c r="Q238" s="3">
        <v>2000</v>
      </c>
      <c r="R238" s="1">
        <v>3</v>
      </c>
      <c r="S238" s="47">
        <f t="shared" ref="S238:S242" si="216">+Q238*R238</f>
        <v>6000</v>
      </c>
      <c r="T238" s="49">
        <v>-206.92</v>
      </c>
      <c r="U238" s="47">
        <f t="shared" ref="U238:U243" si="217">SUM(S238:T238)</f>
        <v>5793.08</v>
      </c>
      <c r="V238" s="47">
        <f t="shared" ref="V238:V243" si="218">+U238*0.18</f>
        <v>1042.7544</v>
      </c>
      <c r="W238" s="47">
        <f t="shared" ref="W238" si="219">+U238-V238</f>
        <v>4750.3256000000001</v>
      </c>
      <c r="Y238" s="3"/>
      <c r="Z238" s="3"/>
      <c r="AA238" s="3"/>
      <c r="AD238" s="651"/>
    </row>
    <row r="239" spans="1:30">
      <c r="A239" s="279"/>
      <c r="B239" s="285"/>
      <c r="C239" s="285"/>
      <c r="D239" s="282"/>
      <c r="E239" s="233"/>
      <c r="F239" s="237"/>
      <c r="G239" s="238"/>
      <c r="H239" s="292" t="s">
        <v>554</v>
      </c>
      <c r="I239" s="53" t="s">
        <v>1062</v>
      </c>
      <c r="J239" t="s">
        <v>1063</v>
      </c>
      <c r="K239" s="4" t="s">
        <v>24</v>
      </c>
      <c r="L239" s="17">
        <v>2</v>
      </c>
      <c r="M239" s="16">
        <v>45574</v>
      </c>
      <c r="N239" s="16">
        <v>45576</v>
      </c>
      <c r="O239" s="428" t="s">
        <v>687</v>
      </c>
      <c r="P239" s="428" t="s">
        <v>756</v>
      </c>
      <c r="Q239" s="3">
        <v>2000</v>
      </c>
      <c r="R239" s="1">
        <v>2</v>
      </c>
      <c r="S239" s="47">
        <f t="shared" si="216"/>
        <v>4000</v>
      </c>
      <c r="T239" s="49">
        <v>-137.94</v>
      </c>
      <c r="U239" s="47">
        <f t="shared" si="217"/>
        <v>3862.06</v>
      </c>
      <c r="V239" s="47">
        <f t="shared" si="218"/>
        <v>695.17079999999999</v>
      </c>
      <c r="W239" s="47">
        <f t="shared" ref="W239" si="220">+U239-V239</f>
        <v>3166.8892000000001</v>
      </c>
      <c r="Y239" s="3"/>
      <c r="Z239" s="3"/>
      <c r="AA239" s="3"/>
      <c r="AD239" s="651"/>
    </row>
    <row r="240" spans="1:30">
      <c r="A240" s="279"/>
      <c r="B240" s="285"/>
      <c r="C240" s="285"/>
      <c r="D240" s="282"/>
      <c r="E240" s="233"/>
      <c r="F240" s="237"/>
      <c r="G240" s="238"/>
      <c r="H240" s="292" t="s">
        <v>554</v>
      </c>
      <c r="I240" s="53" t="s">
        <v>757</v>
      </c>
      <c r="J240" t="s">
        <v>201</v>
      </c>
      <c r="K240" s="18" t="s">
        <v>23</v>
      </c>
      <c r="L240" s="19">
        <v>2</v>
      </c>
      <c r="M240" s="20">
        <v>45589</v>
      </c>
      <c r="N240" s="20">
        <v>45591</v>
      </c>
      <c r="O240" s="428" t="s">
        <v>687</v>
      </c>
      <c r="P240" s="428" t="s">
        <v>756</v>
      </c>
      <c r="Q240" s="3">
        <v>2500</v>
      </c>
      <c r="R240" s="1">
        <v>2</v>
      </c>
      <c r="S240" s="47">
        <f t="shared" si="216"/>
        <v>5000</v>
      </c>
      <c r="T240" s="49">
        <v>-172.46</v>
      </c>
      <c r="U240" s="47">
        <f t="shared" si="217"/>
        <v>4827.54</v>
      </c>
      <c r="V240" s="47">
        <f t="shared" si="218"/>
        <v>868.95719999999994</v>
      </c>
      <c r="W240" s="47">
        <f t="shared" ref="W240" si="221">+U240-V240</f>
        <v>3958.5828000000001</v>
      </c>
      <c r="Y240" s="3"/>
      <c r="Z240" s="3"/>
      <c r="AA240" s="3"/>
      <c r="AD240" s="651"/>
    </row>
    <row r="241" spans="1:30">
      <c r="A241" s="280"/>
      <c r="B241" s="286"/>
      <c r="C241" s="286"/>
      <c r="D241" s="283"/>
      <c r="E241" s="234"/>
      <c r="F241" s="239"/>
      <c r="G241" s="239"/>
      <c r="H241" s="293" t="s">
        <v>554</v>
      </c>
      <c r="I241" s="56" t="s">
        <v>845</v>
      </c>
      <c r="J241" s="31" t="s">
        <v>182</v>
      </c>
      <c r="K241" s="764" t="s">
        <v>23</v>
      </c>
      <c r="L241" s="765">
        <v>2</v>
      </c>
      <c r="M241" s="766">
        <v>45592</v>
      </c>
      <c r="N241" s="766">
        <v>45594</v>
      </c>
      <c r="O241" s="429" t="s">
        <v>687</v>
      </c>
      <c r="P241" s="429" t="s">
        <v>756</v>
      </c>
      <c r="Q241" s="32">
        <v>2500</v>
      </c>
      <c r="R241" s="33">
        <v>2</v>
      </c>
      <c r="S241" s="32">
        <f t="shared" si="216"/>
        <v>5000</v>
      </c>
      <c r="T241" s="34">
        <v>-172.42</v>
      </c>
      <c r="U241" s="32">
        <f t="shared" si="217"/>
        <v>4827.58</v>
      </c>
      <c r="V241" s="32">
        <f t="shared" si="218"/>
        <v>868.96439999999996</v>
      </c>
      <c r="W241" s="32">
        <f t="shared" ref="W241:W245" si="222">+U241-V241</f>
        <v>3958.6156000000001</v>
      </c>
      <c r="X241" s="31"/>
      <c r="Y241" s="32"/>
      <c r="Z241" s="32"/>
      <c r="AA241" s="32"/>
      <c r="AB241" s="32"/>
      <c r="AC241" s="77"/>
      <c r="AD241" s="654"/>
    </row>
    <row r="242" spans="1:30">
      <c r="A242" s="279"/>
      <c r="B242" s="302"/>
      <c r="C242" s="302"/>
      <c r="D242" s="303"/>
      <c r="E242" s="304"/>
      <c r="F242" s="238"/>
      <c r="G242" s="238"/>
      <c r="H242" s="292" t="s">
        <v>554</v>
      </c>
      <c r="I242" s="53" t="s">
        <v>1210</v>
      </c>
      <c r="J242" s="53" t="s">
        <v>124</v>
      </c>
      <c r="K242" s="44" t="s">
        <v>24</v>
      </c>
      <c r="L242" s="45">
        <v>1</v>
      </c>
      <c r="M242" s="46">
        <v>45598</v>
      </c>
      <c r="N242" s="46">
        <v>45601</v>
      </c>
      <c r="O242" s="428" t="s">
        <v>687</v>
      </c>
      <c r="P242" s="428" t="s">
        <v>756</v>
      </c>
      <c r="Q242" s="47">
        <v>2500</v>
      </c>
      <c r="R242" s="48">
        <v>2</v>
      </c>
      <c r="S242" s="47">
        <f t="shared" si="216"/>
        <v>5000</v>
      </c>
      <c r="T242" s="49">
        <v>-172.51</v>
      </c>
      <c r="U242" s="47">
        <f t="shared" si="217"/>
        <v>4827.49</v>
      </c>
      <c r="V242" s="47">
        <f t="shared" si="218"/>
        <v>868.94819999999993</v>
      </c>
      <c r="W242" s="47">
        <f t="shared" si="222"/>
        <v>3958.5418</v>
      </c>
      <c r="X242" s="43"/>
      <c r="Y242" s="47"/>
      <c r="Z242" s="47"/>
      <c r="AA242" s="47"/>
      <c r="AB242" s="47"/>
      <c r="AC242" s="101"/>
      <c r="AD242" s="651"/>
    </row>
    <row r="243" spans="1:30">
      <c r="A243" s="279"/>
      <c r="B243" s="302"/>
      <c r="C243" s="302"/>
      <c r="D243" s="303"/>
      <c r="E243" s="304"/>
      <c r="F243" s="238"/>
      <c r="G243" s="238"/>
      <c r="H243" s="292" t="s">
        <v>554</v>
      </c>
      <c r="I243" s="53" t="s">
        <v>1313</v>
      </c>
      <c r="J243" s="53" t="s">
        <v>75</v>
      </c>
      <c r="K243" s="18" t="s">
        <v>23</v>
      </c>
      <c r="L243" s="19">
        <v>2</v>
      </c>
      <c r="M243" s="20">
        <v>45600</v>
      </c>
      <c r="N243" s="20">
        <v>45602</v>
      </c>
      <c r="O243" s="428" t="s">
        <v>687</v>
      </c>
      <c r="P243" s="428" t="s">
        <v>756</v>
      </c>
      <c r="Q243" s="3">
        <v>2500</v>
      </c>
      <c r="R243" s="1">
        <v>2</v>
      </c>
      <c r="S243" s="47">
        <f t="shared" ref="S243" si="223">+Q243*R243</f>
        <v>5000</v>
      </c>
      <c r="T243" s="49">
        <v>-172.44</v>
      </c>
      <c r="U243" s="47">
        <f t="shared" si="217"/>
        <v>4827.5600000000004</v>
      </c>
      <c r="V243" s="47">
        <f t="shared" si="218"/>
        <v>868.96080000000006</v>
      </c>
      <c r="W243" s="47">
        <f t="shared" si="222"/>
        <v>3958.5992000000006</v>
      </c>
      <c r="X243" s="43"/>
      <c r="Y243" s="47"/>
      <c r="Z243" s="47"/>
      <c r="AA243" s="47"/>
      <c r="AB243" s="47"/>
      <c r="AC243" s="101"/>
      <c r="AD243" s="651"/>
    </row>
    <row r="244" spans="1:30">
      <c r="A244" s="279"/>
      <c r="B244" s="302"/>
      <c r="C244" s="302"/>
      <c r="D244" s="303"/>
      <c r="E244" s="304"/>
      <c r="F244" s="238"/>
      <c r="G244" s="238"/>
      <c r="H244" s="294" t="s">
        <v>557</v>
      </c>
      <c r="I244" s="410" t="s">
        <v>1291</v>
      </c>
      <c r="J244" s="405" t="s">
        <v>124</v>
      </c>
      <c r="K244" s="183" t="s">
        <v>217</v>
      </c>
      <c r="L244" s="219">
        <v>2</v>
      </c>
      <c r="M244" s="220">
        <v>45602</v>
      </c>
      <c r="N244" s="220">
        <v>45604</v>
      </c>
      <c r="O244" s="449" t="s">
        <v>687</v>
      </c>
      <c r="P244" s="449" t="s">
        <v>756</v>
      </c>
      <c r="Q244" s="403">
        <f>+S244/R244</f>
        <v>895.5</v>
      </c>
      <c r="R244" s="401">
        <v>2</v>
      </c>
      <c r="S244" s="406">
        <v>1791</v>
      </c>
      <c r="T244" s="369">
        <v>-306.26</v>
      </c>
      <c r="U244" s="406">
        <f>+S244+T244</f>
        <v>1484.74</v>
      </c>
      <c r="V244" s="406"/>
      <c r="W244" s="406"/>
      <c r="X244" s="405"/>
      <c r="Y244" s="403"/>
      <c r="Z244" s="403"/>
      <c r="AA244" s="403"/>
      <c r="AB244" s="403"/>
      <c r="AC244" s="402"/>
      <c r="AD244" s="655">
        <f>U244</f>
        <v>1484.74</v>
      </c>
    </row>
    <row r="245" spans="1:30">
      <c r="A245" s="279"/>
      <c r="B245" s="285"/>
      <c r="C245" s="285"/>
      <c r="D245" s="282"/>
      <c r="E245" s="233"/>
      <c r="F245" s="237"/>
      <c r="G245" s="238"/>
      <c r="H245" s="292" t="s">
        <v>554</v>
      </c>
      <c r="I245" s="53" t="s">
        <v>986</v>
      </c>
      <c r="J245" t="s">
        <v>75</v>
      </c>
      <c r="K245" s="4" t="s">
        <v>24</v>
      </c>
      <c r="L245" s="17">
        <v>2</v>
      </c>
      <c r="M245" s="16">
        <v>45603</v>
      </c>
      <c r="N245" s="16">
        <v>45605</v>
      </c>
      <c r="O245" s="428" t="s">
        <v>687</v>
      </c>
      <c r="P245" s="428" t="s">
        <v>756</v>
      </c>
      <c r="Q245" s="3">
        <v>2500</v>
      </c>
      <c r="R245" s="1">
        <v>2</v>
      </c>
      <c r="S245" s="47">
        <f t="shared" ref="S245" si="224">+Q245*R245</f>
        <v>5000</v>
      </c>
      <c r="T245" s="49">
        <v>-172.52</v>
      </c>
      <c r="U245" s="47">
        <f t="shared" ref="U245" si="225">SUM(S245:T245)</f>
        <v>4827.4799999999996</v>
      </c>
      <c r="V245" s="47">
        <f t="shared" ref="V245" si="226">+U245*0.18</f>
        <v>868.94639999999993</v>
      </c>
      <c r="W245" s="47">
        <f t="shared" si="222"/>
        <v>3958.5335999999998</v>
      </c>
      <c r="Y245" s="3"/>
      <c r="Z245" s="3"/>
      <c r="AA245" s="3"/>
      <c r="AD245" s="651"/>
    </row>
    <row r="246" spans="1:30">
      <c r="A246" s="279"/>
      <c r="B246" s="285"/>
      <c r="C246" s="285"/>
      <c r="D246" s="282"/>
      <c r="E246" s="233"/>
      <c r="F246" s="237"/>
      <c r="G246" s="238"/>
      <c r="H246" s="292" t="s">
        <v>554</v>
      </c>
      <c r="I246" s="53" t="s">
        <v>1314</v>
      </c>
      <c r="J246" t="s">
        <v>43</v>
      </c>
      <c r="K246" s="18" t="s">
        <v>23</v>
      </c>
      <c r="L246" s="19">
        <v>2</v>
      </c>
      <c r="M246" s="20">
        <v>45603</v>
      </c>
      <c r="N246" s="20">
        <v>45605</v>
      </c>
      <c r="O246" s="428" t="s">
        <v>687</v>
      </c>
      <c r="P246" s="428" t="s">
        <v>756</v>
      </c>
      <c r="Q246" s="3">
        <v>2500</v>
      </c>
      <c r="R246" s="1">
        <v>2</v>
      </c>
      <c r="S246" s="47">
        <f t="shared" ref="S246" si="227">+Q246*R246</f>
        <v>5000</v>
      </c>
      <c r="T246" s="49">
        <v>-172.43</v>
      </c>
      <c r="U246" s="47">
        <f t="shared" ref="U246" si="228">SUM(S246:T246)</f>
        <v>4827.57</v>
      </c>
      <c r="V246" s="47">
        <f t="shared" ref="V246" si="229">+U246*0.18</f>
        <v>868.96259999999995</v>
      </c>
      <c r="W246" s="47">
        <f t="shared" ref="W246" si="230">+U246-V246</f>
        <v>3958.6073999999999</v>
      </c>
      <c r="Y246" s="3"/>
      <c r="Z246" s="3"/>
      <c r="AA246" s="3"/>
      <c r="AD246" s="651"/>
    </row>
    <row r="247" spans="1:30">
      <c r="A247" s="279"/>
      <c r="B247" s="285"/>
      <c r="C247" s="285"/>
      <c r="D247" s="282"/>
      <c r="E247" s="233"/>
      <c r="F247" s="237"/>
      <c r="G247" s="238"/>
      <c r="H247" s="292" t="s">
        <v>554</v>
      </c>
      <c r="I247" s="53" t="s">
        <v>1276</v>
      </c>
      <c r="J247" t="s">
        <v>14</v>
      </c>
      <c r="K247" s="4" t="s">
        <v>24</v>
      </c>
      <c r="L247" s="17">
        <v>2</v>
      </c>
      <c r="M247" s="16">
        <v>45605</v>
      </c>
      <c r="N247" s="16">
        <v>45607</v>
      </c>
      <c r="O247" s="428" t="s">
        <v>687</v>
      </c>
      <c r="P247" s="428" t="s">
        <v>756</v>
      </c>
      <c r="Q247" s="3">
        <v>2500</v>
      </c>
      <c r="R247" s="1">
        <v>2</v>
      </c>
      <c r="S247" s="47">
        <f t="shared" ref="S247" si="231">+Q247*R247</f>
        <v>5000</v>
      </c>
      <c r="T247" s="49">
        <v>-172.5</v>
      </c>
      <c r="U247" s="47">
        <f t="shared" ref="U247" si="232">SUM(S247:T247)</f>
        <v>4827.5</v>
      </c>
      <c r="V247" s="47">
        <f t="shared" ref="V247" si="233">+U247*0.18</f>
        <v>868.94999999999993</v>
      </c>
      <c r="W247" s="47">
        <f t="shared" ref="W247" si="234">+U247-V247</f>
        <v>3958.55</v>
      </c>
      <c r="Y247" s="3"/>
      <c r="Z247" s="3"/>
      <c r="AA247" s="3"/>
      <c r="AD247" s="651"/>
    </row>
    <row r="248" spans="1:30">
      <c r="A248" s="279"/>
      <c r="B248" s="285"/>
      <c r="C248" s="285"/>
      <c r="D248" s="282"/>
      <c r="E248" s="233"/>
      <c r="F248" s="237"/>
      <c r="G248" s="238"/>
      <c r="H248" s="292" t="s">
        <v>554</v>
      </c>
      <c r="I248" s="53" t="s">
        <v>708</v>
      </c>
      <c r="J248" t="s">
        <v>270</v>
      </c>
      <c r="K248" s="4" t="s">
        <v>24</v>
      </c>
      <c r="L248" s="17">
        <v>2</v>
      </c>
      <c r="M248" s="16">
        <v>45607</v>
      </c>
      <c r="N248" s="16">
        <v>45610</v>
      </c>
      <c r="O248" s="428" t="s">
        <v>687</v>
      </c>
      <c r="P248" s="428" t="s">
        <v>756</v>
      </c>
      <c r="Q248" s="3">
        <v>2500</v>
      </c>
      <c r="R248" s="1">
        <v>3</v>
      </c>
      <c r="S248" s="47">
        <f t="shared" ref="S248:S249" si="235">+Q248*R248</f>
        <v>7500</v>
      </c>
      <c r="T248" s="49">
        <v>-258.98</v>
      </c>
      <c r="U248" s="47">
        <f t="shared" ref="U248:U250" si="236">SUM(S248:T248)</f>
        <v>7241.02</v>
      </c>
      <c r="V248" s="47">
        <f t="shared" ref="V248:V250" si="237">+U248*0.18</f>
        <v>1303.3836000000001</v>
      </c>
      <c r="W248" s="47">
        <f t="shared" ref="W248:W250" si="238">+U248-V248</f>
        <v>5937.6364000000003</v>
      </c>
      <c r="Y248" s="3"/>
      <c r="Z248" s="3"/>
      <c r="AA248" s="3"/>
      <c r="AD248" s="651"/>
    </row>
    <row r="249" spans="1:30">
      <c r="A249" s="279"/>
      <c r="B249" s="285"/>
      <c r="C249" s="285"/>
      <c r="D249" s="282"/>
      <c r="E249" s="233"/>
      <c r="F249" s="237"/>
      <c r="G249" s="238"/>
      <c r="H249" s="292" t="s">
        <v>554</v>
      </c>
      <c r="I249" s="53" t="s">
        <v>871</v>
      </c>
      <c r="J249" t="s">
        <v>872</v>
      </c>
      <c r="K249" s="4" t="s">
        <v>24</v>
      </c>
      <c r="L249" s="17">
        <v>2</v>
      </c>
      <c r="M249" s="16">
        <v>45610</v>
      </c>
      <c r="N249" s="16">
        <v>45613</v>
      </c>
      <c r="O249" s="428" t="s">
        <v>687</v>
      </c>
      <c r="P249" s="428" t="s">
        <v>756</v>
      </c>
      <c r="Q249" s="3">
        <v>2500</v>
      </c>
      <c r="R249" s="1">
        <v>3</v>
      </c>
      <c r="S249" s="47">
        <f t="shared" si="235"/>
        <v>7500</v>
      </c>
      <c r="T249" s="49">
        <v>-258.70999999999998</v>
      </c>
      <c r="U249" s="47">
        <f t="shared" si="236"/>
        <v>7241.29</v>
      </c>
      <c r="V249" s="47">
        <f t="shared" si="237"/>
        <v>1303.4322</v>
      </c>
      <c r="W249" s="47">
        <f t="shared" si="238"/>
        <v>5937.8577999999998</v>
      </c>
      <c r="Y249" s="3"/>
      <c r="Z249" s="3"/>
      <c r="AA249" s="3"/>
      <c r="AD249" s="651"/>
    </row>
    <row r="250" spans="1:30">
      <c r="A250" s="279"/>
      <c r="B250" s="285"/>
      <c r="C250" s="285"/>
      <c r="D250" s="282"/>
      <c r="E250" s="233"/>
      <c r="F250" s="237"/>
      <c r="G250" s="238"/>
      <c r="H250" s="301" t="s">
        <v>555</v>
      </c>
      <c r="I250" s="228" t="s">
        <v>989</v>
      </c>
      <c r="J250" t="s">
        <v>107</v>
      </c>
      <c r="K250" s="244" t="s">
        <v>1153</v>
      </c>
      <c r="L250" s="39">
        <v>2</v>
      </c>
      <c r="M250" s="625">
        <v>45609</v>
      </c>
      <c r="N250" s="625">
        <v>45614</v>
      </c>
      <c r="O250" s="428" t="s">
        <v>687</v>
      </c>
      <c r="P250" s="428" t="s">
        <v>756</v>
      </c>
      <c r="Q250" s="3">
        <v>1000</v>
      </c>
      <c r="R250" s="1">
        <v>5</v>
      </c>
      <c r="S250" s="47">
        <v>3000</v>
      </c>
      <c r="T250" s="49">
        <v>0</v>
      </c>
      <c r="U250" s="47">
        <f t="shared" si="236"/>
        <v>3000</v>
      </c>
      <c r="V250" s="47">
        <f t="shared" si="237"/>
        <v>540</v>
      </c>
      <c r="W250" s="47">
        <f t="shared" si="238"/>
        <v>2460</v>
      </c>
      <c r="X250" s="194" t="s">
        <v>734</v>
      </c>
      <c r="Y250" s="3"/>
      <c r="Z250" s="3"/>
      <c r="AA250" s="3"/>
      <c r="AB250" s="50"/>
      <c r="AD250" s="651"/>
    </row>
    <row r="251" spans="1:30">
      <c r="A251" s="279"/>
      <c r="B251" s="285"/>
      <c r="C251" s="285"/>
      <c r="D251" s="282"/>
      <c r="E251" s="233"/>
      <c r="F251" s="237"/>
      <c r="G251" s="238"/>
      <c r="H251" s="294" t="s">
        <v>557</v>
      </c>
      <c r="I251" s="410" t="s">
        <v>1066</v>
      </c>
      <c r="J251" s="405" t="s">
        <v>872</v>
      </c>
      <c r="K251" s="183" t="s">
        <v>217</v>
      </c>
      <c r="L251" s="219">
        <v>2</v>
      </c>
      <c r="M251" s="220">
        <v>45612</v>
      </c>
      <c r="N251" s="220">
        <v>45614</v>
      </c>
      <c r="O251" s="449" t="s">
        <v>687</v>
      </c>
      <c r="P251" s="449" t="s">
        <v>756</v>
      </c>
      <c r="Q251" s="403">
        <f>+S251/R251</f>
        <v>995</v>
      </c>
      <c r="R251" s="401">
        <v>2</v>
      </c>
      <c r="S251" s="406">
        <v>1990</v>
      </c>
      <c r="T251" s="369">
        <v>-340.29</v>
      </c>
      <c r="U251" s="406">
        <f>+S251+T251</f>
        <v>1649.71</v>
      </c>
      <c r="V251" s="406"/>
      <c r="W251" s="406"/>
      <c r="X251" s="405"/>
      <c r="Y251" s="403"/>
      <c r="Z251" s="403"/>
      <c r="AA251" s="403"/>
      <c r="AB251" s="403"/>
      <c r="AC251" s="402"/>
      <c r="AD251" s="655">
        <f>U251</f>
        <v>1649.71</v>
      </c>
    </row>
    <row r="252" spans="1:30">
      <c r="A252" s="279"/>
      <c r="B252" s="285"/>
      <c r="C252" s="285"/>
      <c r="D252" s="282"/>
      <c r="E252" s="233"/>
      <c r="F252" s="237"/>
      <c r="G252" s="238"/>
      <c r="H252" s="292" t="s">
        <v>554</v>
      </c>
      <c r="I252" s="53" t="s">
        <v>1170</v>
      </c>
      <c r="J252" s="15" t="s">
        <v>1171</v>
      </c>
      <c r="K252" s="4" t="s">
        <v>24</v>
      </c>
      <c r="L252" s="17">
        <v>2</v>
      </c>
      <c r="M252" s="16">
        <v>45614</v>
      </c>
      <c r="N252" s="16">
        <v>45617</v>
      </c>
      <c r="O252" s="428" t="s">
        <v>687</v>
      </c>
      <c r="P252" s="428" t="s">
        <v>756</v>
      </c>
      <c r="Q252" s="50">
        <v>2500</v>
      </c>
      <c r="R252" s="29">
        <v>3</v>
      </c>
      <c r="S252" s="47">
        <f t="shared" ref="S252" si="239">+Q252*R252</f>
        <v>7500</v>
      </c>
      <c r="T252" s="49">
        <v>-258.64</v>
      </c>
      <c r="U252" s="47">
        <f t="shared" ref="U252" si="240">SUM(S252:T252)</f>
        <v>7241.36</v>
      </c>
      <c r="V252" s="47">
        <f t="shared" ref="V252" si="241">+U252*0.18</f>
        <v>1303.4448</v>
      </c>
      <c r="W252" s="47">
        <f t="shared" ref="W252" si="242">+U252-V252</f>
        <v>5937.9151999999995</v>
      </c>
      <c r="X252" s="15"/>
      <c r="Y252" s="50"/>
      <c r="Z252" s="50"/>
      <c r="AA252" s="50"/>
      <c r="AB252" s="50"/>
      <c r="AC252" s="30"/>
      <c r="AD252" s="189"/>
    </row>
    <row r="253" spans="1:30">
      <c r="A253" s="279"/>
      <c r="B253" s="285"/>
      <c r="C253" s="285"/>
      <c r="D253" s="282"/>
      <c r="E253" s="233"/>
      <c r="F253" s="237"/>
      <c r="G253" s="238"/>
      <c r="H253" s="292" t="s">
        <v>554</v>
      </c>
      <c r="I253" s="53" t="s">
        <v>709</v>
      </c>
      <c r="J253" t="s">
        <v>463</v>
      </c>
      <c r="K253" s="4" t="s">
        <v>24</v>
      </c>
      <c r="L253" s="17">
        <v>2</v>
      </c>
      <c r="M253" s="16">
        <v>45619</v>
      </c>
      <c r="N253" s="16">
        <v>45623</v>
      </c>
      <c r="O253" s="428" t="s">
        <v>687</v>
      </c>
      <c r="P253" s="428" t="s">
        <v>756</v>
      </c>
      <c r="Q253" s="3">
        <v>2500</v>
      </c>
      <c r="R253" s="1">
        <v>4</v>
      </c>
      <c r="S253" s="47">
        <f t="shared" si="200"/>
        <v>10000</v>
      </c>
      <c r="T253" s="49">
        <f>-150-22.59-172.37</f>
        <v>-344.96000000000004</v>
      </c>
      <c r="U253" s="47">
        <f t="shared" si="201"/>
        <v>9655.0400000000009</v>
      </c>
      <c r="V253" s="47">
        <f t="shared" si="202"/>
        <v>1737.9072000000001</v>
      </c>
      <c r="W253" s="47">
        <f t="shared" si="203"/>
        <v>7917.1328000000012</v>
      </c>
      <c r="Y253" s="3"/>
      <c r="Z253" s="3"/>
      <c r="AA253" s="3"/>
      <c r="AD253" s="651"/>
    </row>
    <row r="254" spans="1:30">
      <c r="A254" s="280"/>
      <c r="B254" s="286"/>
      <c r="C254" s="286"/>
      <c r="D254" s="283"/>
      <c r="E254" s="234"/>
      <c r="F254" s="239"/>
      <c r="G254" s="239"/>
      <c r="H254" s="293" t="s">
        <v>554</v>
      </c>
      <c r="I254" s="56" t="s">
        <v>821</v>
      </c>
      <c r="J254" s="31" t="s">
        <v>43</v>
      </c>
      <c r="K254" s="36" t="s">
        <v>24</v>
      </c>
      <c r="L254" s="762">
        <v>2</v>
      </c>
      <c r="M254" s="763">
        <v>45624</v>
      </c>
      <c r="N254" s="763">
        <v>45627</v>
      </c>
      <c r="O254" s="429" t="s">
        <v>687</v>
      </c>
      <c r="P254" s="429" t="s">
        <v>756</v>
      </c>
      <c r="Q254" s="32">
        <v>2500</v>
      </c>
      <c r="R254" s="33">
        <v>3</v>
      </c>
      <c r="S254" s="32">
        <f t="shared" si="200"/>
        <v>7500</v>
      </c>
      <c r="T254" s="34">
        <v>-258.83</v>
      </c>
      <c r="U254" s="32">
        <f t="shared" ref="U254:U255" si="243">SUM(S254:T254)</f>
        <v>7241.17</v>
      </c>
      <c r="V254" s="32">
        <f t="shared" ref="V254:V255" si="244">+U254*0.18</f>
        <v>1303.4105999999999</v>
      </c>
      <c r="W254" s="32">
        <f t="shared" ref="W254:W255" si="245">+U254-V254</f>
        <v>5937.7593999999999</v>
      </c>
      <c r="X254" s="31"/>
      <c r="Y254" s="32"/>
      <c r="Z254" s="32"/>
      <c r="AA254" s="32"/>
      <c r="AB254" s="32"/>
      <c r="AC254" s="77"/>
      <c r="AD254" s="654"/>
    </row>
    <row r="255" spans="1:30">
      <c r="A255" s="279"/>
      <c r="B255" s="285"/>
      <c r="C255" s="285"/>
      <c r="D255" s="282"/>
      <c r="E255" s="233"/>
      <c r="F255" s="237"/>
      <c r="G255" s="238"/>
      <c r="H255" s="294" t="s">
        <v>557</v>
      </c>
      <c r="I255" s="53" t="s">
        <v>1018</v>
      </c>
      <c r="J255" t="s">
        <v>107</v>
      </c>
      <c r="K255" s="249" t="s">
        <v>1235</v>
      </c>
      <c r="L255" s="361">
        <v>3</v>
      </c>
      <c r="M255" s="362">
        <v>45625</v>
      </c>
      <c r="N255" s="362">
        <v>45630</v>
      </c>
      <c r="O255" s="428" t="s">
        <v>688</v>
      </c>
      <c r="P255" s="428" t="s">
        <v>756</v>
      </c>
      <c r="Q255" s="3">
        <v>3145</v>
      </c>
      <c r="R255" s="1">
        <v>5</v>
      </c>
      <c r="S255" s="47">
        <f t="shared" si="200"/>
        <v>15725</v>
      </c>
      <c r="T255" s="49">
        <v>-2688.97</v>
      </c>
      <c r="U255" s="47">
        <f t="shared" si="243"/>
        <v>13036.03</v>
      </c>
      <c r="V255" s="47">
        <f t="shared" si="244"/>
        <v>2346.4854</v>
      </c>
      <c r="W255" s="47">
        <f t="shared" si="245"/>
        <v>10689.544600000001</v>
      </c>
      <c r="Y255" s="3"/>
      <c r="Z255" s="3"/>
      <c r="AA255" s="3"/>
      <c r="AD255" s="651"/>
    </row>
    <row r="256" spans="1:30">
      <c r="A256" s="279"/>
      <c r="B256" s="285"/>
      <c r="C256" s="285"/>
      <c r="D256" s="282"/>
      <c r="E256" s="233"/>
      <c r="F256" s="237"/>
      <c r="G256" s="238"/>
      <c r="H256" s="294" t="s">
        <v>557</v>
      </c>
      <c r="I256" s="410" t="s">
        <v>711</v>
      </c>
      <c r="J256" s="405" t="s">
        <v>107</v>
      </c>
      <c r="K256" s="183" t="s">
        <v>217</v>
      </c>
      <c r="L256" s="219">
        <v>2</v>
      </c>
      <c r="M256" s="220">
        <v>45625</v>
      </c>
      <c r="N256" s="220">
        <v>45633</v>
      </c>
      <c r="O256" s="449" t="s">
        <v>687</v>
      </c>
      <c r="P256" s="449" t="s">
        <v>756</v>
      </c>
      <c r="Q256" s="403">
        <f>+S256/R256</f>
        <v>1077.3</v>
      </c>
      <c r="R256" s="401">
        <v>8</v>
      </c>
      <c r="S256" s="406">
        <v>8618.4</v>
      </c>
      <c r="T256" s="369">
        <v>-1105.31</v>
      </c>
      <c r="U256" s="406">
        <f>+S256+T256</f>
        <v>7513.09</v>
      </c>
      <c r="V256" s="406"/>
      <c r="W256" s="406"/>
      <c r="X256" s="405"/>
      <c r="Y256" s="403"/>
      <c r="Z256" s="403"/>
      <c r="AA256" s="403"/>
      <c r="AB256" s="403"/>
      <c r="AC256" s="402"/>
      <c r="AD256" s="655">
        <f>U256</f>
        <v>7513.09</v>
      </c>
    </row>
    <row r="257" spans="1:30">
      <c r="A257" s="279"/>
      <c r="B257" s="285"/>
      <c r="C257" s="285"/>
      <c r="D257" s="282"/>
      <c r="E257" s="233"/>
      <c r="F257" s="237"/>
      <c r="G257" s="238"/>
      <c r="H257" s="290" t="s">
        <v>556</v>
      </c>
      <c r="I257" s="228" t="s">
        <v>83</v>
      </c>
      <c r="J257" t="s">
        <v>84</v>
      </c>
      <c r="K257" s="244" t="s">
        <v>1153</v>
      </c>
      <c r="L257" s="39">
        <v>5</v>
      </c>
      <c r="M257" s="625">
        <v>45627</v>
      </c>
      <c r="N257" s="625">
        <v>45663</v>
      </c>
      <c r="O257" s="427"/>
      <c r="P257" s="427"/>
      <c r="Q257" s="3">
        <v>0</v>
      </c>
      <c r="S257" s="3">
        <v>0</v>
      </c>
      <c r="T257" s="28">
        <v>0</v>
      </c>
      <c r="U257" s="3">
        <v>0</v>
      </c>
      <c r="V257" s="3">
        <v>0</v>
      </c>
      <c r="W257" s="50">
        <v>0</v>
      </c>
      <c r="X257" s="3"/>
      <c r="Y257" s="3"/>
      <c r="Z257" s="3"/>
      <c r="AA257" s="3"/>
      <c r="AB257" s="3">
        <v>0</v>
      </c>
      <c r="AD257" s="651"/>
    </row>
    <row r="258" spans="1:30">
      <c r="A258" s="279"/>
      <c r="B258" s="285"/>
      <c r="C258" s="285"/>
      <c r="D258" s="282"/>
      <c r="E258" s="233"/>
      <c r="F258" s="237"/>
      <c r="G258" s="238"/>
      <c r="H258" s="332" t="s">
        <v>617</v>
      </c>
      <c r="I258" s="469" t="s">
        <v>712</v>
      </c>
      <c r="J258" s="487" t="s">
        <v>107</v>
      </c>
      <c r="K258" s="333" t="s">
        <v>210</v>
      </c>
      <c r="L258" s="276">
        <v>3</v>
      </c>
      <c r="M258" s="277">
        <v>45634</v>
      </c>
      <c r="N258" s="277">
        <v>45639</v>
      </c>
      <c r="O258" s="472" t="s">
        <v>688</v>
      </c>
      <c r="P258" s="472" t="s">
        <v>756</v>
      </c>
      <c r="Q258" s="473">
        <f>+S258/R258</f>
        <v>1950</v>
      </c>
      <c r="R258" s="470">
        <v>5</v>
      </c>
      <c r="S258" s="475">
        <v>9750</v>
      </c>
      <c r="T258" s="369">
        <v>0</v>
      </c>
      <c r="U258" s="475">
        <f>+S258+T258</f>
        <v>9750</v>
      </c>
      <c r="V258" s="198">
        <f>+U258*0.2</f>
        <v>1950</v>
      </c>
      <c r="W258" s="475"/>
      <c r="X258" s="475">
        <f>+U258-V258</f>
        <v>7800</v>
      </c>
      <c r="Y258" s="473"/>
      <c r="Z258" s="473"/>
      <c r="AA258" s="473"/>
      <c r="AB258" s="473"/>
      <c r="AC258" s="471"/>
      <c r="AD258" s="651"/>
    </row>
    <row r="259" spans="1:30">
      <c r="A259" s="279"/>
      <c r="B259" s="285"/>
      <c r="C259" s="285"/>
      <c r="D259" s="282"/>
      <c r="E259" s="233"/>
      <c r="F259" s="237"/>
      <c r="G259" s="238"/>
      <c r="H259" s="292" t="s">
        <v>554</v>
      </c>
      <c r="I259" s="53" t="s">
        <v>1284</v>
      </c>
      <c r="J259" s="15" t="s">
        <v>1285</v>
      </c>
      <c r="K259" s="18" t="s">
        <v>23</v>
      </c>
      <c r="L259" s="19">
        <v>2</v>
      </c>
      <c r="M259" s="20">
        <v>45635</v>
      </c>
      <c r="N259" s="20">
        <v>45637</v>
      </c>
      <c r="O259" s="428" t="s">
        <v>687</v>
      </c>
      <c r="P259" s="428" t="s">
        <v>756</v>
      </c>
      <c r="Q259" s="3">
        <v>3000</v>
      </c>
      <c r="R259" s="1">
        <v>2</v>
      </c>
      <c r="S259" s="47">
        <f t="shared" ref="S259" si="246">+Q259*R259</f>
        <v>6000</v>
      </c>
      <c r="T259" s="49">
        <v>-206.9</v>
      </c>
      <c r="U259" s="47">
        <f t="shared" ref="U259" si="247">SUM(S259:T259)</f>
        <v>5793.1</v>
      </c>
      <c r="V259" s="47">
        <f t="shared" ref="V259" si="248">+U259*0.18</f>
        <v>1042.758</v>
      </c>
      <c r="W259" s="47">
        <f t="shared" ref="W259" si="249">+U259-V259</f>
        <v>4750.3420000000006</v>
      </c>
      <c r="X259" s="62"/>
      <c r="Y259" s="50"/>
      <c r="Z259" s="50"/>
      <c r="AA259" s="50"/>
      <c r="AB259" s="50"/>
      <c r="AC259" s="30"/>
      <c r="AD259" s="651"/>
    </row>
    <row r="260" spans="1:30">
      <c r="A260" s="279"/>
      <c r="B260" s="285"/>
      <c r="C260" s="285"/>
      <c r="D260" s="282"/>
      <c r="E260" s="233"/>
      <c r="F260" s="237"/>
      <c r="G260" s="238"/>
      <c r="H260" s="290" t="s">
        <v>555</v>
      </c>
      <c r="I260" s="666" t="s">
        <v>760</v>
      </c>
      <c r="J260" s="549" t="s">
        <v>84</v>
      </c>
      <c r="K260" s="546" t="s">
        <v>761</v>
      </c>
      <c r="L260" s="547">
        <v>4</v>
      </c>
      <c r="M260" s="548">
        <v>45640</v>
      </c>
      <c r="N260" s="548">
        <v>45655</v>
      </c>
      <c r="O260" s="550" t="s">
        <v>688</v>
      </c>
      <c r="P260" s="550" t="s">
        <v>1221</v>
      </c>
      <c r="Q260" s="551">
        <v>0</v>
      </c>
      <c r="R260" s="552">
        <v>14</v>
      </c>
      <c r="S260" s="553">
        <v>0</v>
      </c>
      <c r="T260" s="554">
        <v>0</v>
      </c>
      <c r="U260" s="553">
        <v>0</v>
      </c>
      <c r="V260" s="551">
        <v>0</v>
      </c>
      <c r="W260" s="553"/>
      <c r="X260" s="553"/>
      <c r="Y260" s="551"/>
      <c r="Z260" s="551"/>
      <c r="AA260" s="551"/>
      <c r="AB260" s="551">
        <v>0</v>
      </c>
      <c r="AC260" s="555"/>
      <c r="AD260" s="651"/>
    </row>
    <row r="261" spans="1:30">
      <c r="A261" s="279"/>
      <c r="B261" s="285"/>
      <c r="C261" s="285"/>
      <c r="D261" s="282"/>
      <c r="E261" s="233"/>
      <c r="F261" s="237"/>
      <c r="G261" s="238"/>
      <c r="H261" s="292" t="s">
        <v>554</v>
      </c>
      <c r="I261" s="53" t="s">
        <v>888</v>
      </c>
      <c r="J261" s="15" t="s">
        <v>43</v>
      </c>
      <c r="K261" s="4" t="s">
        <v>24</v>
      </c>
      <c r="L261" s="17">
        <v>2</v>
      </c>
      <c r="M261" s="16">
        <v>45641</v>
      </c>
      <c r="N261" s="16">
        <v>45643</v>
      </c>
      <c r="O261" s="427" t="s">
        <v>687</v>
      </c>
      <c r="P261" s="427" t="s">
        <v>756</v>
      </c>
      <c r="Q261" s="50">
        <v>3000</v>
      </c>
      <c r="R261" s="29">
        <v>2</v>
      </c>
      <c r="S261" s="47">
        <f t="shared" ref="S261" si="250">+Q261*R261</f>
        <v>6000</v>
      </c>
      <c r="T261" s="49">
        <v>-206.91</v>
      </c>
      <c r="U261" s="47">
        <f t="shared" ref="U261" si="251">SUM(S261:T261)</f>
        <v>5793.09</v>
      </c>
      <c r="V261" s="47">
        <f t="shared" ref="V261" si="252">+U261*0.18</f>
        <v>1042.7562</v>
      </c>
      <c r="W261" s="47">
        <f t="shared" ref="W261" si="253">+U261-V261</f>
        <v>4750.3338000000003</v>
      </c>
      <c r="X261" s="62"/>
      <c r="Y261" s="50"/>
      <c r="Z261" s="50"/>
      <c r="AA261" s="50"/>
      <c r="AB261" s="50"/>
      <c r="AC261" s="30"/>
      <c r="AD261" s="651"/>
    </row>
    <row r="262" spans="1:30">
      <c r="A262" s="279"/>
      <c r="B262" s="285"/>
      <c r="C262" s="285"/>
      <c r="D262" s="282"/>
      <c r="E262" s="233"/>
      <c r="F262" s="237"/>
      <c r="G262" s="238"/>
      <c r="H262" s="290" t="s">
        <v>555</v>
      </c>
      <c r="I262" s="228" t="s">
        <v>662</v>
      </c>
      <c r="J262" s="15" t="s">
        <v>84</v>
      </c>
      <c r="K262" s="249" t="s">
        <v>1235</v>
      </c>
      <c r="L262" s="361">
        <v>5</v>
      </c>
      <c r="M262" s="362">
        <v>45641</v>
      </c>
      <c r="N262" s="362">
        <v>45661</v>
      </c>
      <c r="O262" s="427" t="s">
        <v>687</v>
      </c>
      <c r="P262" s="427" t="s">
        <v>756</v>
      </c>
      <c r="Q262" s="3">
        <v>7500</v>
      </c>
      <c r="R262" s="1">
        <v>20</v>
      </c>
      <c r="S262" s="3">
        <f>+Q262*R262</f>
        <v>150000</v>
      </c>
      <c r="T262" s="28">
        <v>0</v>
      </c>
      <c r="V262" s="50"/>
      <c r="W262" s="50">
        <f t="shared" ref="W262" si="254">+U262-V262</f>
        <v>0</v>
      </c>
      <c r="X262" s="3"/>
      <c r="Y262" s="3"/>
      <c r="Z262" s="3"/>
      <c r="AA262" s="3"/>
      <c r="AB262" s="3">
        <f t="shared" ref="AB262" si="255">V262</f>
        <v>0</v>
      </c>
      <c r="AD262" s="651"/>
    </row>
    <row r="263" spans="1:30">
      <c r="A263" s="279"/>
      <c r="B263" s="285"/>
      <c r="C263" s="285"/>
      <c r="D263" s="282"/>
      <c r="E263" s="233"/>
      <c r="F263" s="237"/>
      <c r="G263" s="238"/>
      <c r="H263" s="294" t="s">
        <v>557</v>
      </c>
      <c r="I263" s="410" t="s">
        <v>714</v>
      </c>
      <c r="J263" s="405" t="s">
        <v>107</v>
      </c>
      <c r="K263" s="183" t="s">
        <v>217</v>
      </c>
      <c r="L263" s="219">
        <v>2</v>
      </c>
      <c r="M263" s="220">
        <v>45642</v>
      </c>
      <c r="N263" s="220">
        <v>45648</v>
      </c>
      <c r="O263" s="463" t="s">
        <v>687</v>
      </c>
      <c r="P263" s="463" t="s">
        <v>756</v>
      </c>
      <c r="Q263" s="403">
        <f>+S263/R263</f>
        <v>1077.3</v>
      </c>
      <c r="R263" s="401">
        <v>6</v>
      </c>
      <c r="S263" s="406">
        <v>6463.8</v>
      </c>
      <c r="T263" s="369">
        <v>-1105.31</v>
      </c>
      <c r="U263" s="406">
        <f>+S263+T263</f>
        <v>5358.49</v>
      </c>
      <c r="V263" s="406"/>
      <c r="W263" s="406"/>
      <c r="X263" s="405"/>
      <c r="Y263" s="403"/>
      <c r="Z263" s="403"/>
      <c r="AA263" s="403"/>
      <c r="AB263" s="403">
        <v>0</v>
      </c>
      <c r="AC263" s="402"/>
      <c r="AD263" s="651"/>
    </row>
    <row r="264" spans="1:30">
      <c r="A264" s="279"/>
      <c r="B264" s="285"/>
      <c r="C264" s="285"/>
      <c r="D264" s="282"/>
      <c r="E264" s="233"/>
      <c r="F264" s="237"/>
      <c r="G264" s="238"/>
      <c r="H264" s="292" t="s">
        <v>554</v>
      </c>
      <c r="I264" s="489" t="s">
        <v>715</v>
      </c>
      <c r="J264" s="495" t="s">
        <v>84</v>
      </c>
      <c r="K264" s="258" t="s">
        <v>388</v>
      </c>
      <c r="L264" s="259">
        <v>10</v>
      </c>
      <c r="M264" s="260">
        <v>45645</v>
      </c>
      <c r="N264" s="260">
        <v>45654</v>
      </c>
      <c r="O264" s="492" t="s">
        <v>687</v>
      </c>
      <c r="P264" s="492" t="s">
        <v>756</v>
      </c>
      <c r="Q264" s="496">
        <v>8900</v>
      </c>
      <c r="R264" s="497">
        <v>9</v>
      </c>
      <c r="S264" s="493">
        <f>+R264*Q264</f>
        <v>80100</v>
      </c>
      <c r="T264" s="494">
        <v>-2763.45</v>
      </c>
      <c r="U264" s="493">
        <f>+S264+T264</f>
        <v>77336.55</v>
      </c>
      <c r="V264" s="493">
        <f>+U264*0.2</f>
        <v>15467.310000000001</v>
      </c>
      <c r="W264" s="493"/>
      <c r="X264" s="495"/>
      <c r="Y264" s="496">
        <f>+U264-V264</f>
        <v>61869.240000000005</v>
      </c>
      <c r="Z264" s="496"/>
      <c r="AA264" s="496"/>
      <c r="AB264" s="496"/>
      <c r="AC264" s="499"/>
      <c r="AD264" s="651"/>
    </row>
    <row r="265" spans="1:30">
      <c r="A265" s="279"/>
      <c r="B265" s="285"/>
      <c r="C265" s="285"/>
      <c r="D265" s="282"/>
      <c r="E265" s="233"/>
      <c r="F265" s="237"/>
      <c r="G265" s="238"/>
      <c r="H265" s="292" t="s">
        <v>554</v>
      </c>
      <c r="I265" s="469" t="s">
        <v>716</v>
      </c>
      <c r="J265" s="487" t="s">
        <v>601</v>
      </c>
      <c r="K265" s="250" t="s">
        <v>210</v>
      </c>
      <c r="L265" s="276">
        <v>4</v>
      </c>
      <c r="M265" s="277">
        <v>45646</v>
      </c>
      <c r="N265" s="277">
        <v>45649</v>
      </c>
      <c r="O265" s="472" t="s">
        <v>687</v>
      </c>
      <c r="P265" s="472" t="s">
        <v>756</v>
      </c>
      <c r="Q265" s="473">
        <v>2800</v>
      </c>
      <c r="R265" s="470">
        <v>3</v>
      </c>
      <c r="S265" s="475">
        <f>+Q265*R265</f>
        <v>8400</v>
      </c>
      <c r="T265" s="480">
        <v>-300.14999999999998</v>
      </c>
      <c r="U265" s="475">
        <f>+S265+T265</f>
        <v>8099.85</v>
      </c>
      <c r="V265" s="473">
        <f>+U265*0.2</f>
        <v>1619.9700000000003</v>
      </c>
      <c r="W265" s="475"/>
      <c r="X265" s="475">
        <f>+U265-V265</f>
        <v>6479.88</v>
      </c>
      <c r="Y265" s="473"/>
      <c r="Z265" s="473"/>
      <c r="AA265" s="473"/>
      <c r="AB265" s="473"/>
      <c r="AC265" s="471"/>
      <c r="AD265" s="651"/>
    </row>
    <row r="266" spans="1:30">
      <c r="A266" s="279"/>
      <c r="B266" s="285"/>
      <c r="C266" s="285"/>
      <c r="D266" s="282"/>
      <c r="E266" s="233"/>
      <c r="F266" s="237"/>
      <c r="G266" s="238"/>
      <c r="H266" s="292" t="s">
        <v>554</v>
      </c>
      <c r="I266" s="43" t="s">
        <v>717</v>
      </c>
      <c r="J266" t="s">
        <v>14</v>
      </c>
      <c r="K266" s="4" t="s">
        <v>24</v>
      </c>
      <c r="L266" s="17">
        <v>2</v>
      </c>
      <c r="M266" s="16">
        <v>45648</v>
      </c>
      <c r="N266" s="16">
        <v>45655</v>
      </c>
      <c r="O266" s="427" t="s">
        <v>687</v>
      </c>
      <c r="P266" s="427" t="s">
        <v>756</v>
      </c>
      <c r="Q266" s="3">
        <v>3000</v>
      </c>
      <c r="R266" s="1">
        <v>7</v>
      </c>
      <c r="S266" s="47">
        <f t="shared" si="200"/>
        <v>21000</v>
      </c>
      <c r="T266" s="49">
        <v>-724.56</v>
      </c>
      <c r="U266" s="47">
        <f t="shared" ref="U266" si="256">SUM(S266:T266)</f>
        <v>20275.439999999999</v>
      </c>
      <c r="V266" s="47">
        <f t="shared" ref="V266" si="257">+U266*0.18</f>
        <v>3649.5791999999997</v>
      </c>
      <c r="W266" s="47">
        <f t="shared" ref="W266" si="258">+U266-V266</f>
        <v>16625.860799999999</v>
      </c>
      <c r="Y266" s="3"/>
      <c r="Z266" s="3"/>
      <c r="AA266" s="3"/>
      <c r="AD266" s="651"/>
    </row>
    <row r="267" spans="1:30">
      <c r="A267" s="279"/>
      <c r="B267" s="285"/>
      <c r="C267" s="285"/>
      <c r="D267" s="282"/>
      <c r="E267" s="233"/>
      <c r="F267" s="237"/>
      <c r="G267" s="238"/>
      <c r="H267" s="294" t="s">
        <v>557</v>
      </c>
      <c r="I267" s="410" t="s">
        <v>1065</v>
      </c>
      <c r="J267" s="405" t="s">
        <v>232</v>
      </c>
      <c r="K267" s="183" t="s">
        <v>217</v>
      </c>
      <c r="L267" s="219">
        <v>2</v>
      </c>
      <c r="M267" s="220">
        <v>45648</v>
      </c>
      <c r="N267" s="220">
        <v>45650</v>
      </c>
      <c r="O267" s="463" t="s">
        <v>687</v>
      </c>
      <c r="P267" s="463" t="s">
        <v>756</v>
      </c>
      <c r="Q267" s="403">
        <f>+S267/R267</f>
        <v>1575</v>
      </c>
      <c r="R267" s="401">
        <v>2</v>
      </c>
      <c r="S267" s="406">
        <v>3150</v>
      </c>
      <c r="T267" s="369">
        <v>-538.65</v>
      </c>
      <c r="U267" s="406">
        <f>+S267+T267</f>
        <v>2611.35</v>
      </c>
      <c r="V267" s="406"/>
      <c r="W267" s="406"/>
      <c r="X267" s="405"/>
      <c r="Y267" s="403"/>
      <c r="Z267" s="403"/>
      <c r="AA267" s="403"/>
      <c r="AB267" s="403">
        <v>0</v>
      </c>
      <c r="AC267" s="402"/>
      <c r="AD267" s="655">
        <f>U267</f>
        <v>2611.35</v>
      </c>
    </row>
    <row r="268" spans="1:30">
      <c r="A268" s="279"/>
      <c r="B268" s="285"/>
      <c r="C268" s="285"/>
      <c r="D268" s="282"/>
      <c r="E268" s="233"/>
      <c r="F268" s="237"/>
      <c r="G268" s="238"/>
      <c r="H268" s="292" t="s">
        <v>554</v>
      </c>
      <c r="I268" s="53" t="s">
        <v>835</v>
      </c>
      <c r="J268" t="s">
        <v>261</v>
      </c>
      <c r="K268" s="18" t="s">
        <v>23</v>
      </c>
      <c r="L268" s="19">
        <v>2</v>
      </c>
      <c r="M268" s="20">
        <v>45649</v>
      </c>
      <c r="N268" s="20">
        <v>45654</v>
      </c>
      <c r="O268" s="428" t="s">
        <v>687</v>
      </c>
      <c r="P268" s="428" t="s">
        <v>756</v>
      </c>
      <c r="Q268" s="3">
        <v>3000</v>
      </c>
      <c r="R268" s="1">
        <v>5</v>
      </c>
      <c r="S268" s="47">
        <f t="shared" ref="S268" si="259">+Q268*R268</f>
        <v>15000</v>
      </c>
      <c r="T268" s="49">
        <v>-517.53</v>
      </c>
      <c r="U268" s="47">
        <f t="shared" ref="U268" si="260">SUM(S268:T268)</f>
        <v>14482.47</v>
      </c>
      <c r="V268" s="47">
        <f t="shared" ref="V268" si="261">+U268*0.18</f>
        <v>2606.8445999999999</v>
      </c>
      <c r="W268" s="47">
        <f t="shared" ref="W268" si="262">+U268-V268</f>
        <v>11875.625399999999</v>
      </c>
      <c r="X268" s="15"/>
      <c r="Y268" s="50"/>
      <c r="Z268" s="50"/>
      <c r="AA268" s="50"/>
      <c r="AB268" s="50"/>
      <c r="AC268" s="30"/>
      <c r="AD268" s="189"/>
    </row>
    <row r="269" spans="1:30">
      <c r="A269" s="279"/>
      <c r="B269" s="285"/>
      <c r="C269" s="285"/>
      <c r="D269" s="282"/>
      <c r="E269" s="233"/>
      <c r="F269" s="237"/>
      <c r="G269" s="238"/>
      <c r="H269" s="292" t="s">
        <v>554</v>
      </c>
      <c r="I269" s="410" t="s">
        <v>1211</v>
      </c>
      <c r="J269" s="405" t="s">
        <v>1212</v>
      </c>
      <c r="K269" s="183" t="s">
        <v>217</v>
      </c>
      <c r="L269" s="219">
        <v>1</v>
      </c>
      <c r="M269" s="220">
        <v>45650</v>
      </c>
      <c r="N269" s="220">
        <v>45651</v>
      </c>
      <c r="O269" s="449" t="s">
        <v>687</v>
      </c>
      <c r="P269" s="449" t="s">
        <v>756</v>
      </c>
      <c r="Q269" s="403">
        <v>1500</v>
      </c>
      <c r="R269" s="401">
        <v>1</v>
      </c>
      <c r="S269" s="406">
        <f>+Q269*R269</f>
        <v>1500</v>
      </c>
      <c r="T269" s="409">
        <v>-51.81</v>
      </c>
      <c r="U269" s="406">
        <f>+S269+T269</f>
        <v>1448.19</v>
      </c>
      <c r="V269" s="406"/>
      <c r="W269" s="406"/>
      <c r="X269" s="405"/>
      <c r="Y269" s="403"/>
      <c r="Z269" s="403"/>
      <c r="AA269" s="403"/>
      <c r="AB269" s="403"/>
      <c r="AC269" s="402"/>
      <c r="AD269" s="655">
        <f>U269</f>
        <v>1448.19</v>
      </c>
    </row>
    <row r="270" spans="1:30">
      <c r="A270" s="279"/>
      <c r="B270" s="285"/>
      <c r="C270" s="285"/>
      <c r="D270" s="282"/>
      <c r="E270" s="233"/>
      <c r="F270" s="237"/>
      <c r="G270" s="238"/>
      <c r="H270" s="290" t="s">
        <v>555</v>
      </c>
      <c r="I270" s="688" t="s">
        <v>806</v>
      </c>
      <c r="J270" s="689" t="s">
        <v>84</v>
      </c>
      <c r="K270" s="593" t="s">
        <v>1236</v>
      </c>
      <c r="L270" s="594">
        <v>4</v>
      </c>
      <c r="M270" s="595">
        <v>45651</v>
      </c>
      <c r="N270" s="595">
        <v>45295</v>
      </c>
      <c r="O270" s="691" t="s">
        <v>687</v>
      </c>
      <c r="P270" s="691" t="s">
        <v>756</v>
      </c>
      <c r="Q270" s="692"/>
      <c r="R270" s="693"/>
      <c r="S270" s="694"/>
      <c r="T270" s="695"/>
      <c r="U270" s="694"/>
      <c r="V270" s="694"/>
      <c r="W270" s="694"/>
      <c r="X270" s="689"/>
      <c r="Y270" s="692"/>
      <c r="Z270" s="692"/>
      <c r="AA270" s="692"/>
      <c r="AB270" s="692"/>
      <c r="AC270" s="690"/>
      <c r="AD270" s="189"/>
    </row>
    <row r="271" spans="1:30">
      <c r="A271" s="279"/>
      <c r="B271" s="285"/>
      <c r="C271" s="285"/>
      <c r="D271" s="282"/>
      <c r="E271" s="233"/>
      <c r="F271" s="237"/>
      <c r="G271" s="238"/>
      <c r="H271" s="292" t="s">
        <v>554</v>
      </c>
      <c r="I271" s="469" t="s">
        <v>719</v>
      </c>
      <c r="J271" s="487" t="s">
        <v>474</v>
      </c>
      <c r="K271" s="250" t="s">
        <v>210</v>
      </c>
      <c r="L271" s="276">
        <v>4</v>
      </c>
      <c r="M271" s="277">
        <v>45652</v>
      </c>
      <c r="N271" s="277">
        <v>45656</v>
      </c>
      <c r="O271" s="472" t="s">
        <v>687</v>
      </c>
      <c r="P271" s="472" t="s">
        <v>756</v>
      </c>
      <c r="Q271" s="473">
        <v>2800</v>
      </c>
      <c r="R271" s="470">
        <v>4</v>
      </c>
      <c r="S271" s="473">
        <f>+Q271*R271</f>
        <v>11200</v>
      </c>
      <c r="T271" s="474">
        <v>-396.84</v>
      </c>
      <c r="U271" s="473">
        <f>SUM(S271:T271)</f>
        <v>10803.16</v>
      </c>
      <c r="V271" s="473">
        <f>+U271*0.2</f>
        <v>2160.6320000000001</v>
      </c>
      <c r="W271" s="473"/>
      <c r="X271" s="475">
        <f>+U271-V271</f>
        <v>8642.5280000000002</v>
      </c>
      <c r="Y271" s="473"/>
      <c r="Z271" s="473"/>
      <c r="AA271" s="473"/>
      <c r="AB271" s="473"/>
      <c r="AC271" s="471"/>
      <c r="AD271" s="651"/>
    </row>
    <row r="272" spans="1:30">
      <c r="A272" s="279"/>
      <c r="B272" s="285"/>
      <c r="C272" s="285"/>
      <c r="D272" s="282"/>
      <c r="E272" s="233"/>
      <c r="F272" s="237"/>
      <c r="G272" s="238"/>
      <c r="H272" s="294" t="s">
        <v>557</v>
      </c>
      <c r="I272" s="410" t="s">
        <v>1073</v>
      </c>
      <c r="J272" s="405" t="s">
        <v>107</v>
      </c>
      <c r="K272" s="229" t="s">
        <v>217</v>
      </c>
      <c r="L272" s="219">
        <v>2</v>
      </c>
      <c r="M272" s="220">
        <v>45653</v>
      </c>
      <c r="N272" s="220">
        <v>45655</v>
      </c>
      <c r="O272" s="463" t="s">
        <v>687</v>
      </c>
      <c r="P272" s="463" t="s">
        <v>756</v>
      </c>
      <c r="Q272" s="403">
        <f>+S272/R272</f>
        <v>1750</v>
      </c>
      <c r="R272" s="401">
        <v>2</v>
      </c>
      <c r="S272" s="403">
        <v>3500</v>
      </c>
      <c r="T272" s="404">
        <v>-598.5</v>
      </c>
      <c r="U272" s="403">
        <f>SUM(S272:T272)</f>
        <v>2901.5</v>
      </c>
      <c r="V272" s="403"/>
      <c r="W272" s="403"/>
      <c r="X272" s="406"/>
      <c r="Y272" s="403"/>
      <c r="Z272" s="403"/>
      <c r="AA272" s="403"/>
      <c r="AB272" s="403"/>
      <c r="AC272" s="402"/>
      <c r="AD272" s="655">
        <f>U272</f>
        <v>2901.5</v>
      </c>
    </row>
    <row r="273" spans="1:34">
      <c r="A273" s="279"/>
      <c r="B273" s="285"/>
      <c r="C273" s="285"/>
      <c r="D273" s="282"/>
      <c r="E273" s="233"/>
      <c r="F273" s="237"/>
      <c r="G273" s="238"/>
      <c r="H273" s="292" t="s">
        <v>554</v>
      </c>
      <c r="I273" s="43" t="s">
        <v>823</v>
      </c>
      <c r="J273" t="s">
        <v>307</v>
      </c>
      <c r="K273" s="18" t="s">
        <v>23</v>
      </c>
      <c r="L273" s="19">
        <v>2</v>
      </c>
      <c r="M273" s="20">
        <v>45655</v>
      </c>
      <c r="N273" s="20">
        <v>45657</v>
      </c>
      <c r="O273" s="427" t="s">
        <v>687</v>
      </c>
      <c r="P273" s="427" t="s">
        <v>756</v>
      </c>
      <c r="Q273" s="3">
        <v>3000</v>
      </c>
      <c r="R273" s="1">
        <v>2</v>
      </c>
      <c r="S273" s="47">
        <f>+Q273*R273</f>
        <v>6000</v>
      </c>
      <c r="T273" s="49">
        <v>-207</v>
      </c>
      <c r="U273" s="47">
        <f t="shared" ref="U273" si="263">SUM(S273:T273)</f>
        <v>5793</v>
      </c>
      <c r="V273" s="47">
        <f t="shared" ref="V273" si="264">+U273*0.18</f>
        <v>1042.74</v>
      </c>
      <c r="W273" s="47">
        <f t="shared" ref="W273" si="265">+U273-V273</f>
        <v>4750.26</v>
      </c>
      <c r="X273" s="62"/>
      <c r="Y273" s="50"/>
      <c r="Z273" s="50"/>
      <c r="AA273" s="50"/>
      <c r="AB273" s="50"/>
      <c r="AC273" s="30"/>
      <c r="AD273" s="651"/>
    </row>
    <row r="274" spans="1:34">
      <c r="A274" s="279"/>
      <c r="B274" s="285"/>
      <c r="C274" s="285"/>
      <c r="D274" s="282"/>
      <c r="E274" s="233"/>
      <c r="F274" s="237"/>
      <c r="G274" s="238"/>
      <c r="H274" s="290" t="s">
        <v>111</v>
      </c>
      <c r="I274" s="489" t="s">
        <v>718</v>
      </c>
      <c r="J274" s="495" t="s">
        <v>84</v>
      </c>
      <c r="K274" s="439" t="s">
        <v>388</v>
      </c>
      <c r="L274" s="440">
        <v>6</v>
      </c>
      <c r="M274" s="441">
        <v>45655</v>
      </c>
      <c r="N274" s="441">
        <v>45661</v>
      </c>
      <c r="O274" s="500" t="s">
        <v>688</v>
      </c>
      <c r="P274" s="500" t="s">
        <v>756</v>
      </c>
      <c r="Q274" s="496">
        <v>8900</v>
      </c>
      <c r="R274" s="497">
        <v>6</v>
      </c>
      <c r="S274" s="496">
        <f>+Q274*R274/2</f>
        <v>26700</v>
      </c>
      <c r="T274" s="498">
        <v>0</v>
      </c>
      <c r="U274" s="496">
        <f>S274</f>
        <v>26700</v>
      </c>
      <c r="V274" s="496">
        <f>+U274*0.2</f>
        <v>5340</v>
      </c>
      <c r="W274" s="496"/>
      <c r="X274" s="198" t="s">
        <v>734</v>
      </c>
      <c r="Y274" s="496">
        <f>+U274-V274</f>
        <v>21360</v>
      </c>
      <c r="Z274" s="496"/>
      <c r="AA274" s="496"/>
      <c r="AB274" s="496"/>
      <c r="AC274" s="499"/>
      <c r="AD274" s="651"/>
    </row>
    <row r="275" spans="1:34" s="43" customFormat="1">
      <c r="A275" s="279"/>
      <c r="B275" s="302"/>
      <c r="C275" s="302"/>
      <c r="D275" s="303"/>
      <c r="E275" s="304"/>
      <c r="F275" s="238"/>
      <c r="G275" s="238"/>
      <c r="H275" s="294" t="s">
        <v>557</v>
      </c>
      <c r="I275" s="410" t="s">
        <v>870</v>
      </c>
      <c r="J275" s="410" t="s">
        <v>107</v>
      </c>
      <c r="K275" s="229" t="s">
        <v>217</v>
      </c>
      <c r="L275" s="776">
        <v>2</v>
      </c>
      <c r="M275" s="752">
        <v>45657</v>
      </c>
      <c r="N275" s="752">
        <v>45658</v>
      </c>
      <c r="O275" s="449" t="s">
        <v>687</v>
      </c>
      <c r="P275" s="449" t="s">
        <v>756</v>
      </c>
      <c r="Q275" s="406">
        <v>1750</v>
      </c>
      <c r="R275" s="407">
        <v>1</v>
      </c>
      <c r="S275" s="406">
        <f t="shared" ref="S275:S280" si="266">+Q275*R275</f>
        <v>1750</v>
      </c>
      <c r="T275" s="369">
        <v>-299.25</v>
      </c>
      <c r="U275" s="406">
        <f>+S275+T275</f>
        <v>1450.75</v>
      </c>
      <c r="V275" s="406"/>
      <c r="W275" s="406"/>
      <c r="X275" s="410"/>
      <c r="Y275" s="406"/>
      <c r="Z275" s="406"/>
      <c r="AA275" s="406"/>
      <c r="AB275" s="406"/>
      <c r="AC275" s="408"/>
      <c r="AD275" s="655">
        <f>U275</f>
        <v>1450.75</v>
      </c>
    </row>
    <row r="276" spans="1:34" s="43" customFormat="1">
      <c r="A276" s="279"/>
      <c r="B276" s="302"/>
      <c r="C276" s="302"/>
      <c r="D276" s="303"/>
      <c r="E276" s="304"/>
      <c r="F276" s="238"/>
      <c r="G276" s="238"/>
      <c r="H276" s="292" t="s">
        <v>554</v>
      </c>
      <c r="I276" s="469" t="s">
        <v>1218</v>
      </c>
      <c r="J276" s="469" t="s">
        <v>107</v>
      </c>
      <c r="K276" s="250" t="s">
        <v>210</v>
      </c>
      <c r="L276" s="979">
        <v>3</v>
      </c>
      <c r="M276" s="980">
        <v>45657</v>
      </c>
      <c r="N276" s="980">
        <v>45659</v>
      </c>
      <c r="O276" s="479" t="s">
        <v>687</v>
      </c>
      <c r="P276" s="479" t="s">
        <v>756</v>
      </c>
      <c r="Q276" s="475">
        <v>2800</v>
      </c>
      <c r="R276" s="477">
        <v>2</v>
      </c>
      <c r="S276" s="475">
        <f t="shared" si="266"/>
        <v>5600</v>
      </c>
      <c r="T276" s="480">
        <v>-203.55</v>
      </c>
      <c r="U276" s="475">
        <f>+S276+T276</f>
        <v>5396.45</v>
      </c>
      <c r="V276" s="473">
        <f>+U276*0.2</f>
        <v>1079.29</v>
      </c>
      <c r="W276" s="475"/>
      <c r="X276" s="475">
        <f>+U276-V276</f>
        <v>4317.16</v>
      </c>
      <c r="Y276" s="475"/>
      <c r="Z276" s="475"/>
      <c r="AA276" s="475"/>
      <c r="AB276" s="475"/>
      <c r="AC276" s="478"/>
      <c r="AD276" s="189"/>
    </row>
    <row r="277" spans="1:34">
      <c r="A277" s="280"/>
      <c r="B277" s="286"/>
      <c r="C277" s="286"/>
      <c r="D277" s="283"/>
      <c r="E277" s="234"/>
      <c r="F277" s="239"/>
      <c r="G277" s="239"/>
      <c r="H277" s="293" t="s">
        <v>554</v>
      </c>
      <c r="I277" s="31" t="s">
        <v>758</v>
      </c>
      <c r="J277" s="31" t="s">
        <v>75</v>
      </c>
      <c r="K277" s="764" t="s">
        <v>23</v>
      </c>
      <c r="L277" s="765">
        <v>2</v>
      </c>
      <c r="M277" s="766">
        <v>45657</v>
      </c>
      <c r="N277" s="766">
        <v>45659</v>
      </c>
      <c r="O277" s="429" t="s">
        <v>687</v>
      </c>
      <c r="P277" s="429" t="s">
        <v>756</v>
      </c>
      <c r="Q277" s="32">
        <v>3000</v>
      </c>
      <c r="R277" s="33">
        <v>2</v>
      </c>
      <c r="S277" s="32">
        <f t="shared" si="266"/>
        <v>6000</v>
      </c>
      <c r="T277" s="34">
        <v>-206.96</v>
      </c>
      <c r="U277" s="32">
        <f t="shared" ref="U277" si="267">SUM(S277:T277)</f>
        <v>5793.04</v>
      </c>
      <c r="V277" s="32">
        <f t="shared" ref="V277" si="268">+U277*0.18</f>
        <v>1042.7472</v>
      </c>
      <c r="W277" s="32">
        <f t="shared" ref="W277" si="269">+U277-V277</f>
        <v>4750.2928000000002</v>
      </c>
      <c r="X277" s="56"/>
      <c r="Y277" s="88"/>
      <c r="Z277" s="88"/>
      <c r="AA277" s="88"/>
      <c r="AB277" s="88"/>
      <c r="AC277" s="58"/>
      <c r="AD277" s="654"/>
    </row>
    <row r="278" spans="1:34">
      <c r="A278" s="279"/>
      <c r="B278" s="285"/>
      <c r="C278" s="285"/>
      <c r="D278" s="282"/>
      <c r="E278" s="233"/>
      <c r="F278" s="237"/>
      <c r="G278" s="238"/>
      <c r="H278" s="292" t="s">
        <v>554</v>
      </c>
      <c r="I278" s="53" t="s">
        <v>1130</v>
      </c>
      <c r="J278" s="15" t="s">
        <v>1129</v>
      </c>
      <c r="K278" s="18" t="s">
        <v>23</v>
      </c>
      <c r="L278" s="19">
        <v>2</v>
      </c>
      <c r="M278" s="20">
        <v>45631</v>
      </c>
      <c r="N278" s="20">
        <v>45633</v>
      </c>
      <c r="O278" s="427" t="s">
        <v>687</v>
      </c>
      <c r="P278" s="427" t="s">
        <v>756</v>
      </c>
      <c r="Q278" s="50">
        <v>3000</v>
      </c>
      <c r="R278" s="29">
        <v>2</v>
      </c>
      <c r="S278" s="50">
        <f t="shared" si="266"/>
        <v>6000</v>
      </c>
      <c r="T278" s="49">
        <v>-207.04</v>
      </c>
      <c r="U278" s="47">
        <f t="shared" ref="U278" si="270">SUM(S278:T278)</f>
        <v>5792.96</v>
      </c>
      <c r="V278" s="47">
        <f t="shared" ref="V278" si="271">+U278*0.18</f>
        <v>1042.7328</v>
      </c>
      <c r="W278" s="47">
        <f t="shared" ref="W278" si="272">+U278-V278</f>
        <v>4750.2272000000003</v>
      </c>
      <c r="X278" s="62"/>
      <c r="Y278" s="50"/>
      <c r="Z278" s="50"/>
      <c r="AA278" s="50"/>
      <c r="AB278" s="50"/>
      <c r="AC278" s="30"/>
      <c r="AD278" s="651"/>
    </row>
    <row r="279" spans="1:34">
      <c r="A279" s="279"/>
      <c r="B279" s="285"/>
      <c r="C279" s="285"/>
      <c r="D279" s="282"/>
      <c r="E279" s="233"/>
      <c r="F279" s="237"/>
      <c r="G279" s="238"/>
      <c r="H279" s="301" t="s">
        <v>567</v>
      </c>
      <c r="I279" s="659" t="s">
        <v>898</v>
      </c>
      <c r="J279" s="549" t="s">
        <v>332</v>
      </c>
      <c r="K279" s="660" t="s">
        <v>761</v>
      </c>
      <c r="L279" s="661">
        <v>6</v>
      </c>
      <c r="M279" s="662">
        <v>45657</v>
      </c>
      <c r="N279" s="662">
        <v>45670</v>
      </c>
      <c r="O279" s="663" t="s">
        <v>688</v>
      </c>
      <c r="P279" s="663" t="s">
        <v>1221</v>
      </c>
      <c r="Q279" s="551">
        <v>28000</v>
      </c>
      <c r="R279" s="552">
        <v>13</v>
      </c>
      <c r="S279" s="551">
        <f t="shared" si="266"/>
        <v>364000</v>
      </c>
      <c r="T279" s="370">
        <f>-54600*1.15</f>
        <v>-62789.999999999993</v>
      </c>
      <c r="U279" s="551">
        <f>SUM(S279:T279)</f>
        <v>301210</v>
      </c>
      <c r="V279" s="195">
        <f>+U279*0.1-2000</f>
        <v>28121</v>
      </c>
      <c r="W279" s="553"/>
      <c r="X279" s="549"/>
      <c r="Y279" s="551"/>
      <c r="Z279" s="551"/>
      <c r="AA279" s="551">
        <f>+U279-V279</f>
        <v>273089</v>
      </c>
      <c r="AB279" s="551"/>
      <c r="AC279" s="555"/>
      <c r="AD279" s="651"/>
    </row>
    <row r="280" spans="1:34">
      <c r="A280" s="279"/>
      <c r="B280" s="285"/>
      <c r="C280" s="285"/>
      <c r="D280" s="282"/>
      <c r="E280" s="233"/>
      <c r="F280" s="237"/>
      <c r="G280" s="238"/>
      <c r="H280" s="294" t="s">
        <v>557</v>
      </c>
      <c r="I280" s="410" t="s">
        <v>901</v>
      </c>
      <c r="J280" s="405" t="s">
        <v>107</v>
      </c>
      <c r="K280" s="183" t="s">
        <v>217</v>
      </c>
      <c r="L280" s="219">
        <v>2</v>
      </c>
      <c r="M280" s="220">
        <v>45658</v>
      </c>
      <c r="N280" s="220">
        <v>45659</v>
      </c>
      <c r="O280" s="463" t="s">
        <v>687</v>
      </c>
      <c r="P280" s="463" t="s">
        <v>756</v>
      </c>
      <c r="Q280" s="403">
        <v>1575</v>
      </c>
      <c r="R280" s="401">
        <v>1</v>
      </c>
      <c r="S280" s="406">
        <f t="shared" si="266"/>
        <v>1575</v>
      </c>
      <c r="T280" s="369">
        <v>-269.32</v>
      </c>
      <c r="U280" s="406">
        <f>+S280+T280</f>
        <v>1305.68</v>
      </c>
      <c r="V280" s="406"/>
      <c r="W280" s="406"/>
      <c r="X280" s="405"/>
      <c r="Y280" s="403"/>
      <c r="Z280" s="403"/>
      <c r="AA280" s="403"/>
      <c r="AB280" s="403"/>
      <c r="AC280" s="402"/>
      <c r="AD280" s="655">
        <f>U280</f>
        <v>1305.68</v>
      </c>
    </row>
    <row r="281" spans="1:34">
      <c r="A281" s="279"/>
      <c r="B281" s="285"/>
      <c r="C281" s="285"/>
      <c r="D281" s="282"/>
      <c r="E281" s="233"/>
      <c r="F281" s="237"/>
      <c r="G281" s="238"/>
      <c r="H281" s="292" t="s">
        <v>554</v>
      </c>
      <c r="I281" s="53" t="s">
        <v>1064</v>
      </c>
      <c r="J281" s="15" t="s">
        <v>19</v>
      </c>
      <c r="K281" s="4" t="s">
        <v>24</v>
      </c>
      <c r="L281" s="17">
        <v>2</v>
      </c>
      <c r="M281" s="16">
        <v>45658</v>
      </c>
      <c r="N281" s="16">
        <v>45660</v>
      </c>
      <c r="O281" s="427" t="s">
        <v>687</v>
      </c>
      <c r="P281" s="427" t="s">
        <v>756</v>
      </c>
      <c r="Q281" s="3">
        <v>3000</v>
      </c>
      <c r="R281" s="1">
        <v>2</v>
      </c>
      <c r="S281" s="3">
        <f t="shared" ref="S281" si="273">+Q281*R281</f>
        <v>6000</v>
      </c>
      <c r="T281" s="28">
        <v>-207</v>
      </c>
      <c r="U281" s="47">
        <f t="shared" ref="U281" si="274">SUM(S281:T281)</f>
        <v>5793</v>
      </c>
      <c r="V281" s="47">
        <f t="shared" ref="V281" si="275">+U281*0.18</f>
        <v>1042.74</v>
      </c>
      <c r="W281" s="47">
        <f t="shared" ref="W281" si="276">+U281-V281</f>
        <v>4750.26</v>
      </c>
      <c r="X281" s="15"/>
      <c r="Y281" s="50"/>
      <c r="Z281" s="50"/>
      <c r="AA281" s="50"/>
      <c r="AB281" s="50"/>
      <c r="AC281" s="30"/>
      <c r="AD281" s="189"/>
    </row>
    <row r="282" spans="1:34">
      <c r="A282" s="279"/>
      <c r="B282" s="285"/>
      <c r="C282" s="285"/>
      <c r="D282" s="282"/>
      <c r="E282" s="233"/>
      <c r="F282" s="237"/>
      <c r="G282" s="238"/>
      <c r="H282" s="292" t="s">
        <v>554</v>
      </c>
      <c r="I282" s="53" t="s">
        <v>720</v>
      </c>
      <c r="J282" s="15" t="s">
        <v>457</v>
      </c>
      <c r="K282" s="4" t="s">
        <v>24</v>
      </c>
      <c r="L282" s="17">
        <v>2</v>
      </c>
      <c r="M282" s="16">
        <v>45661</v>
      </c>
      <c r="N282" s="16">
        <v>45663</v>
      </c>
      <c r="O282" s="427" t="s">
        <v>687</v>
      </c>
      <c r="P282" s="427" t="s">
        <v>756</v>
      </c>
      <c r="Q282" s="3">
        <v>3000</v>
      </c>
      <c r="R282" s="1">
        <v>2</v>
      </c>
      <c r="S282" s="3">
        <f t="shared" si="200"/>
        <v>6000</v>
      </c>
      <c r="T282" s="28">
        <v>-206.97</v>
      </c>
      <c r="U282" s="47">
        <f t="shared" ref="U282" si="277">SUM(S282:T282)</f>
        <v>5793.03</v>
      </c>
      <c r="V282" s="47">
        <f t="shared" ref="V282" si="278">+U282*0.18</f>
        <v>1042.7454</v>
      </c>
      <c r="W282" s="47">
        <f t="shared" ref="W282" si="279">+U282-V282</f>
        <v>4750.2846</v>
      </c>
      <c r="Y282" s="3"/>
      <c r="Z282" s="3"/>
      <c r="AA282" s="3"/>
      <c r="AD282" s="651"/>
    </row>
    <row r="283" spans="1:34" s="6" customFormat="1">
      <c r="A283" s="279"/>
      <c r="B283" s="285"/>
      <c r="C283" s="285"/>
      <c r="D283" s="282"/>
      <c r="E283" s="233"/>
      <c r="F283" s="237"/>
      <c r="G283" s="238"/>
      <c r="H283" s="290" t="s">
        <v>556</v>
      </c>
      <c r="I283" s="230" t="s">
        <v>721</v>
      </c>
      <c r="J283" s="53" t="s">
        <v>257</v>
      </c>
      <c r="K283" s="44" t="s">
        <v>24</v>
      </c>
      <c r="L283" s="45">
        <v>2</v>
      </c>
      <c r="M283" s="46">
        <v>45664</v>
      </c>
      <c r="N283" s="46">
        <v>45671</v>
      </c>
      <c r="O283" s="428" t="s">
        <v>687</v>
      </c>
      <c r="P283" s="428" t="s">
        <v>756</v>
      </c>
      <c r="Q283" s="47"/>
      <c r="R283" s="48">
        <v>7</v>
      </c>
      <c r="S283" s="47"/>
      <c r="T283" s="49"/>
      <c r="U283" s="47"/>
      <c r="V283" s="47"/>
      <c r="W283" s="47"/>
      <c r="X283" s="3"/>
      <c r="Y283" s="3"/>
      <c r="Z283" s="3"/>
      <c r="AA283" s="3"/>
      <c r="AB283" s="3"/>
      <c r="AC283" s="24"/>
      <c r="AD283" s="651"/>
      <c r="AE283"/>
      <c r="AF283"/>
      <c r="AG283"/>
      <c r="AH283"/>
    </row>
    <row r="284" spans="1:34">
      <c r="A284" s="279"/>
      <c r="B284" s="285"/>
      <c r="C284" s="285"/>
      <c r="D284" s="282"/>
      <c r="E284" s="233"/>
      <c r="F284" s="237"/>
      <c r="G284" s="238"/>
      <c r="H284" s="290" t="s">
        <v>556</v>
      </c>
      <c r="I284" s="230" t="s">
        <v>721</v>
      </c>
      <c r="J284" s="53" t="s">
        <v>257</v>
      </c>
      <c r="K284" s="18" t="s">
        <v>23</v>
      </c>
      <c r="L284" s="19">
        <v>2</v>
      </c>
      <c r="M284" s="20">
        <v>45664</v>
      </c>
      <c r="N284" s="20">
        <v>45671</v>
      </c>
      <c r="O284" s="427" t="s">
        <v>687</v>
      </c>
      <c r="P284" s="427" t="s">
        <v>756</v>
      </c>
      <c r="Q284" s="47"/>
      <c r="R284" s="48">
        <v>7</v>
      </c>
      <c r="S284" s="47"/>
      <c r="T284" s="49"/>
      <c r="U284" s="47"/>
      <c r="V284" s="47"/>
      <c r="W284" s="47"/>
      <c r="X284" s="47"/>
      <c r="Y284" s="47"/>
      <c r="Z284" s="47"/>
      <c r="AA284" s="47"/>
      <c r="AD284" s="651"/>
    </row>
    <row r="285" spans="1:34">
      <c r="A285" s="279"/>
      <c r="B285" s="285"/>
      <c r="C285" s="285"/>
      <c r="D285" s="282"/>
      <c r="E285" s="233"/>
      <c r="F285" s="237"/>
      <c r="G285" s="238"/>
      <c r="H285" s="290" t="s">
        <v>556</v>
      </c>
      <c r="I285" s="230" t="s">
        <v>721</v>
      </c>
      <c r="J285" s="53" t="s">
        <v>257</v>
      </c>
      <c r="K285" s="244" t="s">
        <v>1153</v>
      </c>
      <c r="L285" s="39">
        <v>6</v>
      </c>
      <c r="M285" s="135">
        <v>45664</v>
      </c>
      <c r="N285" s="135">
        <v>45671</v>
      </c>
      <c r="O285" s="428" t="s">
        <v>687</v>
      </c>
      <c r="P285" s="428" t="s">
        <v>756</v>
      </c>
      <c r="Q285" s="47"/>
      <c r="R285" s="48">
        <v>7</v>
      </c>
      <c r="S285" s="47"/>
      <c r="T285" s="49"/>
      <c r="U285" s="47"/>
      <c r="V285" s="47"/>
      <c r="W285" s="47"/>
      <c r="X285" s="47"/>
      <c r="Y285" s="47"/>
      <c r="Z285" s="47"/>
      <c r="AA285" s="47"/>
      <c r="AD285" s="651"/>
    </row>
    <row r="286" spans="1:34">
      <c r="A286" s="279"/>
      <c r="B286" s="285"/>
      <c r="C286" s="285"/>
      <c r="D286" s="282"/>
      <c r="E286" s="233"/>
      <c r="F286" s="237"/>
      <c r="G286" s="238"/>
      <c r="H286" s="292" t="s">
        <v>554</v>
      </c>
      <c r="I286" s="187" t="s">
        <v>843</v>
      </c>
      <c r="J286" s="53" t="s">
        <v>844</v>
      </c>
      <c r="K286" s="44" t="s">
        <v>24</v>
      </c>
      <c r="L286" s="17">
        <v>2</v>
      </c>
      <c r="M286" s="46">
        <v>45675</v>
      </c>
      <c r="N286" s="46">
        <v>45677</v>
      </c>
      <c r="O286" s="428" t="s">
        <v>687</v>
      </c>
      <c r="P286" s="428" t="s">
        <v>842</v>
      </c>
      <c r="Q286" s="47">
        <v>2500</v>
      </c>
      <c r="R286" s="48">
        <v>2</v>
      </c>
      <c r="S286" s="3">
        <f t="shared" ref="S286" si="280">+Q286*R286</f>
        <v>5000</v>
      </c>
      <c r="T286" s="28">
        <v>-172.5</v>
      </c>
      <c r="U286" s="47">
        <f t="shared" ref="U286" si="281">SUM(S286:T286)</f>
        <v>4827.5</v>
      </c>
      <c r="V286" s="47">
        <f t="shared" ref="V286" si="282">+U286*0.18</f>
        <v>868.94999999999993</v>
      </c>
      <c r="W286" s="47">
        <f t="shared" ref="W286" si="283">+U286-V286</f>
        <v>3958.55</v>
      </c>
      <c r="X286" s="47"/>
      <c r="Y286" s="47"/>
      <c r="Z286" s="47"/>
      <c r="AA286" s="47"/>
      <c r="AD286" s="651"/>
    </row>
    <row r="287" spans="1:34">
      <c r="A287" s="279"/>
      <c r="B287" s="285"/>
      <c r="C287" s="285"/>
      <c r="D287" s="282"/>
      <c r="E287" s="233"/>
      <c r="F287" s="237"/>
      <c r="G287" s="238"/>
      <c r="H287" s="292" t="s">
        <v>554</v>
      </c>
      <c r="I287" s="187" t="s">
        <v>937</v>
      </c>
      <c r="J287" s="53" t="s">
        <v>938</v>
      </c>
      <c r="K287" s="44" t="s">
        <v>24</v>
      </c>
      <c r="L287" s="17">
        <v>2</v>
      </c>
      <c r="M287" s="46">
        <v>45679</v>
      </c>
      <c r="N287" s="46">
        <v>45682</v>
      </c>
      <c r="O287" s="428" t="s">
        <v>687</v>
      </c>
      <c r="P287" s="428" t="s">
        <v>842</v>
      </c>
      <c r="Q287" s="47">
        <v>2500</v>
      </c>
      <c r="R287" s="48">
        <v>3</v>
      </c>
      <c r="S287" s="3">
        <f t="shared" ref="S287" si="284">+Q287*R287</f>
        <v>7500</v>
      </c>
      <c r="T287" s="28">
        <v>-258.73</v>
      </c>
      <c r="U287" s="47">
        <f t="shared" ref="U287" si="285">SUM(S287:T287)</f>
        <v>7241.27</v>
      </c>
      <c r="V287" s="47">
        <f t="shared" ref="V287" si="286">+U287*0.18</f>
        <v>1303.4286</v>
      </c>
      <c r="W287" s="47">
        <f t="shared" ref="W287" si="287">+U287-V287</f>
        <v>5937.8414000000002</v>
      </c>
      <c r="X287" s="47"/>
      <c r="Y287" s="47"/>
      <c r="Z287" s="47"/>
      <c r="AA287" s="47"/>
      <c r="AD287" s="651"/>
    </row>
    <row r="288" spans="1:34">
      <c r="A288" s="279"/>
      <c r="B288" s="285"/>
      <c r="C288" s="285"/>
      <c r="D288" s="282"/>
      <c r="E288" s="233"/>
      <c r="F288" s="237"/>
      <c r="G288" s="238"/>
      <c r="H288" s="294" t="s">
        <v>557</v>
      </c>
      <c r="I288" s="410" t="s">
        <v>1116</v>
      </c>
      <c r="J288" s="405" t="s">
        <v>307</v>
      </c>
      <c r="K288" s="229" t="s">
        <v>217</v>
      </c>
      <c r="L288" s="219">
        <v>2</v>
      </c>
      <c r="M288" s="752">
        <v>45681</v>
      </c>
      <c r="N288" s="752">
        <v>45684</v>
      </c>
      <c r="O288" s="449" t="s">
        <v>687</v>
      </c>
      <c r="P288" s="449" t="s">
        <v>756</v>
      </c>
      <c r="Q288" s="406">
        <f>+S288/R288</f>
        <v>895.5</v>
      </c>
      <c r="R288" s="407">
        <v>3</v>
      </c>
      <c r="S288" s="403">
        <v>2686.5</v>
      </c>
      <c r="T288" s="404">
        <v>-459.39</v>
      </c>
      <c r="U288" s="406">
        <f>+S288+T288</f>
        <v>2227.11</v>
      </c>
      <c r="V288" s="406"/>
      <c r="W288" s="406"/>
      <c r="X288" s="406"/>
      <c r="Y288" s="406"/>
      <c r="Z288" s="406"/>
      <c r="AA288" s="406"/>
      <c r="AB288" s="403"/>
      <c r="AC288" s="402"/>
      <c r="AD288" s="655">
        <f>U288</f>
        <v>2227.11</v>
      </c>
    </row>
    <row r="289" spans="1:30">
      <c r="A289" s="280"/>
      <c r="B289" s="286"/>
      <c r="C289" s="286"/>
      <c r="D289" s="283"/>
      <c r="E289" s="234"/>
      <c r="F289" s="239"/>
      <c r="G289" s="239"/>
      <c r="H289" s="293" t="s">
        <v>554</v>
      </c>
      <c r="I289" s="777" t="s">
        <v>858</v>
      </c>
      <c r="J289" s="56" t="s">
        <v>859</v>
      </c>
      <c r="K289" s="36" t="s">
        <v>24</v>
      </c>
      <c r="L289" s="762">
        <v>2</v>
      </c>
      <c r="M289" s="763">
        <v>45686</v>
      </c>
      <c r="N289" s="763">
        <v>11354</v>
      </c>
      <c r="O289" s="429" t="s">
        <v>687</v>
      </c>
      <c r="P289" s="429" t="s">
        <v>842</v>
      </c>
      <c r="Q289" s="32">
        <v>2500</v>
      </c>
      <c r="R289" s="33">
        <v>2</v>
      </c>
      <c r="S289" s="32">
        <f t="shared" ref="S289" si="288">+Q289*R289</f>
        <v>5000</v>
      </c>
      <c r="T289" s="34">
        <v>-172.5</v>
      </c>
      <c r="U289" s="32">
        <f t="shared" ref="U289" si="289">SUM(S289:T289)</f>
        <v>4827.5</v>
      </c>
      <c r="V289" s="32">
        <f t="shared" ref="V289" si="290">+U289*0.18</f>
        <v>868.94999999999993</v>
      </c>
      <c r="W289" s="32">
        <f t="shared" ref="W289" si="291">+U289-V289</f>
        <v>3958.55</v>
      </c>
      <c r="X289" s="32"/>
      <c r="Y289" s="32"/>
      <c r="Z289" s="32"/>
      <c r="AA289" s="32"/>
      <c r="AB289" s="32"/>
      <c r="AC289" s="77"/>
      <c r="AD289" s="654"/>
    </row>
    <row r="290" spans="1:30">
      <c r="A290" s="279"/>
      <c r="B290" s="285" t="s">
        <v>634</v>
      </c>
      <c r="C290" s="285"/>
      <c r="D290" s="282"/>
      <c r="E290" s="233" t="s">
        <v>633</v>
      </c>
      <c r="F290" s="237"/>
      <c r="G290" s="238"/>
      <c r="H290" s="292" t="s">
        <v>554</v>
      </c>
      <c r="I290" s="187" t="s">
        <v>723</v>
      </c>
      <c r="J290" s="53" t="s">
        <v>632</v>
      </c>
      <c r="K290" s="44" t="s">
        <v>24</v>
      </c>
      <c r="L290" s="45">
        <v>2</v>
      </c>
      <c r="M290" s="46">
        <v>45690</v>
      </c>
      <c r="N290" s="46">
        <v>45699</v>
      </c>
      <c r="O290" s="428" t="s">
        <v>687</v>
      </c>
      <c r="P290" s="428" t="s">
        <v>842</v>
      </c>
      <c r="Q290" s="47">
        <v>2500</v>
      </c>
      <c r="R290" s="48">
        <v>9</v>
      </c>
      <c r="S290" s="47">
        <f>+Q290*R290-2250</f>
        <v>20250</v>
      </c>
      <c r="T290" s="49">
        <v>-698.64</v>
      </c>
      <c r="U290" s="47">
        <f t="shared" ref="U290" si="292">SUM(S290:T290)</f>
        <v>19551.36</v>
      </c>
      <c r="V290" s="47">
        <f t="shared" ref="V290" si="293">+U290*0.18</f>
        <v>3519.2447999999999</v>
      </c>
      <c r="W290" s="47">
        <f t="shared" ref="W290:W291" si="294">+U290-V290</f>
        <v>16032.1152</v>
      </c>
      <c r="X290" s="47"/>
      <c r="Y290" s="47"/>
      <c r="Z290" s="47"/>
      <c r="AA290" s="47"/>
      <c r="AD290" s="651"/>
    </row>
    <row r="291" spans="1:30">
      <c r="A291" s="279"/>
      <c r="B291" s="285"/>
      <c r="C291" s="285"/>
      <c r="D291" s="282"/>
      <c r="E291" s="233"/>
      <c r="F291" s="237"/>
      <c r="G291" s="238"/>
      <c r="H291" s="292" t="s">
        <v>554</v>
      </c>
      <c r="I291" s="187" t="s">
        <v>1209</v>
      </c>
      <c r="J291" s="53" t="s">
        <v>223</v>
      </c>
      <c r="K291" s="59" t="s">
        <v>1235</v>
      </c>
      <c r="L291" s="60">
        <v>3</v>
      </c>
      <c r="M291" s="61">
        <v>45709</v>
      </c>
      <c r="N291" s="61">
        <v>45715</v>
      </c>
      <c r="O291" s="428" t="s">
        <v>687</v>
      </c>
      <c r="P291" s="428" t="s">
        <v>842</v>
      </c>
      <c r="Q291" s="47">
        <v>3000</v>
      </c>
      <c r="R291" s="48">
        <v>6</v>
      </c>
      <c r="S291" s="47">
        <f>+Q291*R291</f>
        <v>18000</v>
      </c>
      <c r="T291" s="49">
        <v>-620.98</v>
      </c>
      <c r="U291" s="47">
        <f>+S291+T291</f>
        <v>17379.02</v>
      </c>
      <c r="V291" s="47">
        <f>+U291*0.18</f>
        <v>3128.2235999999998</v>
      </c>
      <c r="W291" s="47">
        <f t="shared" si="294"/>
        <v>14250.796400000001</v>
      </c>
      <c r="X291" s="47"/>
      <c r="Y291" s="47"/>
      <c r="Z291" s="47"/>
      <c r="AA291" s="47"/>
      <c r="AD291" s="651"/>
    </row>
    <row r="292" spans="1:30">
      <c r="A292" s="280"/>
      <c r="B292" s="286"/>
      <c r="C292" s="286"/>
      <c r="D292" s="283"/>
      <c r="E292" s="234"/>
      <c r="F292" s="239"/>
      <c r="G292" s="239"/>
      <c r="H292" s="759" t="s">
        <v>555</v>
      </c>
      <c r="I292" s="807" t="s">
        <v>899</v>
      </c>
      <c r="J292" s="697" t="s">
        <v>84</v>
      </c>
      <c r="K292" s="640" t="s">
        <v>1236</v>
      </c>
      <c r="L292" s="760">
        <v>5</v>
      </c>
      <c r="M292" s="761">
        <v>45716</v>
      </c>
      <c r="N292" s="761">
        <v>45720</v>
      </c>
      <c r="O292" s="698" t="s">
        <v>687</v>
      </c>
      <c r="P292" s="698" t="s">
        <v>756</v>
      </c>
      <c r="Q292" s="699">
        <v>2500</v>
      </c>
      <c r="R292" s="700">
        <v>4</v>
      </c>
      <c r="S292" s="699">
        <f>+Q292*R292/2</f>
        <v>5000</v>
      </c>
      <c r="T292" s="701">
        <v>0</v>
      </c>
      <c r="U292" s="699">
        <f>+S292+T292</f>
        <v>5000</v>
      </c>
      <c r="V292" s="699">
        <f>+U292*0.2</f>
        <v>1000</v>
      </c>
      <c r="W292" s="699"/>
      <c r="X292" s="808" t="s">
        <v>734</v>
      </c>
      <c r="Y292" s="699"/>
      <c r="Z292" s="699">
        <f>+U292-V292</f>
        <v>4000</v>
      </c>
      <c r="AA292" s="699"/>
      <c r="AB292" s="699"/>
      <c r="AC292" s="702"/>
      <c r="AD292" s="261"/>
    </row>
    <row r="293" spans="1:30">
      <c r="A293" s="280"/>
      <c r="B293" s="286"/>
      <c r="C293" s="286"/>
      <c r="D293" s="283"/>
      <c r="E293" s="234"/>
      <c r="F293" s="239"/>
      <c r="G293" s="239"/>
      <c r="H293" s="759" t="s">
        <v>555</v>
      </c>
      <c r="I293" s="806" t="s">
        <v>760</v>
      </c>
      <c r="J293" s="708" t="s">
        <v>84</v>
      </c>
      <c r="K293" s="709" t="s">
        <v>761</v>
      </c>
      <c r="L293" s="710">
        <v>4</v>
      </c>
      <c r="M293" s="711">
        <v>45752</v>
      </c>
      <c r="N293" s="711">
        <v>45768</v>
      </c>
      <c r="O293" s="712"/>
      <c r="P293" s="712"/>
      <c r="Q293" s="713">
        <v>0</v>
      </c>
      <c r="R293" s="714">
        <v>16</v>
      </c>
      <c r="S293" s="713">
        <v>0</v>
      </c>
      <c r="T293" s="715">
        <v>0</v>
      </c>
      <c r="U293" s="713">
        <v>0</v>
      </c>
      <c r="V293" s="713">
        <v>0</v>
      </c>
      <c r="W293" s="713" t="s">
        <v>1072</v>
      </c>
      <c r="X293" s="713"/>
      <c r="Y293" s="713"/>
      <c r="Z293" s="713"/>
      <c r="AA293" s="713"/>
      <c r="AB293" s="713">
        <v>0</v>
      </c>
      <c r="AC293" s="716"/>
      <c r="AD293" s="654"/>
    </row>
    <row r="294" spans="1:30">
      <c r="A294" s="279"/>
      <c r="B294" s="285"/>
      <c r="C294" s="285"/>
      <c r="D294" s="282"/>
      <c r="E294" s="233"/>
      <c r="F294" s="237"/>
      <c r="G294" s="238"/>
      <c r="H294" s="290" t="s">
        <v>555</v>
      </c>
      <c r="I294" s="228" t="s">
        <v>604</v>
      </c>
      <c r="J294" s="53" t="s">
        <v>75</v>
      </c>
      <c r="K294" s="59" t="s">
        <v>1235</v>
      </c>
      <c r="L294" s="60">
        <v>2</v>
      </c>
      <c r="M294" s="61">
        <v>46027</v>
      </c>
      <c r="N294" s="61">
        <v>46112</v>
      </c>
      <c r="O294" s="428"/>
      <c r="P294" s="428"/>
      <c r="V294" s="47"/>
      <c r="W294" s="47"/>
      <c r="X294" s="47"/>
      <c r="Y294" s="47"/>
      <c r="Z294" s="47"/>
      <c r="AA294" s="47"/>
      <c r="AD294" s="657"/>
    </row>
    <row r="295" spans="1:30">
      <c r="A295"/>
      <c r="B295"/>
      <c r="C295"/>
      <c r="D295"/>
      <c r="E295"/>
      <c r="F295"/>
      <c r="G295"/>
      <c r="H295"/>
      <c r="I295"/>
      <c r="L295"/>
      <c r="O295"/>
      <c r="P295"/>
      <c r="Q295"/>
      <c r="R295"/>
      <c r="S295"/>
      <c r="T295"/>
      <c r="U295"/>
      <c r="AB295"/>
      <c r="AC295"/>
      <c r="AD295"/>
    </row>
    <row r="296" spans="1:30">
      <c r="A296"/>
      <c r="B296"/>
      <c r="C296"/>
      <c r="D296"/>
      <c r="E296"/>
      <c r="F296"/>
      <c r="G296"/>
      <c r="H296"/>
      <c r="I296"/>
      <c r="L296"/>
      <c r="O296"/>
      <c r="P296"/>
      <c r="Q296"/>
      <c r="R296"/>
      <c r="S296"/>
      <c r="T296"/>
      <c r="U296"/>
      <c r="AB296"/>
      <c r="AC296"/>
      <c r="AD296"/>
    </row>
    <row r="297" spans="1:30">
      <c r="A297"/>
      <c r="B297"/>
      <c r="C297"/>
      <c r="D297"/>
      <c r="E297"/>
      <c r="F297"/>
      <c r="G297"/>
      <c r="H297"/>
      <c r="I297"/>
      <c r="L297"/>
      <c r="O297"/>
      <c r="P297"/>
      <c r="Q297"/>
      <c r="R297"/>
      <c r="S297"/>
      <c r="T297"/>
      <c r="U297"/>
      <c r="AB297"/>
      <c r="AC297"/>
      <c r="AD297"/>
    </row>
    <row r="298" spans="1:30">
      <c r="A298"/>
      <c r="B298"/>
      <c r="C298"/>
      <c r="D298"/>
      <c r="E298"/>
      <c r="F298"/>
      <c r="G298"/>
      <c r="H298"/>
      <c r="I298"/>
      <c r="L298"/>
      <c r="O298"/>
      <c r="P298"/>
      <c r="Q298"/>
      <c r="R298"/>
      <c r="S298"/>
      <c r="T298"/>
      <c r="U298"/>
      <c r="AB298"/>
      <c r="AC298"/>
      <c r="AD298"/>
    </row>
    <row r="299" spans="1:30">
      <c r="A299"/>
      <c r="B299"/>
      <c r="C299"/>
      <c r="D299"/>
      <c r="E299"/>
      <c r="F299"/>
      <c r="G299"/>
      <c r="H299"/>
      <c r="I299"/>
      <c r="L299"/>
      <c r="O299"/>
      <c r="P299"/>
      <c r="Q299"/>
      <c r="R299"/>
      <c r="S299"/>
      <c r="T299"/>
      <c r="U299"/>
      <c r="AB299"/>
      <c r="AC299"/>
      <c r="AD299"/>
    </row>
    <row r="300" spans="1:30">
      <c r="A300"/>
      <c r="B300"/>
      <c r="C300"/>
      <c r="D300"/>
      <c r="E300"/>
      <c r="F300"/>
      <c r="G300"/>
      <c r="H300"/>
      <c r="I300"/>
      <c r="L300"/>
      <c r="O300"/>
      <c r="P300"/>
      <c r="Q300"/>
      <c r="R300"/>
      <c r="S300"/>
      <c r="T300"/>
      <c r="U300"/>
      <c r="AB300"/>
      <c r="AC300"/>
      <c r="AD300"/>
    </row>
    <row r="301" spans="1:30">
      <c r="A301"/>
      <c r="B301"/>
      <c r="C301"/>
      <c r="D301"/>
      <c r="E301"/>
      <c r="F301"/>
      <c r="G301"/>
      <c r="H301"/>
      <c r="I301"/>
      <c r="L301"/>
      <c r="O301"/>
      <c r="P301"/>
      <c r="Q301"/>
      <c r="R301"/>
      <c r="S301"/>
      <c r="T301"/>
      <c r="U301"/>
      <c r="AB301"/>
      <c r="AC301"/>
      <c r="AD301"/>
    </row>
    <row r="302" spans="1:30">
      <c r="A302"/>
      <c r="B302"/>
      <c r="C302"/>
      <c r="D302"/>
      <c r="E302"/>
      <c r="F302"/>
      <c r="G302"/>
      <c r="H302"/>
      <c r="I302"/>
      <c r="L302"/>
      <c r="O302"/>
      <c r="P302"/>
      <c r="Q302"/>
      <c r="R302"/>
      <c r="S302"/>
      <c r="T302"/>
      <c r="U302"/>
      <c r="AB302"/>
      <c r="AC302"/>
      <c r="AD302"/>
    </row>
    <row r="303" spans="1:30">
      <c r="A303"/>
      <c r="B303"/>
      <c r="C303"/>
      <c r="D303"/>
      <c r="E303"/>
      <c r="F303"/>
      <c r="G303"/>
      <c r="H303"/>
      <c r="I303"/>
      <c r="L303"/>
      <c r="O303"/>
      <c r="P303"/>
      <c r="Q303"/>
      <c r="R303"/>
      <c r="S303"/>
      <c r="T303"/>
      <c r="U303"/>
      <c r="AB303"/>
      <c r="AC303"/>
      <c r="AD303"/>
    </row>
    <row r="304" spans="1:30">
      <c r="A304"/>
      <c r="B304"/>
      <c r="C304"/>
      <c r="D304"/>
      <c r="E304"/>
      <c r="F304"/>
      <c r="G304"/>
      <c r="H304"/>
      <c r="I304"/>
      <c r="L304"/>
      <c r="O304"/>
      <c r="P304"/>
      <c r="Q304"/>
      <c r="R304"/>
      <c r="S304"/>
      <c r="T304"/>
      <c r="U304"/>
      <c r="AB304"/>
      <c r="AC304"/>
      <c r="AD304"/>
    </row>
    <row r="305" spans="1:31">
      <c r="A305"/>
      <c r="B305"/>
      <c r="C305"/>
      <c r="D305"/>
      <c r="E305"/>
      <c r="F305"/>
      <c r="G305"/>
      <c r="H305"/>
      <c r="I305"/>
      <c r="L305"/>
      <c r="O305"/>
      <c r="P305"/>
      <c r="Q305"/>
      <c r="R305"/>
      <c r="S305"/>
      <c r="T305"/>
      <c r="U305"/>
      <c r="AB305"/>
      <c r="AC305"/>
      <c r="AD305"/>
    </row>
    <row r="306" spans="1:31">
      <c r="A306"/>
      <c r="B306"/>
      <c r="C306"/>
      <c r="D306"/>
      <c r="E306"/>
      <c r="F306"/>
      <c r="G306"/>
      <c r="H306"/>
      <c r="I306"/>
      <c r="L306"/>
      <c r="O306"/>
      <c r="P306"/>
      <c r="Q306"/>
      <c r="R306"/>
      <c r="S306"/>
      <c r="T306"/>
      <c r="U306"/>
      <c r="AB306"/>
      <c r="AC306"/>
      <c r="AD306"/>
    </row>
    <row r="307" spans="1:31">
      <c r="A307"/>
      <c r="B307"/>
      <c r="C307"/>
      <c r="D307"/>
      <c r="E307"/>
      <c r="F307"/>
      <c r="G307"/>
      <c r="H307"/>
      <c r="I307"/>
      <c r="L307"/>
      <c r="O307"/>
      <c r="P307"/>
      <c r="Q307"/>
      <c r="R307"/>
      <c r="S307"/>
      <c r="T307"/>
      <c r="U307"/>
      <c r="AB307"/>
      <c r="AC307"/>
      <c r="AD307"/>
    </row>
    <row r="308" spans="1:31">
      <c r="A308"/>
      <c r="B308"/>
      <c r="C308"/>
      <c r="D308"/>
      <c r="E308"/>
      <c r="F308"/>
      <c r="G308"/>
      <c r="H308"/>
      <c r="I308"/>
      <c r="L308"/>
      <c r="O308"/>
      <c r="P308"/>
      <c r="Q308"/>
      <c r="R308"/>
      <c r="S308"/>
      <c r="T308"/>
      <c r="U308"/>
      <c r="AB308"/>
      <c r="AC308"/>
      <c r="AD308"/>
    </row>
    <row r="309" spans="1:31">
      <c r="I309" s="1088"/>
      <c r="J309" s="1089"/>
      <c r="M309" s="30"/>
      <c r="N309" s="30"/>
      <c r="O309" s="427"/>
      <c r="P309" s="427"/>
      <c r="R309" s="37"/>
      <c r="V309" s="47"/>
      <c r="W309" s="62"/>
      <c r="X309" s="62"/>
      <c r="Y309" s="62"/>
      <c r="Z309" s="62"/>
      <c r="AA309" s="62"/>
      <c r="AB309" s="50"/>
      <c r="AC309" s="30"/>
      <c r="AD309" s="50"/>
      <c r="AE309" s="15"/>
    </row>
    <row r="310" spans="1:31">
      <c r="I310" s="1088"/>
      <c r="J310" s="1089"/>
      <c r="M310" s="30"/>
      <c r="N310" s="30"/>
      <c r="O310" s="427"/>
      <c r="P310" s="427"/>
      <c r="R310" s="37"/>
      <c r="V310" s="47"/>
      <c r="W310" s="62"/>
      <c r="X310" s="62"/>
      <c r="Y310" s="62"/>
      <c r="Z310" s="62"/>
      <c r="AA310" s="62"/>
      <c r="AB310" s="50"/>
      <c r="AC310" s="30"/>
      <c r="AD310" s="299"/>
      <c r="AE310" s="15"/>
    </row>
    <row r="311" spans="1:31">
      <c r="I311" s="1088"/>
      <c r="J311" s="1089"/>
      <c r="M311" s="30"/>
      <c r="N311" s="30"/>
      <c r="O311" s="427"/>
      <c r="P311" s="427"/>
      <c r="R311" s="37"/>
      <c r="V311" s="47"/>
      <c r="W311" s="299"/>
      <c r="X311" s="78"/>
      <c r="Y311" s="78"/>
      <c r="Z311" s="78"/>
      <c r="AA311" s="78"/>
      <c r="AB311" s="299"/>
      <c r="AC311" s="30"/>
      <c r="AD311" s="50"/>
      <c r="AE311" s="15"/>
    </row>
    <row r="312" spans="1:31">
      <c r="J312" s="1089"/>
      <c r="M312" s="30"/>
      <c r="N312" s="30"/>
      <c r="O312" s="427"/>
      <c r="P312" s="427"/>
      <c r="V312" s="297"/>
      <c r="W312" s="89"/>
      <c r="X312" s="78"/>
      <c r="Y312" s="78"/>
      <c r="Z312" s="78"/>
      <c r="AA312" s="78"/>
      <c r="AB312" s="50"/>
      <c r="AC312" s="15"/>
      <c r="AD312" s="540"/>
      <c r="AE312" s="15"/>
    </row>
    <row r="313" spans="1:31">
      <c r="J313" s="1089"/>
      <c r="M313" s="30"/>
      <c r="N313" s="30"/>
      <c r="O313" s="427"/>
      <c r="P313" s="427"/>
      <c r="V313" s="298"/>
      <c r="W313" s="299"/>
      <c r="X313" s="15"/>
      <c r="Y313" s="15"/>
      <c r="Z313" s="15"/>
      <c r="AA313" s="15"/>
      <c r="AB313" s="540"/>
      <c r="AC313" s="541"/>
      <c r="AD313" s="540"/>
      <c r="AE313" s="15"/>
    </row>
    <row r="314" spans="1:31">
      <c r="J314" s="1089"/>
      <c r="M314" s="30"/>
      <c r="N314" s="30"/>
      <c r="O314" s="427"/>
      <c r="P314" s="427"/>
      <c r="V314" s="6"/>
      <c r="W314" s="7"/>
      <c r="AB314" s="87"/>
    </row>
    <row r="315" spans="1:31">
      <c r="J315" s="1089"/>
      <c r="M315" s="30"/>
      <c r="N315" s="30"/>
      <c r="O315" s="427"/>
      <c r="P315" s="427"/>
      <c r="V315" s="14"/>
      <c r="W315" s="14"/>
    </row>
    <row r="316" spans="1:31">
      <c r="J316" s="1089"/>
      <c r="M316" s="30"/>
      <c r="N316" s="30"/>
      <c r="O316" s="427"/>
      <c r="P316" s="427"/>
      <c r="X316" s="14"/>
      <c r="Y316" s="14"/>
      <c r="Z316" s="14"/>
      <c r="AA316" s="14"/>
    </row>
    <row r="317" spans="1:31">
      <c r="J317" s="1089"/>
      <c r="M317" s="30"/>
      <c r="N317" s="30"/>
      <c r="O317" s="427"/>
      <c r="P317" s="427"/>
    </row>
    <row r="318" spans="1:31">
      <c r="M318" s="30"/>
      <c r="N318" s="30"/>
      <c r="O318" s="427"/>
      <c r="P318" s="427"/>
    </row>
    <row r="319" spans="1:31">
      <c r="M319" s="30"/>
      <c r="N319" s="30"/>
      <c r="O319" s="427"/>
      <c r="P319" s="427"/>
    </row>
    <row r="320" spans="1:31">
      <c r="M320" s="30"/>
      <c r="N320" s="30"/>
      <c r="O320" s="427"/>
      <c r="P320" s="427"/>
    </row>
    <row r="321" spans="13:16">
      <c r="M321" s="30"/>
      <c r="N321" s="30"/>
      <c r="O321" s="427"/>
      <c r="P321" s="427"/>
    </row>
    <row r="322" spans="13:16">
      <c r="M322" s="30"/>
      <c r="N322" s="30"/>
      <c r="O322" s="427"/>
      <c r="P322" s="427"/>
    </row>
    <row r="323" spans="13:16">
      <c r="M323" s="30"/>
      <c r="N323" s="30"/>
      <c r="O323" s="427"/>
      <c r="P323" s="427"/>
    </row>
    <row r="324" spans="13:16">
      <c r="M324" s="30"/>
      <c r="N324" s="30"/>
      <c r="O324" s="427"/>
      <c r="P324" s="427"/>
    </row>
    <row r="325" spans="13:16">
      <c r="M325" s="30"/>
      <c r="N325" s="30"/>
      <c r="O325" s="427"/>
      <c r="P325" s="427"/>
    </row>
    <row r="326" spans="13:16">
      <c r="M326" s="30"/>
      <c r="N326" s="30"/>
      <c r="O326" s="427"/>
      <c r="P326" s="427"/>
    </row>
    <row r="327" spans="13:16">
      <c r="M327" s="30"/>
      <c r="N327" s="30"/>
      <c r="O327" s="427"/>
      <c r="P327" s="427"/>
    </row>
    <row r="328" spans="13:16">
      <c r="M328" s="30"/>
      <c r="N328" s="30"/>
      <c r="O328" s="427"/>
      <c r="P328" s="427"/>
    </row>
    <row r="329" spans="13:16">
      <c r="M329" s="30"/>
      <c r="N329" s="30"/>
      <c r="O329" s="427"/>
      <c r="P329" s="427"/>
    </row>
    <row r="330" spans="13:16">
      <c r="M330" s="30"/>
      <c r="N330" s="30"/>
      <c r="O330" s="427"/>
      <c r="P330" s="427"/>
    </row>
    <row r="331" spans="13:16">
      <c r="M331" s="30"/>
      <c r="N331" s="30"/>
      <c r="O331" s="427"/>
      <c r="P331" s="427"/>
    </row>
    <row r="332" spans="13:16">
      <c r="M332" s="30"/>
      <c r="N332" s="30"/>
      <c r="O332" s="427"/>
      <c r="P332" s="427"/>
    </row>
    <row r="333" spans="13:16">
      <c r="M333" s="30"/>
      <c r="N333" s="30"/>
      <c r="O333" s="427"/>
      <c r="P333" s="427"/>
    </row>
    <row r="334" spans="13:16">
      <c r="M334" s="30"/>
      <c r="N334" s="30"/>
      <c r="O334" s="427"/>
      <c r="P334" s="427"/>
    </row>
    <row r="335" spans="13:16">
      <c r="M335" s="30"/>
      <c r="N335" s="30"/>
      <c r="O335" s="427"/>
      <c r="P335" s="427"/>
    </row>
    <row r="336" spans="13:16">
      <c r="M336" s="30"/>
      <c r="N336" s="30"/>
      <c r="O336" s="427"/>
      <c r="P336" s="427"/>
    </row>
    <row r="337" spans="13:16">
      <c r="M337" s="30"/>
      <c r="N337" s="30"/>
      <c r="O337" s="427"/>
      <c r="P337" s="427"/>
    </row>
    <row r="338" spans="13:16">
      <c r="M338" s="30"/>
      <c r="N338" s="30"/>
      <c r="O338" s="427"/>
      <c r="P338" s="427"/>
    </row>
    <row r="339" spans="13:16">
      <c r="M339" s="30"/>
      <c r="N339" s="30"/>
      <c r="O339" s="427"/>
      <c r="P339" s="427"/>
    </row>
    <row r="340" spans="13:16">
      <c r="M340" s="30"/>
      <c r="N340" s="30"/>
      <c r="O340" s="427"/>
      <c r="P340" s="427"/>
    </row>
    <row r="341" spans="13:16">
      <c r="M341" s="30"/>
      <c r="N341" s="30"/>
      <c r="O341" s="427"/>
      <c r="P341" s="427"/>
    </row>
    <row r="342" spans="13:16">
      <c r="M342" s="30"/>
      <c r="N342" s="30"/>
      <c r="O342" s="427"/>
      <c r="P342" s="427"/>
    </row>
    <row r="343" spans="13:16">
      <c r="M343" s="30"/>
      <c r="N343" s="30"/>
      <c r="O343" s="427"/>
      <c r="P343" s="427"/>
    </row>
    <row r="344" spans="13:16">
      <c r="M344" s="30"/>
      <c r="N344" s="30"/>
      <c r="O344" s="427"/>
      <c r="P344" s="427"/>
    </row>
    <row r="345" spans="13:16">
      <c r="M345" s="30"/>
      <c r="N345" s="30"/>
      <c r="O345" s="427"/>
      <c r="P345" s="427"/>
    </row>
    <row r="346" spans="13:16">
      <c r="M346" s="30"/>
      <c r="N346" s="30"/>
      <c r="O346" s="427"/>
      <c r="P346" s="427"/>
    </row>
    <row r="347" spans="13:16">
      <c r="M347" s="30"/>
      <c r="N347" s="30"/>
      <c r="O347" s="427"/>
      <c r="P347" s="427"/>
    </row>
    <row r="348" spans="13:16">
      <c r="M348" s="30"/>
      <c r="N348" s="30"/>
      <c r="O348" s="427"/>
      <c r="P348" s="427"/>
    </row>
    <row r="349" spans="13:16">
      <c r="M349" s="30"/>
      <c r="N349" s="30"/>
      <c r="O349" s="427"/>
      <c r="P349" s="427"/>
    </row>
    <row r="350" spans="13:16">
      <c r="M350" s="30"/>
      <c r="N350" s="30"/>
      <c r="O350" s="427"/>
      <c r="P350" s="427"/>
    </row>
    <row r="351" spans="13:16">
      <c r="M351" s="30"/>
      <c r="N351" s="30"/>
      <c r="O351" s="427"/>
      <c r="P351" s="427"/>
    </row>
    <row r="352" spans="13:16">
      <c r="M352" s="30"/>
      <c r="N352" s="30"/>
      <c r="O352" s="427"/>
      <c r="P352" s="427"/>
    </row>
    <row r="353" spans="13:16">
      <c r="M353" s="30"/>
      <c r="N353" s="30"/>
      <c r="O353" s="427"/>
      <c r="P353" s="427"/>
    </row>
    <row r="354" spans="13:16">
      <c r="M354" s="30"/>
      <c r="N354" s="30"/>
      <c r="O354" s="427"/>
      <c r="P354" s="427"/>
    </row>
    <row r="355" spans="13:16">
      <c r="M355" s="30"/>
      <c r="N355" s="30"/>
      <c r="O355" s="427"/>
      <c r="P355" s="427"/>
    </row>
    <row r="356" spans="13:16">
      <c r="M356" s="30"/>
      <c r="N356" s="30"/>
      <c r="O356" s="427"/>
      <c r="P356" s="427"/>
    </row>
    <row r="357" spans="13:16">
      <c r="M357" s="30"/>
      <c r="N357" s="30"/>
      <c r="O357" s="427"/>
      <c r="P357" s="427"/>
    </row>
    <row r="358" spans="13:16">
      <c r="M358" s="30"/>
      <c r="N358" s="30"/>
      <c r="O358" s="427"/>
      <c r="P358" s="427"/>
    </row>
    <row r="359" spans="13:16">
      <c r="M359" s="30"/>
      <c r="N359" s="30"/>
      <c r="O359" s="427"/>
      <c r="P359" s="427"/>
    </row>
    <row r="360" spans="13:16">
      <c r="M360" s="30"/>
      <c r="N360" s="30"/>
      <c r="O360" s="427"/>
      <c r="P360" s="427"/>
    </row>
    <row r="361" spans="13:16">
      <c r="M361" s="30"/>
      <c r="N361" s="30"/>
      <c r="O361" s="427"/>
      <c r="P361" s="427"/>
    </row>
    <row r="362" spans="13:16">
      <c r="M362" s="30"/>
      <c r="N362" s="30"/>
      <c r="O362" s="427"/>
      <c r="P362" s="427"/>
    </row>
    <row r="363" spans="13:16">
      <c r="M363" s="30"/>
      <c r="N363" s="30"/>
      <c r="O363" s="427"/>
      <c r="P363" s="427"/>
    </row>
    <row r="364" spans="13:16">
      <c r="M364" s="30"/>
      <c r="N364" s="30"/>
      <c r="O364" s="427"/>
      <c r="P364" s="427"/>
    </row>
    <row r="365" spans="13:16">
      <c r="M365" s="30"/>
      <c r="N365" s="30"/>
      <c r="O365" s="427"/>
      <c r="P365" s="427"/>
    </row>
    <row r="366" spans="13:16">
      <c r="M366" s="30"/>
      <c r="N366" s="30"/>
      <c r="O366" s="427"/>
      <c r="P366" s="427"/>
    </row>
    <row r="367" spans="13:16">
      <c r="M367" s="30"/>
      <c r="N367" s="30"/>
      <c r="O367" s="427"/>
      <c r="P367" s="427"/>
    </row>
    <row r="368" spans="13:16">
      <c r="M368" s="30"/>
      <c r="N368" s="30"/>
      <c r="O368" s="427"/>
      <c r="P368" s="427"/>
    </row>
    <row r="369" spans="13:16">
      <c r="M369" s="30"/>
      <c r="N369" s="30"/>
      <c r="O369" s="427"/>
      <c r="P369" s="427"/>
    </row>
    <row r="370" spans="13:16">
      <c r="M370" s="30"/>
      <c r="N370" s="30"/>
      <c r="O370" s="427"/>
      <c r="P370" s="427"/>
    </row>
    <row r="371" spans="13:16">
      <c r="M371" s="30"/>
      <c r="N371" s="30"/>
      <c r="O371" s="427"/>
      <c r="P371" s="427"/>
    </row>
    <row r="372" spans="13:16">
      <c r="M372" s="30"/>
      <c r="N372" s="30"/>
      <c r="O372" s="427"/>
      <c r="P372" s="427"/>
    </row>
    <row r="373" spans="13:16">
      <c r="M373" s="30"/>
      <c r="N373" s="30"/>
      <c r="O373" s="427"/>
      <c r="P373" s="427"/>
    </row>
    <row r="374" spans="13:16">
      <c r="M374" s="30"/>
      <c r="N374" s="30"/>
      <c r="O374" s="427"/>
      <c r="P374" s="427"/>
    </row>
    <row r="375" spans="13:16">
      <c r="M375" s="30"/>
      <c r="N375" s="30"/>
      <c r="O375" s="427"/>
      <c r="P375" s="427"/>
    </row>
    <row r="376" spans="13:16">
      <c r="M376" s="30"/>
      <c r="N376" s="30"/>
      <c r="O376" s="427"/>
      <c r="P376" s="427"/>
    </row>
    <row r="377" spans="13:16">
      <c r="M377" s="30"/>
      <c r="N377" s="30"/>
      <c r="O377" s="427"/>
      <c r="P377" s="427"/>
    </row>
    <row r="378" spans="13:16">
      <c r="M378" s="30"/>
      <c r="N378" s="30"/>
      <c r="O378" s="427"/>
      <c r="P378" s="427"/>
    </row>
    <row r="379" spans="13:16">
      <c r="M379" s="30"/>
      <c r="N379" s="30"/>
      <c r="O379" s="427"/>
      <c r="P379" s="427"/>
    </row>
    <row r="380" spans="13:16">
      <c r="M380" s="30"/>
      <c r="N380" s="30"/>
      <c r="O380" s="427"/>
      <c r="P380" s="427"/>
    </row>
    <row r="381" spans="13:16">
      <c r="M381" s="30"/>
      <c r="N381" s="30"/>
      <c r="O381" s="427"/>
      <c r="P381" s="427"/>
    </row>
    <row r="382" spans="13:16">
      <c r="M382" s="30"/>
      <c r="N382" s="30"/>
      <c r="O382" s="427"/>
      <c r="P382" s="427"/>
    </row>
    <row r="383" spans="13:16">
      <c r="M383" s="30"/>
      <c r="N383" s="30"/>
      <c r="O383" s="427"/>
      <c r="P383" s="427"/>
    </row>
    <row r="384" spans="13:16">
      <c r="M384" s="30"/>
      <c r="N384" s="30"/>
      <c r="O384" s="427"/>
      <c r="P384" s="427"/>
    </row>
    <row r="385" spans="13:16">
      <c r="M385" s="30"/>
      <c r="N385" s="30"/>
      <c r="O385" s="427"/>
      <c r="P385" s="427"/>
    </row>
    <row r="386" spans="13:16">
      <c r="M386" s="30"/>
      <c r="N386" s="30"/>
      <c r="O386" s="427"/>
      <c r="P386" s="427"/>
    </row>
    <row r="387" spans="13:16">
      <c r="M387" s="30"/>
      <c r="N387" s="30"/>
      <c r="O387" s="427"/>
      <c r="P387" s="427"/>
    </row>
    <row r="388" spans="13:16">
      <c r="M388" s="30"/>
      <c r="N388" s="30"/>
      <c r="O388" s="427"/>
      <c r="P388" s="427"/>
    </row>
    <row r="389" spans="13:16">
      <c r="M389" s="30"/>
      <c r="N389" s="30"/>
      <c r="O389" s="427"/>
      <c r="P389" s="427"/>
    </row>
    <row r="390" spans="13:16">
      <c r="M390" s="30"/>
      <c r="N390" s="30"/>
      <c r="O390" s="427"/>
      <c r="P390" s="427"/>
    </row>
    <row r="391" spans="13:16">
      <c r="M391" s="30"/>
      <c r="N391" s="30"/>
      <c r="O391" s="427"/>
      <c r="P391" s="427"/>
    </row>
    <row r="392" spans="13:16">
      <c r="M392" s="30"/>
      <c r="N392" s="30"/>
      <c r="O392" s="427"/>
      <c r="P392" s="427"/>
    </row>
    <row r="393" spans="13:16">
      <c r="M393" s="30"/>
      <c r="N393" s="30"/>
      <c r="O393" s="427"/>
      <c r="P393" s="427"/>
    </row>
    <row r="394" spans="13:16">
      <c r="M394" s="30"/>
      <c r="N394" s="30"/>
      <c r="O394" s="427"/>
      <c r="P394" s="427"/>
    </row>
    <row r="395" spans="13:16">
      <c r="M395" s="30"/>
      <c r="N395" s="30"/>
      <c r="O395" s="427"/>
      <c r="P395" s="427"/>
    </row>
    <row r="396" spans="13:16">
      <c r="M396" s="30"/>
      <c r="N396" s="30"/>
      <c r="O396" s="427"/>
      <c r="P396" s="427"/>
    </row>
    <row r="397" spans="13:16">
      <c r="M397" s="30"/>
      <c r="N397" s="30"/>
      <c r="O397" s="427"/>
      <c r="P397" s="427"/>
    </row>
    <row r="398" spans="13:16">
      <c r="M398" s="30"/>
      <c r="N398" s="30"/>
      <c r="O398" s="427"/>
      <c r="P398" s="427"/>
    </row>
    <row r="399" spans="13:16">
      <c r="M399" s="30"/>
      <c r="N399" s="30"/>
      <c r="O399" s="427"/>
      <c r="P399" s="427"/>
    </row>
    <row r="400" spans="13:16">
      <c r="M400" s="30"/>
      <c r="N400" s="30"/>
      <c r="O400" s="427"/>
      <c r="P400" s="427"/>
    </row>
    <row r="401" spans="13:16">
      <c r="M401" s="30"/>
      <c r="N401" s="30"/>
      <c r="O401" s="427"/>
      <c r="P401" s="427"/>
    </row>
    <row r="402" spans="13:16">
      <c r="M402" s="30"/>
      <c r="N402" s="30"/>
      <c r="O402" s="427"/>
      <c r="P402" s="427"/>
    </row>
    <row r="403" spans="13:16">
      <c r="M403" s="30"/>
      <c r="N403" s="30"/>
      <c r="O403" s="427"/>
      <c r="P403" s="427"/>
    </row>
    <row r="404" spans="13:16">
      <c r="M404" s="30"/>
      <c r="N404" s="30"/>
      <c r="O404" s="427"/>
      <c r="P404" s="427"/>
    </row>
    <row r="405" spans="13:16">
      <c r="M405" s="30"/>
      <c r="N405" s="30"/>
      <c r="O405" s="427"/>
      <c r="P405" s="427"/>
    </row>
    <row r="406" spans="13:16">
      <c r="M406" s="30"/>
      <c r="N406" s="30"/>
      <c r="O406" s="427"/>
      <c r="P406" s="427"/>
    </row>
    <row r="407" spans="13:16">
      <c r="M407" s="30"/>
      <c r="N407" s="30"/>
      <c r="O407" s="427"/>
      <c r="P407" s="427"/>
    </row>
    <row r="408" spans="13:16">
      <c r="M408" s="30"/>
      <c r="N408" s="30"/>
      <c r="O408" s="427"/>
      <c r="P408" s="427"/>
    </row>
    <row r="409" spans="13:16">
      <c r="M409" s="30"/>
      <c r="N409" s="30"/>
      <c r="O409" s="427"/>
      <c r="P409" s="427"/>
    </row>
    <row r="410" spans="13:16">
      <c r="M410" s="30"/>
      <c r="N410" s="30"/>
      <c r="O410" s="427"/>
      <c r="P410" s="427"/>
    </row>
    <row r="411" spans="13:16">
      <c r="M411" s="30"/>
      <c r="N411" s="30"/>
      <c r="O411" s="427"/>
      <c r="P411" s="427"/>
    </row>
    <row r="412" spans="13:16">
      <c r="M412" s="30"/>
      <c r="N412" s="30"/>
      <c r="O412" s="427"/>
      <c r="P412" s="427"/>
    </row>
    <row r="413" spans="13:16">
      <c r="M413" s="30"/>
      <c r="N413" s="30"/>
      <c r="O413" s="427"/>
      <c r="P413" s="427"/>
    </row>
    <row r="414" spans="13:16">
      <c r="M414" s="30"/>
      <c r="N414" s="30"/>
      <c r="O414" s="427"/>
      <c r="P414" s="427"/>
    </row>
    <row r="415" spans="13:16">
      <c r="M415" s="30"/>
      <c r="N415" s="30"/>
      <c r="O415" s="427"/>
      <c r="P415" s="427"/>
    </row>
    <row r="416" spans="13:16">
      <c r="M416" s="30"/>
      <c r="N416" s="30"/>
      <c r="O416" s="427"/>
      <c r="P416" s="427"/>
    </row>
    <row r="417" spans="13:16">
      <c r="M417" s="30"/>
      <c r="N417" s="30"/>
      <c r="O417" s="427"/>
      <c r="P417" s="427"/>
    </row>
    <row r="418" spans="13:16">
      <c r="M418" s="30"/>
      <c r="N418" s="30"/>
      <c r="O418" s="427"/>
      <c r="P418" s="427"/>
    </row>
    <row r="419" spans="13:16">
      <c r="M419" s="30"/>
      <c r="N419" s="30"/>
      <c r="O419" s="427"/>
      <c r="P419" s="427"/>
    </row>
    <row r="420" spans="13:16">
      <c r="M420" s="30"/>
      <c r="N420" s="30"/>
      <c r="O420" s="427"/>
      <c r="P420" s="427"/>
    </row>
    <row r="421" spans="13:16">
      <c r="M421" s="30"/>
      <c r="N421" s="30"/>
      <c r="O421" s="427"/>
      <c r="P421" s="427"/>
    </row>
    <row r="422" spans="13:16">
      <c r="M422" s="30"/>
      <c r="N422" s="30"/>
      <c r="O422" s="427"/>
      <c r="P422" s="427"/>
    </row>
    <row r="423" spans="13:16">
      <c r="M423" s="30"/>
      <c r="N423" s="30"/>
      <c r="O423" s="427"/>
      <c r="P423" s="427"/>
    </row>
    <row r="424" spans="13:16">
      <c r="M424" s="30"/>
      <c r="N424" s="30"/>
      <c r="O424" s="427"/>
      <c r="P424" s="427"/>
    </row>
    <row r="425" spans="13:16">
      <c r="M425" s="30"/>
      <c r="N425" s="30"/>
      <c r="O425" s="427"/>
      <c r="P425" s="427"/>
    </row>
    <row r="426" spans="13:16">
      <c r="M426" s="30"/>
      <c r="N426" s="30"/>
      <c r="O426" s="427"/>
      <c r="P426" s="427"/>
    </row>
    <row r="427" spans="13:16">
      <c r="M427" s="30"/>
      <c r="N427" s="30"/>
      <c r="O427" s="427"/>
      <c r="P427" s="427"/>
    </row>
    <row r="428" spans="13:16">
      <c r="M428" s="30"/>
      <c r="N428" s="30"/>
      <c r="O428" s="427"/>
      <c r="P428" s="427"/>
    </row>
    <row r="429" spans="13:16">
      <c r="M429" s="30"/>
      <c r="N429" s="30"/>
      <c r="O429" s="427"/>
      <c r="P429" s="427"/>
    </row>
    <row r="430" spans="13:16">
      <c r="M430" s="30"/>
      <c r="N430" s="30"/>
      <c r="O430" s="427"/>
      <c r="P430" s="427"/>
    </row>
    <row r="431" spans="13:16">
      <c r="M431" s="30"/>
      <c r="N431" s="30"/>
      <c r="O431" s="427"/>
      <c r="P431" s="427"/>
    </row>
    <row r="432" spans="13:16">
      <c r="M432" s="30"/>
      <c r="N432" s="30"/>
      <c r="O432" s="427"/>
      <c r="P432" s="427"/>
    </row>
    <row r="433" spans="13:16">
      <c r="M433" s="30"/>
      <c r="N433" s="30"/>
      <c r="O433" s="427"/>
      <c r="P433" s="427"/>
    </row>
    <row r="434" spans="13:16">
      <c r="M434" s="30"/>
      <c r="N434" s="30"/>
      <c r="O434" s="427"/>
      <c r="P434" s="427"/>
    </row>
    <row r="435" spans="13:16">
      <c r="M435" s="30"/>
      <c r="N435" s="30"/>
      <c r="O435" s="427"/>
      <c r="P435" s="427"/>
    </row>
    <row r="436" spans="13:16">
      <c r="M436" s="30"/>
      <c r="N436" s="30"/>
      <c r="O436" s="427"/>
      <c r="P436" s="427"/>
    </row>
    <row r="437" spans="13:16">
      <c r="M437" s="30"/>
      <c r="N437" s="30"/>
      <c r="O437" s="427"/>
      <c r="P437" s="427"/>
    </row>
    <row r="438" spans="13:16">
      <c r="M438" s="30"/>
      <c r="N438" s="30"/>
      <c r="O438" s="427"/>
      <c r="P438" s="427"/>
    </row>
    <row r="439" spans="13:16">
      <c r="M439" s="30"/>
      <c r="N439" s="30"/>
      <c r="O439" s="427"/>
      <c r="P439" s="427"/>
    </row>
    <row r="440" spans="13:16">
      <c r="M440" s="30"/>
      <c r="N440" s="30"/>
      <c r="O440" s="427"/>
      <c r="P440" s="427"/>
    </row>
    <row r="441" spans="13:16">
      <c r="M441" s="30"/>
      <c r="N441" s="30"/>
      <c r="O441" s="427"/>
      <c r="P441" s="427"/>
    </row>
    <row r="442" spans="13:16">
      <c r="M442" s="30"/>
      <c r="N442" s="30"/>
      <c r="O442" s="427"/>
      <c r="P442" s="427"/>
    </row>
    <row r="443" spans="13:16">
      <c r="M443" s="30"/>
      <c r="N443" s="30"/>
      <c r="O443" s="427"/>
      <c r="P443" s="427"/>
    </row>
    <row r="444" spans="13:16">
      <c r="M444" s="30"/>
      <c r="N444" s="30"/>
      <c r="O444" s="427"/>
      <c r="P444" s="427"/>
    </row>
    <row r="445" spans="13:16">
      <c r="M445" s="30"/>
      <c r="N445" s="30"/>
      <c r="O445" s="427"/>
      <c r="P445" s="427"/>
    </row>
    <row r="446" spans="13:16">
      <c r="M446" s="30"/>
      <c r="N446" s="30"/>
      <c r="O446" s="427"/>
      <c r="P446" s="427"/>
    </row>
    <row r="447" spans="13:16">
      <c r="M447" s="30"/>
      <c r="N447" s="30"/>
      <c r="O447" s="427"/>
      <c r="P447" s="427"/>
    </row>
    <row r="448" spans="13:16">
      <c r="M448" s="30"/>
      <c r="N448" s="30"/>
      <c r="O448" s="427"/>
      <c r="P448" s="427"/>
    </row>
    <row r="449" spans="13:16">
      <c r="M449" s="30"/>
      <c r="N449" s="30"/>
      <c r="O449" s="427"/>
      <c r="P449" s="427"/>
    </row>
    <row r="450" spans="13:16">
      <c r="M450" s="30"/>
      <c r="N450" s="30"/>
      <c r="O450" s="427"/>
      <c r="P450" s="427"/>
    </row>
    <row r="451" spans="13:16">
      <c r="M451" s="30"/>
      <c r="N451" s="30"/>
      <c r="O451" s="427"/>
      <c r="P451" s="427"/>
    </row>
    <row r="452" spans="13:16">
      <c r="M452" s="30"/>
      <c r="N452" s="30"/>
      <c r="O452" s="427"/>
      <c r="P452" s="427"/>
    </row>
    <row r="453" spans="13:16">
      <c r="M453" s="30"/>
      <c r="N453" s="30"/>
      <c r="O453" s="427"/>
      <c r="P453" s="427"/>
    </row>
    <row r="454" spans="13:16">
      <c r="M454" s="30"/>
      <c r="N454" s="30"/>
      <c r="O454" s="427"/>
      <c r="P454" s="427"/>
    </row>
    <row r="455" spans="13:16">
      <c r="M455" s="30"/>
      <c r="N455" s="30"/>
      <c r="O455" s="427"/>
      <c r="P455" s="427"/>
    </row>
    <row r="456" spans="13:16">
      <c r="M456" s="30"/>
      <c r="N456" s="30"/>
      <c r="O456" s="427"/>
      <c r="P456" s="427"/>
    </row>
    <row r="457" spans="13:16">
      <c r="M457" s="30"/>
      <c r="N457" s="30"/>
      <c r="O457" s="427"/>
      <c r="P457" s="427"/>
    </row>
    <row r="458" spans="13:16">
      <c r="M458" s="30"/>
      <c r="N458" s="30"/>
      <c r="O458" s="427"/>
      <c r="P458" s="427"/>
    </row>
    <row r="459" spans="13:16">
      <c r="M459" s="30"/>
      <c r="N459" s="30"/>
      <c r="O459" s="427"/>
      <c r="P459" s="427"/>
    </row>
    <row r="460" spans="13:16">
      <c r="M460" s="30"/>
      <c r="N460" s="30"/>
      <c r="O460" s="427"/>
      <c r="P460" s="427"/>
    </row>
    <row r="461" spans="13:16">
      <c r="M461" s="30"/>
      <c r="N461" s="30"/>
      <c r="O461" s="427"/>
      <c r="P461" s="427"/>
    </row>
    <row r="462" spans="13:16">
      <c r="M462" s="30"/>
      <c r="N462" s="30"/>
      <c r="O462" s="427"/>
      <c r="P462" s="427"/>
    </row>
    <row r="463" spans="13:16">
      <c r="M463" s="30"/>
      <c r="N463" s="30"/>
      <c r="O463" s="427"/>
      <c r="P463" s="427"/>
    </row>
    <row r="464" spans="13:16">
      <c r="M464" s="30"/>
      <c r="N464" s="30"/>
      <c r="O464" s="427"/>
      <c r="P464" s="427"/>
    </row>
    <row r="465" spans="13:16">
      <c r="M465" s="30"/>
      <c r="N465" s="30"/>
      <c r="O465" s="427"/>
      <c r="P465" s="427"/>
    </row>
    <row r="466" spans="13:16">
      <c r="M466" s="30"/>
      <c r="N466" s="30"/>
      <c r="O466" s="427"/>
      <c r="P466" s="427"/>
    </row>
    <row r="467" spans="13:16">
      <c r="M467" s="30"/>
      <c r="N467" s="30"/>
      <c r="O467" s="427"/>
      <c r="P467" s="427"/>
    </row>
    <row r="468" spans="13:16">
      <c r="M468" s="30"/>
      <c r="N468" s="30"/>
      <c r="O468" s="427"/>
      <c r="P468" s="427"/>
    </row>
    <row r="469" spans="13:16">
      <c r="M469" s="30"/>
      <c r="N469" s="30"/>
      <c r="O469" s="427"/>
      <c r="P469" s="427"/>
    </row>
    <row r="470" spans="13:16">
      <c r="M470" s="30"/>
      <c r="N470" s="30"/>
      <c r="O470" s="427"/>
      <c r="P470" s="427"/>
    </row>
    <row r="471" spans="13:16">
      <c r="M471" s="30"/>
      <c r="N471" s="30"/>
      <c r="O471" s="427"/>
      <c r="P471" s="427"/>
    </row>
    <row r="472" spans="13:16">
      <c r="M472" s="30"/>
      <c r="N472" s="30"/>
      <c r="O472" s="427"/>
      <c r="P472" s="427"/>
    </row>
    <row r="473" spans="13:16">
      <c r="M473" s="30"/>
      <c r="N473" s="30"/>
      <c r="O473" s="427"/>
      <c r="P473" s="427"/>
    </row>
    <row r="474" spans="13:16">
      <c r="M474" s="30"/>
      <c r="N474" s="30"/>
      <c r="O474" s="427"/>
      <c r="P474" s="427"/>
    </row>
    <row r="475" spans="13:16">
      <c r="M475" s="30"/>
      <c r="N475" s="30"/>
      <c r="O475" s="427"/>
      <c r="P475" s="427"/>
    </row>
    <row r="476" spans="13:16">
      <c r="M476" s="30"/>
      <c r="N476" s="30"/>
      <c r="O476" s="427"/>
      <c r="P476" s="427"/>
    </row>
    <row r="477" spans="13:16">
      <c r="M477" s="30"/>
      <c r="N477" s="30"/>
      <c r="O477" s="427"/>
      <c r="P477" s="427"/>
    </row>
    <row r="478" spans="13:16">
      <c r="M478" s="30"/>
      <c r="N478" s="30"/>
      <c r="O478" s="427"/>
      <c r="P478" s="427"/>
    </row>
    <row r="479" spans="13:16">
      <c r="M479" s="30"/>
      <c r="N479" s="30"/>
      <c r="O479" s="427"/>
      <c r="P479" s="427"/>
    </row>
    <row r="480" spans="13:16">
      <c r="M480" s="30"/>
      <c r="N480" s="30"/>
      <c r="O480" s="427"/>
      <c r="P480" s="427"/>
    </row>
    <row r="481" spans="13:16">
      <c r="M481" s="30"/>
      <c r="N481" s="30"/>
      <c r="O481" s="427"/>
      <c r="P481" s="427"/>
    </row>
    <row r="482" spans="13:16">
      <c r="M482" s="30"/>
      <c r="N482" s="30"/>
      <c r="O482" s="427"/>
      <c r="P482" s="427"/>
    </row>
    <row r="483" spans="13:16">
      <c r="M483" s="30"/>
      <c r="N483" s="30"/>
      <c r="O483" s="427"/>
      <c r="P483" s="427"/>
    </row>
    <row r="484" spans="13:16">
      <c r="M484" s="30"/>
      <c r="N484" s="30"/>
      <c r="O484" s="427"/>
      <c r="P484" s="427"/>
    </row>
    <row r="485" spans="13:16">
      <c r="M485" s="30"/>
      <c r="N485" s="30"/>
      <c r="O485" s="427"/>
      <c r="P485" s="427"/>
    </row>
    <row r="486" spans="13:16">
      <c r="M486" s="30"/>
      <c r="N486" s="30"/>
      <c r="O486" s="427"/>
      <c r="P486" s="427"/>
    </row>
    <row r="487" spans="13:16">
      <c r="M487" s="30"/>
      <c r="N487" s="30"/>
      <c r="O487" s="427"/>
      <c r="P487" s="427"/>
    </row>
    <row r="488" spans="13:16">
      <c r="M488" s="30"/>
      <c r="N488" s="30"/>
      <c r="O488" s="427"/>
      <c r="P488" s="427"/>
    </row>
    <row r="489" spans="13:16">
      <c r="M489" s="30"/>
      <c r="N489" s="30"/>
      <c r="O489" s="427"/>
      <c r="P489" s="427"/>
    </row>
    <row r="490" spans="13:16">
      <c r="M490" s="30"/>
      <c r="N490" s="30"/>
      <c r="O490" s="427"/>
      <c r="P490" s="427"/>
    </row>
    <row r="491" spans="13:16">
      <c r="M491" s="30"/>
      <c r="N491" s="30"/>
      <c r="O491" s="427"/>
      <c r="P491" s="427"/>
    </row>
    <row r="492" spans="13:16">
      <c r="M492" s="30"/>
      <c r="N492" s="30"/>
      <c r="O492" s="427"/>
      <c r="P492" s="427"/>
    </row>
    <row r="493" spans="13:16">
      <c r="M493" s="30"/>
      <c r="N493" s="30"/>
      <c r="O493" s="427"/>
      <c r="P493" s="427"/>
    </row>
    <row r="494" spans="13:16">
      <c r="M494" s="30"/>
      <c r="N494" s="30"/>
      <c r="O494" s="427"/>
      <c r="P494" s="427"/>
    </row>
    <row r="495" spans="13:16">
      <c r="M495" s="30"/>
      <c r="N495" s="30"/>
      <c r="O495" s="427"/>
      <c r="P495" s="427"/>
    </row>
    <row r="496" spans="13:16">
      <c r="M496" s="30"/>
      <c r="N496" s="30"/>
      <c r="O496" s="427"/>
      <c r="P496" s="427"/>
    </row>
    <row r="497" spans="13:16">
      <c r="M497" s="30"/>
      <c r="N497" s="30"/>
      <c r="O497" s="427"/>
      <c r="P497" s="427"/>
    </row>
    <row r="498" spans="13:16">
      <c r="M498" s="30"/>
      <c r="N498" s="30"/>
      <c r="O498" s="427"/>
      <c r="P498" s="427"/>
    </row>
    <row r="499" spans="13:16">
      <c r="M499" s="30"/>
      <c r="N499" s="30"/>
      <c r="O499" s="427"/>
      <c r="P499" s="427"/>
    </row>
    <row r="500" spans="13:16">
      <c r="M500" s="30"/>
      <c r="N500" s="30"/>
      <c r="O500" s="427"/>
      <c r="P500" s="427"/>
    </row>
    <row r="501" spans="13:16">
      <c r="M501" s="30"/>
      <c r="N501" s="30"/>
      <c r="O501" s="427"/>
      <c r="P501" s="427"/>
    </row>
    <row r="502" spans="13:16">
      <c r="M502" s="30"/>
      <c r="N502" s="30"/>
      <c r="O502" s="427"/>
      <c r="P502" s="427"/>
    </row>
    <row r="503" spans="13:16">
      <c r="M503" s="30"/>
      <c r="N503" s="30"/>
      <c r="O503" s="427"/>
      <c r="P503" s="427"/>
    </row>
    <row r="504" spans="13:16">
      <c r="M504" s="30"/>
      <c r="N504" s="30"/>
      <c r="O504" s="427"/>
      <c r="P504" s="427"/>
    </row>
    <row r="505" spans="13:16">
      <c r="M505" s="30"/>
      <c r="N505" s="30"/>
      <c r="O505" s="427"/>
      <c r="P505" s="427"/>
    </row>
    <row r="506" spans="13:16">
      <c r="M506" s="30"/>
      <c r="N506" s="30"/>
      <c r="O506" s="427"/>
      <c r="P506" s="427"/>
    </row>
    <row r="507" spans="13:16">
      <c r="M507" s="30"/>
      <c r="N507" s="30"/>
      <c r="O507" s="427"/>
      <c r="P507" s="427"/>
    </row>
    <row r="508" spans="13:16">
      <c r="M508" s="30"/>
      <c r="N508" s="30"/>
      <c r="O508" s="427"/>
      <c r="P508" s="427"/>
    </row>
    <row r="509" spans="13:16">
      <c r="M509" s="30"/>
      <c r="N509" s="30"/>
      <c r="O509" s="427"/>
      <c r="P509" s="427"/>
    </row>
    <row r="510" spans="13:16">
      <c r="M510" s="30"/>
      <c r="N510" s="30"/>
      <c r="O510" s="427"/>
      <c r="P510" s="427"/>
    </row>
    <row r="511" spans="13:16">
      <c r="M511" s="30"/>
      <c r="N511" s="30"/>
      <c r="O511" s="427"/>
      <c r="P511" s="427"/>
    </row>
    <row r="512" spans="13:16">
      <c r="M512" s="30"/>
      <c r="N512" s="30"/>
      <c r="O512" s="427"/>
      <c r="P512" s="427"/>
    </row>
    <row r="513" spans="13:16">
      <c r="M513" s="30"/>
      <c r="N513" s="30"/>
      <c r="O513" s="427"/>
      <c r="P513" s="427"/>
    </row>
    <row r="514" spans="13:16">
      <c r="M514" s="30"/>
      <c r="N514" s="30"/>
      <c r="O514" s="427"/>
      <c r="P514" s="427"/>
    </row>
    <row r="515" spans="13:16">
      <c r="M515" s="30"/>
      <c r="N515" s="30"/>
      <c r="O515" s="427"/>
      <c r="P515" s="427"/>
    </row>
    <row r="516" spans="13:16">
      <c r="M516" s="30"/>
      <c r="N516" s="30"/>
      <c r="O516" s="427"/>
      <c r="P516" s="427"/>
    </row>
    <row r="517" spans="13:16">
      <c r="M517" s="30"/>
      <c r="N517" s="30"/>
      <c r="O517" s="427"/>
      <c r="P517" s="427"/>
    </row>
    <row r="518" spans="13:16">
      <c r="M518" s="30"/>
      <c r="N518" s="30"/>
      <c r="O518" s="427"/>
      <c r="P518" s="427"/>
    </row>
    <row r="519" spans="13:16">
      <c r="M519" s="30"/>
      <c r="N519" s="30"/>
      <c r="O519" s="427"/>
      <c r="P519" s="427"/>
    </row>
    <row r="520" spans="13:16">
      <c r="M520" s="30"/>
      <c r="N520" s="30"/>
      <c r="O520" s="427"/>
      <c r="P520" s="427"/>
    </row>
    <row r="521" spans="13:16">
      <c r="M521" s="30"/>
      <c r="N521" s="30"/>
      <c r="O521" s="427"/>
      <c r="P521" s="427"/>
    </row>
    <row r="522" spans="13:16">
      <c r="M522" s="30"/>
      <c r="N522" s="30"/>
      <c r="O522" s="427"/>
      <c r="P522" s="427"/>
    </row>
    <row r="523" spans="13:16">
      <c r="M523" s="30"/>
      <c r="N523" s="30"/>
      <c r="O523" s="427"/>
      <c r="P523" s="427"/>
    </row>
    <row r="524" spans="13:16">
      <c r="M524" s="30"/>
      <c r="N524" s="30"/>
      <c r="O524" s="427"/>
      <c r="P524" s="427"/>
    </row>
    <row r="525" spans="13:16">
      <c r="M525" s="30"/>
      <c r="N525" s="30"/>
      <c r="O525" s="427"/>
      <c r="P525" s="427"/>
    </row>
    <row r="526" spans="13:16">
      <c r="M526" s="30"/>
      <c r="N526" s="30"/>
      <c r="O526" s="427"/>
      <c r="P526" s="427"/>
    </row>
    <row r="527" spans="13:16">
      <c r="M527" s="30"/>
      <c r="N527" s="30"/>
      <c r="O527" s="427"/>
      <c r="P527" s="427"/>
    </row>
    <row r="528" spans="13:16">
      <c r="M528" s="30"/>
      <c r="N528" s="30"/>
      <c r="O528" s="427"/>
      <c r="P528" s="427"/>
    </row>
    <row r="529" spans="13:16">
      <c r="M529" s="30"/>
      <c r="N529" s="30"/>
      <c r="O529" s="427"/>
      <c r="P529" s="427"/>
    </row>
    <row r="530" spans="13:16">
      <c r="M530" s="30"/>
      <c r="N530" s="30"/>
      <c r="O530" s="427"/>
      <c r="P530" s="427"/>
    </row>
    <row r="531" spans="13:16">
      <c r="M531" s="30"/>
      <c r="N531" s="30"/>
      <c r="O531" s="427"/>
      <c r="P531" s="427"/>
    </row>
    <row r="532" spans="13:16">
      <c r="M532" s="30"/>
      <c r="N532" s="30"/>
      <c r="O532" s="427"/>
      <c r="P532" s="427"/>
    </row>
    <row r="533" spans="13:16">
      <c r="M533" s="30"/>
      <c r="N533" s="30"/>
      <c r="O533" s="427"/>
      <c r="P533" s="427"/>
    </row>
    <row r="534" spans="13:16">
      <c r="M534" s="30"/>
      <c r="N534" s="30"/>
      <c r="O534" s="427"/>
      <c r="P534" s="427"/>
    </row>
    <row r="535" spans="13:16">
      <c r="M535" s="30"/>
      <c r="N535" s="30"/>
      <c r="O535" s="427"/>
      <c r="P535" s="427"/>
    </row>
    <row r="536" spans="13:16">
      <c r="M536" s="30"/>
      <c r="N536" s="30"/>
      <c r="O536" s="427"/>
      <c r="P536" s="427"/>
    </row>
    <row r="537" spans="13:16">
      <c r="M537" s="30"/>
      <c r="N537" s="30"/>
      <c r="O537" s="427"/>
      <c r="P537" s="427"/>
    </row>
    <row r="538" spans="13:16">
      <c r="M538" s="30"/>
      <c r="N538" s="30"/>
      <c r="O538" s="427"/>
      <c r="P538" s="427"/>
    </row>
    <row r="539" spans="13:16">
      <c r="M539" s="30"/>
      <c r="N539" s="30"/>
      <c r="O539" s="427"/>
      <c r="P539" s="427"/>
    </row>
    <row r="540" spans="13:16">
      <c r="M540" s="30"/>
      <c r="N540" s="30"/>
      <c r="O540" s="427"/>
      <c r="P540" s="427"/>
    </row>
    <row r="541" spans="13:16">
      <c r="M541" s="30"/>
      <c r="N541" s="30"/>
      <c r="O541" s="427"/>
      <c r="P541" s="427"/>
    </row>
    <row r="542" spans="13:16">
      <c r="M542" s="30"/>
      <c r="N542" s="30"/>
      <c r="O542" s="427"/>
      <c r="P542" s="427"/>
    </row>
    <row r="543" spans="13:16">
      <c r="M543" s="30"/>
      <c r="N543" s="30"/>
      <c r="O543" s="427"/>
      <c r="P543" s="427"/>
    </row>
    <row r="544" spans="13:16">
      <c r="M544" s="30"/>
      <c r="N544" s="30"/>
      <c r="O544" s="427"/>
      <c r="P544" s="427"/>
    </row>
    <row r="545" spans="13:16">
      <c r="M545" s="30"/>
      <c r="N545" s="30"/>
      <c r="O545" s="427"/>
      <c r="P545" s="427"/>
    </row>
    <row r="546" spans="13:16">
      <c r="M546" s="30"/>
      <c r="N546" s="30"/>
      <c r="O546" s="427"/>
      <c r="P546" s="427"/>
    </row>
    <row r="547" spans="13:16">
      <c r="M547" s="30"/>
      <c r="N547" s="30"/>
      <c r="O547" s="427"/>
      <c r="P547" s="427"/>
    </row>
    <row r="548" spans="13:16">
      <c r="M548" s="30"/>
      <c r="N548" s="30"/>
      <c r="O548" s="427"/>
      <c r="P548" s="427"/>
    </row>
    <row r="549" spans="13:16">
      <c r="M549" s="30"/>
      <c r="N549" s="30"/>
      <c r="O549" s="427"/>
      <c r="P549" s="427"/>
    </row>
    <row r="550" spans="13:16">
      <c r="M550" s="30"/>
      <c r="N550" s="30"/>
      <c r="O550" s="427"/>
      <c r="P550" s="427"/>
    </row>
    <row r="551" spans="13:16">
      <c r="M551" s="30"/>
      <c r="N551" s="30"/>
      <c r="O551" s="427"/>
      <c r="P551" s="427"/>
    </row>
    <row r="552" spans="13:16">
      <c r="M552" s="30"/>
      <c r="N552" s="30"/>
      <c r="O552" s="427"/>
      <c r="P552" s="427"/>
    </row>
    <row r="553" spans="13:16">
      <c r="M553" s="30"/>
      <c r="N553" s="30"/>
      <c r="O553" s="427"/>
      <c r="P553" s="427"/>
    </row>
    <row r="554" spans="13:16">
      <c r="M554" s="30"/>
      <c r="N554" s="30"/>
      <c r="O554" s="427"/>
      <c r="P554" s="427"/>
    </row>
    <row r="555" spans="13:16">
      <c r="M555" s="30"/>
      <c r="N555" s="30"/>
      <c r="O555" s="427"/>
      <c r="P555" s="427"/>
    </row>
    <row r="556" spans="13:16">
      <c r="M556" s="30"/>
      <c r="N556" s="30"/>
      <c r="O556" s="427"/>
      <c r="P556" s="427"/>
    </row>
    <row r="557" spans="13:16">
      <c r="M557" s="30"/>
      <c r="N557" s="30"/>
      <c r="O557" s="427"/>
      <c r="P557" s="427"/>
    </row>
    <row r="558" spans="13:16">
      <c r="M558" s="30"/>
      <c r="N558" s="30"/>
      <c r="O558" s="427"/>
      <c r="P558" s="427"/>
    </row>
    <row r="559" spans="13:16">
      <c r="M559" s="30"/>
      <c r="N559" s="30"/>
      <c r="O559" s="427"/>
      <c r="P559" s="427"/>
    </row>
    <row r="560" spans="13:16">
      <c r="M560" s="30"/>
      <c r="N560" s="30"/>
      <c r="O560" s="427"/>
      <c r="P560" s="427"/>
    </row>
    <row r="561" spans="13:16">
      <c r="M561" s="30"/>
      <c r="N561" s="30"/>
      <c r="O561" s="427"/>
      <c r="P561" s="427"/>
    </row>
    <row r="562" spans="13:16">
      <c r="M562" s="30"/>
      <c r="N562" s="30"/>
      <c r="O562" s="427"/>
      <c r="P562" s="427"/>
    </row>
    <row r="563" spans="13:16">
      <c r="M563" s="30"/>
      <c r="N563" s="30"/>
      <c r="O563" s="427"/>
      <c r="P563" s="427"/>
    </row>
    <row r="564" spans="13:16">
      <c r="M564" s="30"/>
      <c r="N564" s="30"/>
      <c r="O564" s="427"/>
      <c r="P564" s="427"/>
    </row>
    <row r="565" spans="13:16">
      <c r="M565" s="30"/>
      <c r="N565" s="30"/>
      <c r="O565" s="427"/>
      <c r="P565" s="427"/>
    </row>
    <row r="566" spans="13:16">
      <c r="M566" s="30"/>
      <c r="N566" s="30"/>
      <c r="O566" s="427"/>
      <c r="P566" s="427"/>
    </row>
    <row r="567" spans="13:16">
      <c r="M567" s="30"/>
      <c r="N567" s="30"/>
      <c r="O567" s="427"/>
      <c r="P567" s="427"/>
    </row>
    <row r="568" spans="13:16">
      <c r="M568" s="30"/>
      <c r="N568" s="30"/>
      <c r="O568" s="427"/>
      <c r="P568" s="427"/>
    </row>
    <row r="569" spans="13:16">
      <c r="M569" s="30"/>
      <c r="N569" s="30"/>
      <c r="O569" s="427"/>
      <c r="P569" s="427"/>
    </row>
    <row r="570" spans="13:16">
      <c r="M570" s="30"/>
      <c r="N570" s="30"/>
      <c r="O570" s="427"/>
      <c r="P570" s="427"/>
    </row>
    <row r="571" spans="13:16">
      <c r="M571" s="30"/>
      <c r="N571" s="30"/>
      <c r="O571" s="427"/>
      <c r="P571" s="427"/>
    </row>
    <row r="572" spans="13:16">
      <c r="M572" s="30"/>
      <c r="N572" s="30"/>
      <c r="O572" s="427"/>
      <c r="P572" s="427"/>
    </row>
    <row r="573" spans="13:16">
      <c r="M573" s="30"/>
      <c r="N573" s="30"/>
      <c r="O573" s="427"/>
      <c r="P573" s="427"/>
    </row>
    <row r="574" spans="13:16">
      <c r="M574" s="30"/>
      <c r="N574" s="30"/>
      <c r="O574" s="427"/>
      <c r="P574" s="427"/>
    </row>
    <row r="575" spans="13:16">
      <c r="M575" s="30"/>
      <c r="N575" s="30"/>
      <c r="O575" s="427"/>
      <c r="P575" s="427"/>
    </row>
    <row r="576" spans="13:16">
      <c r="M576" s="30"/>
      <c r="N576" s="30"/>
      <c r="O576" s="427"/>
      <c r="P576" s="427"/>
    </row>
    <row r="577" spans="13:16">
      <c r="M577" s="30"/>
      <c r="N577" s="30"/>
      <c r="O577" s="427"/>
      <c r="P577" s="427"/>
    </row>
    <row r="578" spans="13:16">
      <c r="M578" s="30"/>
      <c r="N578" s="30"/>
      <c r="O578" s="427"/>
      <c r="P578" s="427"/>
    </row>
    <row r="579" spans="13:16">
      <c r="M579" s="30"/>
      <c r="N579" s="30"/>
      <c r="O579" s="427"/>
      <c r="P579" s="427"/>
    </row>
    <row r="580" spans="13:16">
      <c r="M580" s="30"/>
      <c r="N580" s="30"/>
      <c r="O580" s="427"/>
      <c r="P580" s="427"/>
    </row>
    <row r="581" spans="13:16">
      <c r="M581" s="30"/>
      <c r="N581" s="30"/>
      <c r="O581" s="427"/>
      <c r="P581" s="427"/>
    </row>
    <row r="582" spans="13:16">
      <c r="M582" s="30"/>
      <c r="N582" s="30"/>
      <c r="O582" s="427"/>
      <c r="P582" s="427"/>
    </row>
    <row r="583" spans="13:16">
      <c r="M583" s="30"/>
      <c r="N583" s="30"/>
      <c r="O583" s="427"/>
      <c r="P583" s="427"/>
    </row>
    <row r="584" spans="13:16">
      <c r="M584" s="30"/>
      <c r="N584" s="30"/>
      <c r="O584" s="427"/>
      <c r="P584" s="427"/>
    </row>
    <row r="585" spans="13:16">
      <c r="M585" s="30"/>
      <c r="N585" s="30"/>
      <c r="O585" s="427"/>
      <c r="P585" s="427"/>
    </row>
    <row r="586" spans="13:16">
      <c r="M586" s="30"/>
      <c r="N586" s="30"/>
      <c r="O586" s="427"/>
      <c r="P586" s="427"/>
    </row>
    <row r="587" spans="13:16">
      <c r="M587" s="30"/>
      <c r="N587" s="30"/>
      <c r="O587" s="427"/>
      <c r="P587" s="427"/>
    </row>
    <row r="588" spans="13:16">
      <c r="M588" s="30"/>
      <c r="N588" s="30"/>
      <c r="O588" s="427"/>
      <c r="P588" s="427"/>
    </row>
    <row r="589" spans="13:16">
      <c r="M589" s="30"/>
      <c r="N589" s="30"/>
      <c r="O589" s="427"/>
      <c r="P589" s="427"/>
    </row>
    <row r="590" spans="13:16">
      <c r="M590" s="30"/>
      <c r="N590" s="30"/>
      <c r="O590" s="427"/>
      <c r="P590" s="427"/>
    </row>
    <row r="591" spans="13:16">
      <c r="M591" s="30"/>
      <c r="N591" s="30"/>
      <c r="O591" s="427"/>
      <c r="P591" s="427"/>
    </row>
    <row r="592" spans="13:16">
      <c r="M592" s="30"/>
      <c r="N592" s="30"/>
      <c r="O592" s="427"/>
      <c r="P592" s="427"/>
    </row>
    <row r="593" spans="13:16">
      <c r="M593" s="30"/>
      <c r="N593" s="30"/>
      <c r="O593" s="427"/>
      <c r="P593" s="427"/>
    </row>
    <row r="594" spans="13:16">
      <c r="M594" s="30"/>
      <c r="N594" s="30"/>
      <c r="O594" s="427"/>
      <c r="P594" s="427"/>
    </row>
    <row r="595" spans="13:16">
      <c r="M595" s="30"/>
      <c r="N595" s="30"/>
      <c r="O595" s="427"/>
      <c r="P595" s="427"/>
    </row>
    <row r="596" spans="13:16">
      <c r="M596" s="30"/>
      <c r="N596" s="30"/>
      <c r="O596" s="427"/>
      <c r="P596" s="427"/>
    </row>
    <row r="597" spans="13:16">
      <c r="M597" s="30"/>
      <c r="N597" s="30"/>
      <c r="O597" s="427"/>
      <c r="P597" s="427"/>
    </row>
    <row r="598" spans="13:16">
      <c r="M598" s="30"/>
      <c r="N598" s="30"/>
      <c r="O598" s="427"/>
      <c r="P598" s="427"/>
    </row>
    <row r="599" spans="13:16">
      <c r="M599" s="30"/>
      <c r="N599" s="30"/>
      <c r="O599" s="427"/>
      <c r="P599" s="427"/>
    </row>
    <row r="600" spans="13:16">
      <c r="M600" s="30"/>
      <c r="N600" s="30"/>
      <c r="O600" s="427"/>
      <c r="P600" s="427"/>
    </row>
    <row r="601" spans="13:16">
      <c r="M601" s="30"/>
      <c r="N601" s="30"/>
      <c r="O601" s="427"/>
      <c r="P601" s="427"/>
    </row>
    <row r="602" spans="13:16">
      <c r="M602" s="30"/>
      <c r="N602" s="30"/>
      <c r="O602" s="427"/>
      <c r="P602" s="427"/>
    </row>
    <row r="603" spans="13:16">
      <c r="M603" s="30"/>
      <c r="N603" s="30"/>
      <c r="O603" s="427"/>
      <c r="P603" s="427"/>
    </row>
    <row r="604" spans="13:16">
      <c r="M604" s="30"/>
      <c r="N604" s="30"/>
      <c r="O604" s="427"/>
      <c r="P604" s="427"/>
    </row>
    <row r="605" spans="13:16">
      <c r="M605" s="30"/>
      <c r="N605" s="30"/>
      <c r="O605" s="427"/>
      <c r="P605" s="427"/>
    </row>
    <row r="606" spans="13:16">
      <c r="M606" s="30"/>
      <c r="N606" s="30"/>
      <c r="O606" s="427"/>
      <c r="P606" s="427"/>
    </row>
    <row r="607" spans="13:16">
      <c r="M607" s="30"/>
      <c r="N607" s="30"/>
      <c r="O607" s="427"/>
      <c r="P607" s="427"/>
    </row>
    <row r="608" spans="13:16">
      <c r="M608" s="30"/>
      <c r="N608" s="30"/>
      <c r="O608" s="427"/>
      <c r="P608" s="427"/>
    </row>
    <row r="609" spans="13:16">
      <c r="M609" s="30"/>
      <c r="N609" s="30"/>
      <c r="O609" s="427"/>
      <c r="P609" s="427"/>
    </row>
    <row r="610" spans="13:16">
      <c r="M610" s="30"/>
      <c r="N610" s="30"/>
      <c r="O610" s="427"/>
      <c r="P610" s="427"/>
    </row>
    <row r="611" spans="13:16">
      <c r="M611" s="30"/>
      <c r="N611" s="30"/>
      <c r="O611" s="427"/>
      <c r="P611" s="427"/>
    </row>
    <row r="612" spans="13:16">
      <c r="M612" s="30"/>
      <c r="N612" s="30"/>
      <c r="O612" s="427"/>
      <c r="P612" s="427"/>
    </row>
    <row r="613" spans="13:16">
      <c r="M613" s="30"/>
      <c r="N613" s="30"/>
      <c r="O613" s="427"/>
      <c r="P613" s="427"/>
    </row>
    <row r="614" spans="13:16">
      <c r="M614" s="30"/>
      <c r="N614" s="30"/>
      <c r="O614" s="427"/>
      <c r="P614" s="427"/>
    </row>
    <row r="615" spans="13:16">
      <c r="M615" s="30"/>
      <c r="N615" s="30"/>
      <c r="O615" s="427"/>
      <c r="P615" s="427"/>
    </row>
    <row r="616" spans="13:16">
      <c r="M616" s="30"/>
      <c r="N616" s="30"/>
      <c r="O616" s="427"/>
      <c r="P616" s="427"/>
    </row>
    <row r="617" spans="13:16">
      <c r="M617" s="30"/>
      <c r="N617" s="30"/>
      <c r="O617" s="427"/>
      <c r="P617" s="427"/>
    </row>
    <row r="618" spans="13:16">
      <c r="M618" s="30"/>
      <c r="N618" s="30"/>
      <c r="O618" s="427"/>
      <c r="P618" s="427"/>
    </row>
    <row r="619" spans="13:16">
      <c r="M619" s="30"/>
      <c r="N619" s="30"/>
      <c r="O619" s="427"/>
      <c r="P619" s="427"/>
    </row>
    <row r="620" spans="13:16">
      <c r="M620" s="30"/>
      <c r="N620" s="30"/>
      <c r="O620" s="427"/>
      <c r="P620" s="427"/>
    </row>
    <row r="621" spans="13:16">
      <c r="M621" s="30"/>
      <c r="N621" s="30"/>
      <c r="O621" s="427"/>
      <c r="P621" s="427"/>
    </row>
    <row r="622" spans="13:16">
      <c r="M622" s="30"/>
      <c r="N622" s="30"/>
      <c r="O622" s="427"/>
      <c r="P622" s="427"/>
    </row>
    <row r="623" spans="13:16">
      <c r="M623" s="30"/>
      <c r="N623" s="30"/>
      <c r="O623" s="427"/>
      <c r="P623" s="427"/>
    </row>
    <row r="624" spans="13:16">
      <c r="M624" s="30"/>
      <c r="N624" s="30"/>
      <c r="O624" s="427"/>
      <c r="P624" s="427"/>
    </row>
    <row r="625" spans="13:16">
      <c r="M625" s="30"/>
      <c r="N625" s="30"/>
      <c r="O625" s="427"/>
      <c r="P625" s="427"/>
    </row>
    <row r="626" spans="13:16">
      <c r="M626" s="30"/>
      <c r="N626" s="30"/>
      <c r="O626" s="427"/>
      <c r="P626" s="427"/>
    </row>
    <row r="627" spans="13:16">
      <c r="M627" s="30"/>
      <c r="N627" s="30"/>
      <c r="O627" s="427"/>
      <c r="P627" s="427"/>
    </row>
    <row r="628" spans="13:16">
      <c r="M628" s="30"/>
      <c r="N628" s="30"/>
      <c r="O628" s="427"/>
      <c r="P628" s="427"/>
    </row>
    <row r="629" spans="13:16">
      <c r="M629" s="30"/>
      <c r="N629" s="30"/>
      <c r="O629" s="427"/>
      <c r="P629" s="427"/>
    </row>
    <row r="630" spans="13:16">
      <c r="M630" s="30"/>
      <c r="N630" s="30"/>
      <c r="O630" s="427"/>
      <c r="P630" s="427"/>
    </row>
    <row r="631" spans="13:16">
      <c r="M631" s="30"/>
      <c r="N631" s="30"/>
      <c r="O631" s="427"/>
      <c r="P631" s="427"/>
    </row>
    <row r="632" spans="13:16">
      <c r="M632" s="30"/>
      <c r="N632" s="30"/>
      <c r="O632" s="427"/>
      <c r="P632" s="427"/>
    </row>
    <row r="633" spans="13:16">
      <c r="M633" s="30"/>
      <c r="N633" s="30"/>
      <c r="O633" s="427"/>
      <c r="P633" s="427"/>
    </row>
    <row r="634" spans="13:16">
      <c r="M634" s="30"/>
      <c r="N634" s="30"/>
      <c r="O634" s="427"/>
      <c r="P634" s="427"/>
    </row>
    <row r="635" spans="13:16">
      <c r="M635" s="30"/>
      <c r="N635" s="30"/>
      <c r="O635" s="427"/>
      <c r="P635" s="427"/>
    </row>
    <row r="636" spans="13:16">
      <c r="M636" s="30"/>
      <c r="N636" s="30"/>
      <c r="O636" s="427"/>
      <c r="P636" s="427"/>
    </row>
    <row r="637" spans="13:16">
      <c r="M637" s="30"/>
      <c r="N637" s="30"/>
      <c r="O637" s="427"/>
      <c r="P637" s="427"/>
    </row>
    <row r="638" spans="13:16">
      <c r="M638" s="30"/>
      <c r="N638" s="30"/>
      <c r="O638" s="427"/>
      <c r="P638" s="427"/>
    </row>
    <row r="639" spans="13:16">
      <c r="M639" s="30"/>
      <c r="N639" s="30"/>
      <c r="O639" s="427"/>
      <c r="P639" s="427"/>
    </row>
    <row r="640" spans="13:16">
      <c r="M640" s="30"/>
      <c r="N640" s="30"/>
      <c r="O640" s="427"/>
      <c r="P640" s="427"/>
    </row>
    <row r="641" spans="13:16">
      <c r="M641" s="30"/>
      <c r="N641" s="30"/>
      <c r="O641" s="427"/>
      <c r="P641" s="427"/>
    </row>
    <row r="642" spans="13:16">
      <c r="M642" s="30"/>
      <c r="N642" s="30"/>
      <c r="O642" s="427"/>
      <c r="P642" s="427"/>
    </row>
    <row r="643" spans="13:16">
      <c r="M643" s="30"/>
      <c r="N643" s="30"/>
      <c r="O643" s="427"/>
      <c r="P643" s="427"/>
    </row>
    <row r="644" spans="13:16">
      <c r="M644" s="30"/>
      <c r="N644" s="30"/>
      <c r="O644" s="427"/>
      <c r="P644" s="427"/>
    </row>
    <row r="645" spans="13:16">
      <c r="M645" s="30"/>
      <c r="N645" s="30"/>
      <c r="O645" s="427"/>
      <c r="P645" s="427"/>
    </row>
    <row r="646" spans="13:16">
      <c r="M646" s="30"/>
      <c r="N646" s="30"/>
      <c r="O646" s="427"/>
      <c r="P646" s="427"/>
    </row>
    <row r="647" spans="13:16">
      <c r="M647" s="30"/>
      <c r="N647" s="30"/>
      <c r="O647" s="427"/>
      <c r="P647" s="427"/>
    </row>
    <row r="648" spans="13:16">
      <c r="M648" s="30"/>
      <c r="N648" s="30"/>
      <c r="O648" s="427"/>
      <c r="P648" s="427"/>
    </row>
    <row r="649" spans="13:16">
      <c r="M649" s="30"/>
      <c r="N649" s="30"/>
      <c r="O649" s="427"/>
      <c r="P649" s="427"/>
    </row>
    <row r="650" spans="13:16">
      <c r="M650" s="30"/>
      <c r="N650" s="30"/>
      <c r="O650" s="427"/>
      <c r="P650" s="427"/>
    </row>
    <row r="651" spans="13:16">
      <c r="M651" s="30"/>
      <c r="N651" s="30"/>
      <c r="O651" s="427"/>
      <c r="P651" s="427"/>
    </row>
    <row r="652" spans="13:16">
      <c r="M652" s="30"/>
      <c r="N652" s="30"/>
      <c r="O652" s="427"/>
      <c r="P652" s="427"/>
    </row>
    <row r="653" spans="13:16">
      <c r="M653" s="30"/>
      <c r="N653" s="30"/>
      <c r="O653" s="427"/>
      <c r="P653" s="427"/>
    </row>
    <row r="654" spans="13:16">
      <c r="M654" s="30"/>
      <c r="N654" s="30"/>
      <c r="O654" s="427"/>
      <c r="P654" s="427"/>
    </row>
    <row r="655" spans="13:16">
      <c r="M655" s="30"/>
      <c r="N655" s="30"/>
      <c r="O655" s="427"/>
      <c r="P655" s="427"/>
    </row>
    <row r="656" spans="13:16">
      <c r="M656" s="30"/>
      <c r="N656" s="30"/>
      <c r="O656" s="427"/>
      <c r="P656" s="427"/>
    </row>
    <row r="657" spans="13:16">
      <c r="M657" s="30"/>
      <c r="N657" s="30"/>
      <c r="O657" s="427"/>
      <c r="P657" s="427"/>
    </row>
    <row r="658" spans="13:16">
      <c r="M658" s="30"/>
      <c r="N658" s="30"/>
      <c r="O658" s="427"/>
      <c r="P658" s="427"/>
    </row>
    <row r="659" spans="13:16">
      <c r="M659" s="30"/>
      <c r="N659" s="30"/>
      <c r="O659" s="427"/>
      <c r="P659" s="427"/>
    </row>
    <row r="660" spans="13:16">
      <c r="M660" s="30"/>
      <c r="N660" s="30"/>
      <c r="O660" s="427"/>
      <c r="P660" s="427"/>
    </row>
    <row r="661" spans="13:16">
      <c r="M661" s="30"/>
      <c r="N661" s="30"/>
      <c r="O661" s="427"/>
      <c r="P661" s="427"/>
    </row>
    <row r="662" spans="13:16">
      <c r="M662" s="30"/>
      <c r="N662" s="30"/>
      <c r="O662" s="427"/>
      <c r="P662" s="427"/>
    </row>
    <row r="663" spans="13:16">
      <c r="M663" s="30"/>
      <c r="N663" s="30"/>
      <c r="O663" s="427"/>
      <c r="P663" s="427"/>
    </row>
    <row r="664" spans="13:16">
      <c r="M664" s="30"/>
      <c r="N664" s="30"/>
      <c r="O664" s="427"/>
      <c r="P664" s="427"/>
    </row>
    <row r="665" spans="13:16">
      <c r="M665" s="30"/>
      <c r="N665" s="30"/>
      <c r="O665" s="427"/>
      <c r="P665" s="427"/>
    </row>
    <row r="666" spans="13:16">
      <c r="M666" s="30"/>
      <c r="N666" s="30"/>
      <c r="O666" s="427"/>
      <c r="P666" s="427"/>
    </row>
    <row r="667" spans="13:16">
      <c r="M667" s="30"/>
      <c r="N667" s="30"/>
      <c r="O667" s="427"/>
      <c r="P667" s="427"/>
    </row>
    <row r="668" spans="13:16">
      <c r="M668" s="30"/>
      <c r="N668" s="30"/>
      <c r="O668" s="427"/>
      <c r="P668" s="427"/>
    </row>
    <row r="669" spans="13:16">
      <c r="M669" s="30"/>
      <c r="N669" s="30"/>
      <c r="O669" s="427"/>
      <c r="P669" s="427"/>
    </row>
    <row r="670" spans="13:16">
      <c r="M670" s="30"/>
      <c r="N670" s="30"/>
      <c r="O670" s="427"/>
      <c r="P670" s="427"/>
    </row>
    <row r="671" spans="13:16">
      <c r="M671" s="30"/>
      <c r="N671" s="30"/>
      <c r="O671" s="427"/>
      <c r="P671" s="427"/>
    </row>
    <row r="672" spans="13:16">
      <c r="M672" s="30"/>
      <c r="N672" s="30"/>
      <c r="O672" s="427"/>
      <c r="P672" s="427"/>
    </row>
    <row r="673" spans="13:16">
      <c r="M673" s="30"/>
      <c r="N673" s="30"/>
      <c r="O673" s="427"/>
      <c r="P673" s="427"/>
    </row>
    <row r="674" spans="13:16">
      <c r="M674" s="30"/>
      <c r="N674" s="30"/>
      <c r="O674" s="427"/>
      <c r="P674" s="427"/>
    </row>
    <row r="675" spans="13:16">
      <c r="M675" s="30"/>
      <c r="N675" s="30"/>
      <c r="O675" s="427"/>
      <c r="P675" s="427"/>
    </row>
    <row r="676" spans="13:16">
      <c r="M676" s="30"/>
      <c r="N676" s="30"/>
      <c r="O676" s="427"/>
      <c r="P676" s="427"/>
    </row>
    <row r="677" spans="13:16">
      <c r="M677" s="30"/>
      <c r="N677" s="30"/>
      <c r="O677" s="427"/>
      <c r="P677" s="427"/>
    </row>
    <row r="678" spans="13:16">
      <c r="M678" s="30"/>
      <c r="N678" s="30"/>
      <c r="O678" s="427"/>
      <c r="P678" s="427"/>
    </row>
    <row r="679" spans="13:16">
      <c r="M679" s="30"/>
      <c r="N679" s="30"/>
      <c r="O679" s="427"/>
      <c r="P679" s="427"/>
    </row>
    <row r="680" spans="13:16">
      <c r="M680" s="30"/>
      <c r="N680" s="30"/>
      <c r="O680" s="427"/>
      <c r="P680" s="427"/>
    </row>
    <row r="681" spans="13:16">
      <c r="M681" s="30"/>
      <c r="N681" s="30"/>
      <c r="O681" s="427"/>
      <c r="P681" s="427"/>
    </row>
    <row r="682" spans="13:16">
      <c r="M682" s="30"/>
      <c r="N682" s="30"/>
      <c r="O682" s="427"/>
      <c r="P682" s="427"/>
    </row>
    <row r="683" spans="13:16">
      <c r="M683" s="30"/>
      <c r="N683" s="30"/>
      <c r="O683" s="427"/>
      <c r="P683" s="427"/>
    </row>
    <row r="684" spans="13:16">
      <c r="M684" s="30"/>
      <c r="N684" s="30"/>
      <c r="O684" s="427"/>
      <c r="P684" s="427"/>
    </row>
    <row r="685" spans="13:16">
      <c r="M685" s="30"/>
      <c r="N685" s="30"/>
      <c r="O685" s="427"/>
      <c r="P685" s="427"/>
    </row>
    <row r="686" spans="13:16">
      <c r="M686" s="30"/>
      <c r="N686" s="30"/>
      <c r="O686" s="427"/>
      <c r="P686" s="427"/>
    </row>
    <row r="687" spans="13:16">
      <c r="M687" s="30"/>
      <c r="N687" s="30"/>
      <c r="O687" s="427"/>
      <c r="P687" s="427"/>
    </row>
    <row r="688" spans="13:16">
      <c r="M688" s="30"/>
      <c r="N688" s="30"/>
      <c r="O688" s="427"/>
      <c r="P688" s="427"/>
    </row>
    <row r="689" spans="13:16">
      <c r="M689" s="30"/>
      <c r="N689" s="30"/>
      <c r="O689" s="427"/>
      <c r="P689" s="427"/>
    </row>
    <row r="690" spans="13:16">
      <c r="M690" s="30"/>
      <c r="N690" s="30"/>
      <c r="O690" s="427"/>
      <c r="P690" s="427"/>
    </row>
    <row r="691" spans="13:16">
      <c r="M691" s="30"/>
      <c r="N691" s="30"/>
      <c r="O691" s="427"/>
      <c r="P691" s="427"/>
    </row>
    <row r="692" spans="13:16">
      <c r="M692" s="30"/>
      <c r="N692" s="30"/>
      <c r="O692" s="427"/>
      <c r="P692" s="427"/>
    </row>
    <row r="693" spans="13:16">
      <c r="M693" s="30"/>
      <c r="N693" s="30"/>
      <c r="O693" s="427"/>
      <c r="P693" s="427"/>
    </row>
    <row r="694" spans="13:16">
      <c r="M694" s="30"/>
      <c r="N694" s="30"/>
      <c r="O694" s="427"/>
      <c r="P694" s="427"/>
    </row>
    <row r="695" spans="13:16">
      <c r="M695" s="30"/>
      <c r="N695" s="30"/>
      <c r="O695" s="427"/>
      <c r="P695" s="427"/>
    </row>
    <row r="696" spans="13:16">
      <c r="M696" s="30"/>
      <c r="N696" s="30"/>
      <c r="O696" s="427"/>
      <c r="P696" s="427"/>
    </row>
    <row r="697" spans="13:16">
      <c r="M697" s="30"/>
      <c r="N697" s="30"/>
      <c r="O697" s="427"/>
      <c r="P697" s="427"/>
    </row>
    <row r="698" spans="13:16">
      <c r="M698" s="30"/>
      <c r="N698" s="30"/>
      <c r="O698" s="427"/>
      <c r="P698" s="427"/>
    </row>
    <row r="699" spans="13:16">
      <c r="M699" s="30"/>
      <c r="N699" s="30"/>
      <c r="O699" s="427"/>
      <c r="P699" s="427"/>
    </row>
    <row r="700" spans="13:16">
      <c r="M700" s="30"/>
      <c r="N700" s="30"/>
      <c r="O700" s="427"/>
      <c r="P700" s="427"/>
    </row>
    <row r="701" spans="13:16">
      <c r="M701" s="30"/>
      <c r="N701" s="30"/>
      <c r="O701" s="427"/>
      <c r="P701" s="427"/>
    </row>
    <row r="702" spans="13:16">
      <c r="M702" s="30"/>
      <c r="N702" s="30"/>
      <c r="O702" s="427"/>
      <c r="P702" s="427"/>
    </row>
    <row r="703" spans="13:16">
      <c r="M703" s="30"/>
      <c r="N703" s="30"/>
      <c r="O703" s="427"/>
      <c r="P703" s="427"/>
    </row>
    <row r="704" spans="13:16">
      <c r="M704" s="30"/>
      <c r="N704" s="30"/>
      <c r="O704" s="427"/>
      <c r="P704" s="427"/>
    </row>
    <row r="705" spans="13:16">
      <c r="M705" s="30"/>
      <c r="N705" s="30"/>
      <c r="O705" s="427"/>
      <c r="P705" s="427"/>
    </row>
    <row r="706" spans="13:16">
      <c r="M706" s="30"/>
      <c r="N706" s="30"/>
      <c r="O706" s="427"/>
      <c r="P706" s="427"/>
    </row>
    <row r="707" spans="13:16">
      <c r="M707" s="30"/>
      <c r="N707" s="30"/>
      <c r="O707" s="427"/>
      <c r="P707" s="427"/>
    </row>
    <row r="708" spans="13:16">
      <c r="M708" s="30"/>
      <c r="N708" s="30"/>
      <c r="O708" s="427"/>
      <c r="P708" s="427"/>
    </row>
    <row r="709" spans="13:16">
      <c r="M709" s="30"/>
      <c r="N709" s="30"/>
      <c r="O709" s="427"/>
      <c r="P709" s="427"/>
    </row>
    <row r="710" spans="13:16">
      <c r="M710" s="30"/>
      <c r="N710" s="30"/>
      <c r="O710" s="427"/>
      <c r="P710" s="427"/>
    </row>
    <row r="711" spans="13:16">
      <c r="M711" s="30"/>
      <c r="N711" s="30"/>
      <c r="O711" s="427"/>
      <c r="P711" s="427"/>
    </row>
    <row r="712" spans="13:16">
      <c r="M712" s="30"/>
      <c r="N712" s="30"/>
      <c r="O712" s="427"/>
      <c r="P712" s="427"/>
    </row>
    <row r="713" spans="13:16">
      <c r="M713" s="30"/>
      <c r="N713" s="30"/>
      <c r="O713" s="427"/>
      <c r="P713" s="427"/>
    </row>
    <row r="714" spans="13:16">
      <c r="M714" s="30"/>
      <c r="N714" s="30"/>
      <c r="O714" s="427"/>
      <c r="P714" s="427"/>
    </row>
    <row r="715" spans="13:16">
      <c r="M715" s="30"/>
      <c r="N715" s="30"/>
      <c r="O715" s="427"/>
      <c r="P715" s="427"/>
    </row>
    <row r="716" spans="13:16">
      <c r="M716" s="30"/>
      <c r="N716" s="30"/>
      <c r="O716" s="427"/>
      <c r="P716" s="427"/>
    </row>
    <row r="717" spans="13:16">
      <c r="M717" s="30"/>
      <c r="N717" s="30"/>
      <c r="O717" s="427"/>
      <c r="P717" s="427"/>
    </row>
    <row r="718" spans="13:16">
      <c r="M718" s="30"/>
      <c r="N718" s="30"/>
      <c r="O718" s="427"/>
      <c r="P718" s="427"/>
    </row>
    <row r="719" spans="13:16">
      <c r="M719" s="30"/>
      <c r="N719" s="30"/>
      <c r="O719" s="427"/>
      <c r="P719" s="427"/>
    </row>
    <row r="720" spans="13:16">
      <c r="M720" s="30"/>
      <c r="N720" s="30"/>
      <c r="O720" s="427"/>
      <c r="P720" s="427"/>
    </row>
    <row r="721" spans="13:16">
      <c r="M721" s="30"/>
      <c r="N721" s="30"/>
      <c r="O721" s="427"/>
      <c r="P721" s="427"/>
    </row>
    <row r="722" spans="13:16">
      <c r="M722" s="30"/>
      <c r="N722" s="30"/>
      <c r="O722" s="427"/>
      <c r="P722" s="427"/>
    </row>
    <row r="723" spans="13:16">
      <c r="M723" s="30"/>
      <c r="N723" s="30"/>
      <c r="O723" s="427"/>
      <c r="P723" s="427"/>
    </row>
    <row r="724" spans="13:16">
      <c r="M724" s="30"/>
      <c r="N724" s="30"/>
      <c r="O724" s="427"/>
      <c r="P724" s="427"/>
    </row>
    <row r="725" spans="13:16">
      <c r="M725" s="30"/>
      <c r="N725" s="30"/>
      <c r="O725" s="427"/>
      <c r="P725" s="427"/>
    </row>
    <row r="726" spans="13:16">
      <c r="M726" s="30"/>
      <c r="N726" s="30"/>
      <c r="O726" s="427"/>
      <c r="P726" s="427"/>
    </row>
    <row r="727" spans="13:16">
      <c r="M727" s="30"/>
      <c r="N727" s="30"/>
      <c r="O727" s="427"/>
      <c r="P727" s="427"/>
    </row>
    <row r="728" spans="13:16">
      <c r="M728" s="30"/>
      <c r="N728" s="30"/>
      <c r="O728" s="427"/>
      <c r="P728" s="427"/>
    </row>
    <row r="729" spans="13:16">
      <c r="M729" s="30"/>
      <c r="N729" s="30"/>
      <c r="O729" s="427"/>
      <c r="P729" s="427"/>
    </row>
    <row r="730" spans="13:16">
      <c r="M730" s="30"/>
      <c r="N730" s="30"/>
      <c r="O730" s="427"/>
      <c r="P730" s="427"/>
    </row>
    <row r="731" spans="13:16">
      <c r="M731" s="30"/>
      <c r="N731" s="30"/>
      <c r="O731" s="427"/>
      <c r="P731" s="427"/>
    </row>
    <row r="732" spans="13:16">
      <c r="M732" s="30"/>
      <c r="N732" s="30"/>
      <c r="O732" s="427"/>
      <c r="P732" s="427"/>
    </row>
    <row r="733" spans="13:16">
      <c r="M733" s="30"/>
      <c r="N733" s="30"/>
      <c r="O733" s="427"/>
      <c r="P733" s="427"/>
    </row>
    <row r="734" spans="13:16">
      <c r="M734" s="30"/>
      <c r="N734" s="30"/>
      <c r="O734" s="427"/>
      <c r="P734" s="427"/>
    </row>
    <row r="735" spans="13:16">
      <c r="M735" s="30"/>
      <c r="N735" s="30"/>
      <c r="O735" s="427"/>
      <c r="P735" s="427"/>
    </row>
    <row r="736" spans="13:16">
      <c r="M736" s="30"/>
      <c r="N736" s="30"/>
      <c r="O736" s="427"/>
      <c r="P736" s="427"/>
    </row>
    <row r="737" spans="13:16">
      <c r="M737" s="30"/>
      <c r="N737" s="30"/>
      <c r="O737" s="427"/>
      <c r="P737" s="427"/>
    </row>
    <row r="738" spans="13:16">
      <c r="M738" s="30"/>
      <c r="N738" s="30"/>
      <c r="O738" s="427"/>
      <c r="P738" s="427"/>
    </row>
    <row r="739" spans="13:16">
      <c r="M739" s="30"/>
      <c r="N739" s="30"/>
      <c r="O739" s="427"/>
      <c r="P739" s="427"/>
    </row>
    <row r="740" spans="13:16">
      <c r="M740" s="30"/>
      <c r="N740" s="30"/>
      <c r="O740" s="427"/>
      <c r="P740" s="427"/>
    </row>
    <row r="741" spans="13:16">
      <c r="M741" s="30"/>
      <c r="N741" s="30"/>
      <c r="O741" s="427"/>
      <c r="P741" s="427"/>
    </row>
    <row r="742" spans="13:16">
      <c r="M742" s="30"/>
      <c r="N742" s="30"/>
      <c r="O742" s="427"/>
      <c r="P742" s="427"/>
    </row>
    <row r="743" spans="13:16">
      <c r="M743" s="30"/>
      <c r="N743" s="30"/>
      <c r="O743" s="427"/>
      <c r="P743" s="427"/>
    </row>
    <row r="744" spans="13:16">
      <c r="M744" s="30"/>
      <c r="N744" s="30"/>
      <c r="O744" s="427"/>
      <c r="P744" s="427"/>
    </row>
    <row r="745" spans="13:16">
      <c r="M745" s="30"/>
      <c r="N745" s="30"/>
      <c r="O745" s="427"/>
      <c r="P745" s="427"/>
    </row>
    <row r="746" spans="13:16">
      <c r="M746" s="30"/>
      <c r="N746" s="30"/>
      <c r="O746" s="427"/>
      <c r="P746" s="427"/>
    </row>
    <row r="747" spans="13:16">
      <c r="M747" s="30"/>
      <c r="N747" s="30"/>
      <c r="O747" s="427"/>
      <c r="P747" s="427"/>
    </row>
    <row r="748" spans="13:16">
      <c r="M748" s="30"/>
      <c r="N748" s="30"/>
      <c r="O748" s="427"/>
      <c r="P748" s="427"/>
    </row>
    <row r="749" spans="13:16">
      <c r="M749" s="30"/>
      <c r="N749" s="30"/>
      <c r="O749" s="427"/>
      <c r="P749" s="427"/>
    </row>
    <row r="750" spans="13:16">
      <c r="M750" s="30"/>
      <c r="N750" s="30"/>
      <c r="O750" s="427"/>
      <c r="P750" s="427"/>
    </row>
    <row r="751" spans="13:16">
      <c r="M751" s="30"/>
      <c r="N751" s="30"/>
      <c r="O751" s="427"/>
      <c r="P751" s="427"/>
    </row>
    <row r="752" spans="13:16">
      <c r="M752" s="30"/>
      <c r="N752" s="30"/>
      <c r="O752" s="427"/>
      <c r="P752" s="427"/>
    </row>
    <row r="753" spans="13:16">
      <c r="M753" s="30"/>
      <c r="N753" s="30"/>
      <c r="O753" s="427"/>
      <c r="P753" s="427"/>
    </row>
    <row r="754" spans="13:16">
      <c r="M754" s="30"/>
      <c r="N754" s="30"/>
      <c r="O754" s="427"/>
      <c r="P754" s="427"/>
    </row>
    <row r="755" spans="13:16">
      <c r="M755" s="30"/>
      <c r="N755" s="30"/>
      <c r="O755" s="427"/>
      <c r="P755" s="427"/>
    </row>
    <row r="756" spans="13:16">
      <c r="M756" s="30"/>
      <c r="N756" s="30"/>
      <c r="O756" s="427"/>
      <c r="P756" s="427"/>
    </row>
    <row r="757" spans="13:16">
      <c r="M757" s="30"/>
      <c r="N757" s="30"/>
      <c r="O757" s="427"/>
      <c r="P757" s="427"/>
    </row>
    <row r="758" spans="13:16">
      <c r="M758" s="30"/>
      <c r="N758" s="30"/>
      <c r="O758" s="427"/>
      <c r="P758" s="427"/>
    </row>
    <row r="759" spans="13:16">
      <c r="M759" s="30"/>
      <c r="N759" s="30"/>
      <c r="O759" s="427"/>
      <c r="P759" s="427"/>
    </row>
    <row r="760" spans="13:16">
      <c r="M760" s="30"/>
      <c r="N760" s="30"/>
      <c r="O760" s="427"/>
      <c r="P760" s="427"/>
    </row>
    <row r="761" spans="13:16">
      <c r="M761" s="30"/>
      <c r="N761" s="30"/>
      <c r="O761" s="427"/>
      <c r="P761" s="427"/>
    </row>
    <row r="762" spans="13:16">
      <c r="M762" s="30"/>
      <c r="N762" s="30"/>
      <c r="O762" s="427"/>
      <c r="P762" s="427"/>
    </row>
    <row r="763" spans="13:16">
      <c r="M763" s="30"/>
      <c r="N763" s="30"/>
      <c r="O763" s="427"/>
      <c r="P763" s="427"/>
    </row>
    <row r="764" spans="13:16">
      <c r="M764" s="30"/>
      <c r="N764" s="30"/>
      <c r="O764" s="427"/>
      <c r="P764" s="427"/>
    </row>
    <row r="765" spans="13:16">
      <c r="M765" s="30"/>
      <c r="N765" s="30"/>
      <c r="O765" s="427"/>
      <c r="P765" s="427"/>
    </row>
    <row r="766" spans="13:16">
      <c r="M766" s="30"/>
      <c r="N766" s="30"/>
      <c r="O766" s="427"/>
      <c r="P766" s="427"/>
    </row>
    <row r="767" spans="13:16">
      <c r="M767" s="30"/>
      <c r="N767" s="30"/>
      <c r="O767" s="427"/>
      <c r="P767" s="427"/>
    </row>
    <row r="768" spans="13:16">
      <c r="M768" s="30"/>
      <c r="N768" s="30"/>
      <c r="O768" s="427"/>
      <c r="P768" s="427"/>
    </row>
    <row r="769" spans="13:16">
      <c r="M769" s="30"/>
      <c r="N769" s="30"/>
      <c r="O769" s="427"/>
      <c r="P769" s="427"/>
    </row>
    <row r="770" spans="13:16">
      <c r="M770" s="30"/>
      <c r="N770" s="30"/>
      <c r="O770" s="427"/>
      <c r="P770" s="427"/>
    </row>
    <row r="771" spans="13:16">
      <c r="M771" s="30"/>
      <c r="N771" s="30"/>
      <c r="O771" s="427"/>
      <c r="P771" s="427"/>
    </row>
    <row r="772" spans="13:16">
      <c r="M772" s="30"/>
      <c r="N772" s="30"/>
      <c r="O772" s="427"/>
      <c r="P772" s="427"/>
    </row>
    <row r="773" spans="13:16">
      <c r="M773" s="30"/>
      <c r="N773" s="30"/>
      <c r="O773" s="427"/>
      <c r="P773" s="427"/>
    </row>
    <row r="774" spans="13:16">
      <c r="M774" s="30"/>
      <c r="N774" s="30"/>
      <c r="O774" s="427"/>
      <c r="P774" s="427"/>
    </row>
    <row r="775" spans="13:16">
      <c r="M775" s="30"/>
      <c r="N775" s="30"/>
      <c r="O775" s="427"/>
      <c r="P775" s="427"/>
    </row>
    <row r="776" spans="13:16">
      <c r="M776" s="30"/>
      <c r="N776" s="30"/>
      <c r="O776" s="427"/>
      <c r="P776" s="427"/>
    </row>
    <row r="777" spans="13:16">
      <c r="M777" s="30"/>
      <c r="N777" s="30"/>
      <c r="O777" s="427"/>
      <c r="P777" s="427"/>
    </row>
    <row r="778" spans="13:16">
      <c r="M778" s="30"/>
      <c r="N778" s="30"/>
      <c r="O778" s="427"/>
      <c r="P778" s="427"/>
    </row>
    <row r="779" spans="13:16">
      <c r="M779" s="30"/>
      <c r="N779" s="30"/>
      <c r="O779" s="427"/>
      <c r="P779" s="427"/>
    </row>
    <row r="780" spans="13:16">
      <c r="M780" s="30"/>
      <c r="N780" s="30"/>
      <c r="O780" s="427"/>
      <c r="P780" s="427"/>
    </row>
    <row r="781" spans="13:16">
      <c r="M781" s="30"/>
      <c r="N781" s="30"/>
      <c r="O781" s="427"/>
      <c r="P781" s="427"/>
    </row>
    <row r="782" spans="13:16">
      <c r="M782" s="30"/>
      <c r="N782" s="30"/>
      <c r="O782" s="427"/>
      <c r="P782" s="427"/>
    </row>
    <row r="783" spans="13:16">
      <c r="M783" s="30"/>
      <c r="N783" s="30"/>
      <c r="O783" s="427"/>
      <c r="P783" s="427"/>
    </row>
    <row r="784" spans="13:16">
      <c r="M784" s="30"/>
      <c r="N784" s="30"/>
      <c r="O784" s="427"/>
      <c r="P784" s="427"/>
    </row>
    <row r="785" spans="13:16">
      <c r="M785" s="30"/>
      <c r="N785" s="30"/>
      <c r="O785" s="427"/>
      <c r="P785" s="427"/>
    </row>
    <row r="786" spans="13:16">
      <c r="M786" s="30"/>
      <c r="N786" s="30"/>
      <c r="O786" s="427"/>
      <c r="P786" s="427"/>
    </row>
    <row r="787" spans="13:16">
      <c r="M787" s="30"/>
      <c r="N787" s="30"/>
      <c r="O787" s="427"/>
      <c r="P787" s="427"/>
    </row>
    <row r="788" spans="13:16">
      <c r="M788" s="30"/>
      <c r="N788" s="30"/>
      <c r="O788" s="427"/>
      <c r="P788" s="427"/>
    </row>
    <row r="789" spans="13:16">
      <c r="M789" s="30"/>
      <c r="N789" s="30"/>
      <c r="O789" s="427"/>
      <c r="P789" s="427"/>
    </row>
    <row r="790" spans="13:16">
      <c r="M790" s="30"/>
      <c r="N790" s="30"/>
      <c r="O790" s="427"/>
      <c r="P790" s="427"/>
    </row>
    <row r="791" spans="13:16">
      <c r="M791" s="30"/>
      <c r="N791" s="30"/>
      <c r="O791" s="427"/>
      <c r="P791" s="427"/>
    </row>
    <row r="792" spans="13:16">
      <c r="M792" s="30"/>
      <c r="N792" s="30"/>
      <c r="O792" s="427"/>
      <c r="P792" s="427"/>
    </row>
    <row r="793" spans="13:16">
      <c r="M793" s="30"/>
      <c r="N793" s="30"/>
      <c r="O793" s="427"/>
      <c r="P793" s="427"/>
    </row>
    <row r="794" spans="13:16">
      <c r="M794" s="30"/>
      <c r="N794" s="30"/>
      <c r="O794" s="427"/>
      <c r="P794" s="427"/>
    </row>
    <row r="795" spans="13:16">
      <c r="M795" s="30"/>
      <c r="N795" s="30"/>
      <c r="O795" s="427"/>
      <c r="P795" s="427"/>
    </row>
    <row r="796" spans="13:16">
      <c r="M796" s="30"/>
      <c r="N796" s="30"/>
      <c r="O796" s="427"/>
      <c r="P796" s="427"/>
    </row>
    <row r="797" spans="13:16">
      <c r="M797" s="30"/>
      <c r="N797" s="30"/>
      <c r="O797" s="427"/>
      <c r="P797" s="427"/>
    </row>
    <row r="798" spans="13:16">
      <c r="M798" s="30"/>
      <c r="N798" s="30"/>
      <c r="O798" s="427"/>
      <c r="P798" s="427"/>
    </row>
    <row r="799" spans="13:16">
      <c r="M799" s="30"/>
      <c r="N799" s="30"/>
      <c r="O799" s="427"/>
      <c r="P799" s="4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U84"/>
  <sheetViews>
    <sheetView workbookViewId="0">
      <pane ySplit="1" topLeftCell="A59" activePane="bottomLeft" state="frozen"/>
      <selection pane="bottomLeft" activeCell="L89" sqref="L89"/>
    </sheetView>
  </sheetViews>
  <sheetFormatPr defaultRowHeight="14.5"/>
  <cols>
    <col min="1" max="1" width="10.1796875" style="64" bestFit="1" customWidth="1"/>
    <col min="2" max="4" width="10.7265625" style="3" bestFit="1" customWidth="1"/>
    <col min="5" max="5" width="11.453125" style="3" bestFit="1" customWidth="1"/>
    <col min="6" max="6" width="10.7265625" style="3" bestFit="1" customWidth="1"/>
    <col min="7" max="7" width="10.7265625" style="3" customWidth="1"/>
    <col min="8" max="10" width="9.1796875" style="3"/>
    <col min="11" max="11" width="11.81640625" style="3" bestFit="1" customWidth="1"/>
    <col min="12" max="12" width="11.81640625" style="3" customWidth="1"/>
    <col min="13" max="13" width="11.7265625" style="52" bestFit="1" customWidth="1"/>
    <col min="14" max="14" width="10.7265625" customWidth="1"/>
    <col min="15" max="15" width="10.7265625" bestFit="1" customWidth="1"/>
    <col min="16" max="16" width="23" customWidth="1"/>
    <col min="17" max="17" width="13.81640625" customWidth="1"/>
    <col min="18" max="18" width="11" bestFit="1" customWidth="1"/>
  </cols>
  <sheetData>
    <row r="1" spans="1:21" s="6" customFormat="1">
      <c r="A1" s="115" t="s">
        <v>52</v>
      </c>
      <c r="B1" s="65" t="s">
        <v>58</v>
      </c>
      <c r="C1" s="65" t="s">
        <v>93</v>
      </c>
      <c r="D1" s="65" t="s">
        <v>55</v>
      </c>
      <c r="E1" s="65" t="s">
        <v>54</v>
      </c>
      <c r="F1" s="65" t="s">
        <v>57</v>
      </c>
      <c r="G1" s="65" t="s">
        <v>137</v>
      </c>
      <c r="H1" s="65" t="s">
        <v>92</v>
      </c>
      <c r="I1" s="65" t="s">
        <v>56</v>
      </c>
      <c r="J1" s="65" t="s">
        <v>91</v>
      </c>
      <c r="K1" s="65" t="s">
        <v>53</v>
      </c>
      <c r="L1" s="65" t="s">
        <v>90</v>
      </c>
      <c r="M1" s="66" t="s">
        <v>59</v>
      </c>
      <c r="N1" s="63" t="s">
        <v>94</v>
      </c>
      <c r="O1" s="63" t="s">
        <v>95</v>
      </c>
      <c r="P1" s="63" t="s">
        <v>138</v>
      </c>
      <c r="Q1" s="213" t="s">
        <v>90</v>
      </c>
      <c r="R1" s="210"/>
      <c r="S1" s="22"/>
      <c r="T1" s="22"/>
      <c r="U1" s="22"/>
    </row>
    <row r="2" spans="1:21">
      <c r="A2" s="67">
        <v>45212</v>
      </c>
      <c r="B2" s="62">
        <v>1186.9000000000001</v>
      </c>
      <c r="C2" s="62">
        <f>699.98</f>
        <v>699.98</v>
      </c>
      <c r="D2" s="47"/>
      <c r="E2" s="62">
        <v>229</v>
      </c>
      <c r="F2" s="47"/>
      <c r="G2" s="47"/>
      <c r="H2" s="47"/>
      <c r="I2" s="62"/>
      <c r="J2" s="62"/>
      <c r="K2" s="62">
        <f>244+79.96+764.93+1735.5</f>
        <v>2824.39</v>
      </c>
      <c r="L2" s="62"/>
      <c r="M2" s="51">
        <f>SUM(B2:L2)</f>
        <v>4940.2700000000004</v>
      </c>
      <c r="N2" s="47">
        <v>4940.2700000000004</v>
      </c>
      <c r="O2" s="47">
        <v>5169.2700000000004</v>
      </c>
      <c r="P2" s="208" t="s">
        <v>96</v>
      </c>
      <c r="Q2" s="214">
        <v>1500</v>
      </c>
      <c r="R2" s="215" t="s">
        <v>338</v>
      </c>
    </row>
    <row r="3" spans="1:21">
      <c r="A3" s="67">
        <v>45218</v>
      </c>
      <c r="B3" s="62"/>
      <c r="C3" s="62"/>
      <c r="D3" s="47"/>
      <c r="E3" s="62"/>
      <c r="F3" s="47"/>
      <c r="G3" s="47"/>
      <c r="H3" s="47"/>
      <c r="I3" s="62"/>
      <c r="J3" s="62"/>
      <c r="K3" s="62">
        <v>75</v>
      </c>
      <c r="L3" s="62"/>
      <c r="M3" s="51">
        <f>SUM(B3:L3)</f>
        <v>75</v>
      </c>
      <c r="N3" s="47">
        <v>75</v>
      </c>
      <c r="O3" s="47"/>
      <c r="P3" s="208" t="s">
        <v>97</v>
      </c>
      <c r="Q3" s="211">
        <v>-75</v>
      </c>
      <c r="R3" s="212" t="s">
        <v>339</v>
      </c>
    </row>
    <row r="4" spans="1:21">
      <c r="A4" s="67">
        <v>45219</v>
      </c>
      <c r="B4" s="62"/>
      <c r="C4" s="62"/>
      <c r="D4" s="62"/>
      <c r="E4" s="62"/>
      <c r="F4" s="62"/>
      <c r="G4" s="62"/>
      <c r="H4" s="62"/>
      <c r="I4" s="62">
        <v>609.04</v>
      </c>
      <c r="J4" s="62">
        <v>193.2</v>
      </c>
      <c r="K4" s="62">
        <v>105</v>
      </c>
      <c r="L4" s="68">
        <v>500</v>
      </c>
      <c r="M4" s="51">
        <f>SUM(B4:L4)</f>
        <v>1407.24</v>
      </c>
      <c r="N4" s="47">
        <v>193.2</v>
      </c>
      <c r="O4" s="47"/>
      <c r="P4" s="208" t="s">
        <v>98</v>
      </c>
      <c r="Q4" s="211">
        <v>-193.2</v>
      </c>
      <c r="R4" s="212" t="s">
        <v>340</v>
      </c>
    </row>
    <row r="5" spans="1:21">
      <c r="A5" s="67">
        <v>45220</v>
      </c>
      <c r="B5" s="62"/>
      <c r="C5" s="62"/>
      <c r="D5" s="62"/>
      <c r="E5" s="62"/>
      <c r="F5" s="62"/>
      <c r="G5" s="62"/>
      <c r="H5" s="62"/>
      <c r="I5" s="62"/>
      <c r="J5" s="62"/>
      <c r="K5" s="62">
        <v>534</v>
      </c>
      <c r="L5" s="62"/>
      <c r="M5" s="51">
        <f t="shared" ref="M5:M7" si="0">SUM(B5:L5)</f>
        <v>534</v>
      </c>
      <c r="N5" s="47">
        <v>534</v>
      </c>
      <c r="O5" s="47"/>
      <c r="P5" s="208" t="s">
        <v>99</v>
      </c>
      <c r="Q5" s="211">
        <v>-534</v>
      </c>
      <c r="R5" s="212" t="s">
        <v>341</v>
      </c>
    </row>
    <row r="6" spans="1:21">
      <c r="A6" s="67">
        <v>45223</v>
      </c>
      <c r="B6" s="62"/>
      <c r="C6" s="47">
        <v>1119.93</v>
      </c>
      <c r="D6" s="62">
        <v>362</v>
      </c>
      <c r="E6" s="62">
        <v>111</v>
      </c>
      <c r="F6" s="62"/>
      <c r="G6" s="62"/>
      <c r="H6" s="47">
        <v>705.1</v>
      </c>
      <c r="I6" s="47"/>
      <c r="J6" s="62">
        <v>775</v>
      </c>
      <c r="K6" s="62">
        <f>886.92+239.98</f>
        <v>1126.8999999999999</v>
      </c>
      <c r="L6" s="69">
        <v>1000</v>
      </c>
      <c r="M6" s="51">
        <f t="shared" si="0"/>
        <v>5199.93</v>
      </c>
      <c r="N6" s="47">
        <v>75</v>
      </c>
      <c r="O6" s="47"/>
      <c r="P6" s="208" t="s">
        <v>100</v>
      </c>
      <c r="Q6" s="211">
        <v>-575</v>
      </c>
      <c r="R6" s="212" t="s">
        <v>342</v>
      </c>
    </row>
    <row r="7" spans="1:21">
      <c r="A7" s="67">
        <v>45224</v>
      </c>
      <c r="B7" s="62"/>
      <c r="C7" s="47"/>
      <c r="D7" s="62"/>
      <c r="E7" s="62"/>
      <c r="F7" s="62"/>
      <c r="G7" s="62"/>
      <c r="H7" s="47"/>
      <c r="I7" s="47"/>
      <c r="J7" s="62"/>
      <c r="K7" s="62">
        <v>3758.76</v>
      </c>
      <c r="L7" s="69"/>
      <c r="M7" s="51">
        <f t="shared" si="0"/>
        <v>3758.76</v>
      </c>
      <c r="N7" s="49"/>
      <c r="O7" s="47">
        <v>648.20000000000005</v>
      </c>
      <c r="P7" s="208" t="s">
        <v>101</v>
      </c>
      <c r="Q7" s="211">
        <v>-112.1</v>
      </c>
      <c r="R7" s="212" t="s">
        <v>349</v>
      </c>
    </row>
    <row r="8" spans="1:21">
      <c r="A8" s="67">
        <v>45226</v>
      </c>
      <c r="B8" s="47">
        <v>2085.5</v>
      </c>
      <c r="C8" s="47">
        <v>747</v>
      </c>
      <c r="D8" s="47"/>
      <c r="E8" s="47">
        <v>509.93</v>
      </c>
      <c r="F8" s="47"/>
      <c r="G8" s="47"/>
      <c r="H8" s="47"/>
      <c r="I8" s="62"/>
      <c r="J8" s="62"/>
      <c r="K8" s="47"/>
      <c r="L8" s="47"/>
      <c r="M8" s="51">
        <f>SUM(B8:L8)</f>
        <v>3342.43</v>
      </c>
      <c r="N8" s="11">
        <f>SUM(N2:N7)</f>
        <v>5817.47</v>
      </c>
      <c r="O8" s="32">
        <f>SUM(O2:O7)</f>
        <v>5817.47</v>
      </c>
      <c r="P8" s="209"/>
      <c r="Q8" s="216">
        <f>SUM(Q2:Q7)</f>
        <v>10.69999999999996</v>
      </c>
      <c r="R8" s="217" t="s">
        <v>348</v>
      </c>
    </row>
    <row r="9" spans="1:21">
      <c r="A9" s="67">
        <v>45227</v>
      </c>
      <c r="B9" s="47">
        <v>950</v>
      </c>
      <c r="C9" s="47"/>
      <c r="D9" s="47"/>
      <c r="E9" s="47"/>
      <c r="F9" s="47"/>
      <c r="G9" s="47">
        <v>80</v>
      </c>
      <c r="H9" s="47"/>
      <c r="I9" s="62"/>
      <c r="J9" s="62"/>
      <c r="K9" s="47"/>
      <c r="L9" s="47"/>
      <c r="M9" s="51">
        <f>SUM(B9:L9)</f>
        <v>1030</v>
      </c>
    </row>
    <row r="10" spans="1:21">
      <c r="A10" s="67">
        <v>45230</v>
      </c>
      <c r="B10" s="49">
        <v>-950</v>
      </c>
      <c r="C10" s="47"/>
      <c r="D10" s="47"/>
      <c r="E10" s="47">
        <v>601.03</v>
      </c>
      <c r="F10" s="47"/>
      <c r="G10" s="47">
        <f>283.98+456.4</f>
        <v>740.38</v>
      </c>
      <c r="H10" s="47"/>
      <c r="I10" s="62"/>
      <c r="J10" s="62">
        <v>22</v>
      </c>
      <c r="K10" s="47"/>
      <c r="L10" s="47"/>
      <c r="M10" s="51">
        <f>SUM(B10:L10)</f>
        <v>413.40999999999997</v>
      </c>
      <c r="Q10" s="3"/>
    </row>
    <row r="11" spans="1:21">
      <c r="A11" s="115" t="s">
        <v>59</v>
      </c>
      <c r="B11" s="71">
        <f t="shared" ref="B11:M11" si="1">SUM(B2:B10)</f>
        <v>3272.3999999999996</v>
      </c>
      <c r="C11" s="72">
        <f t="shared" si="1"/>
        <v>2566.91</v>
      </c>
      <c r="D11" s="72">
        <f t="shared" si="1"/>
        <v>362</v>
      </c>
      <c r="E11" s="72">
        <f t="shared" si="1"/>
        <v>1450.96</v>
      </c>
      <c r="F11" s="72">
        <f t="shared" si="1"/>
        <v>0</v>
      </c>
      <c r="G11" s="72">
        <f t="shared" si="1"/>
        <v>820.38</v>
      </c>
      <c r="H11" s="72">
        <f t="shared" si="1"/>
        <v>705.1</v>
      </c>
      <c r="I11" s="72">
        <f t="shared" si="1"/>
        <v>609.04</v>
      </c>
      <c r="J11" s="72">
        <f t="shared" si="1"/>
        <v>990.2</v>
      </c>
      <c r="K11" s="72">
        <f t="shared" si="1"/>
        <v>8424.0499999999993</v>
      </c>
      <c r="L11" s="72">
        <f t="shared" si="1"/>
        <v>1500</v>
      </c>
      <c r="M11" s="73">
        <f t="shared" si="1"/>
        <v>20701.04</v>
      </c>
    </row>
    <row r="12" spans="1:21">
      <c r="A12" s="67">
        <v>45233</v>
      </c>
      <c r="B12" s="47">
        <v>513.99</v>
      </c>
      <c r="C12" s="47"/>
      <c r="D12" s="47">
        <v>701</v>
      </c>
      <c r="E12" s="47"/>
      <c r="F12" s="47">
        <v>1570</v>
      </c>
      <c r="G12" s="47">
        <v>425</v>
      </c>
      <c r="H12" s="47"/>
      <c r="I12" s="47"/>
      <c r="J12" s="47"/>
      <c r="K12" s="47"/>
      <c r="L12" s="47"/>
      <c r="M12" s="51">
        <f>SUM(B12:L12)</f>
        <v>3209.99</v>
      </c>
      <c r="N12" s="126" t="s">
        <v>94</v>
      </c>
      <c r="O12" s="127" t="s">
        <v>95</v>
      </c>
    </row>
    <row r="13" spans="1:21">
      <c r="A13" s="67">
        <v>45237</v>
      </c>
      <c r="B13" s="47"/>
      <c r="C13" s="49">
        <v>6393</v>
      </c>
      <c r="D13" s="47"/>
      <c r="E13" s="196">
        <f>199.05+320</f>
        <v>519.04999999999995</v>
      </c>
      <c r="F13" s="47"/>
      <c r="G13" s="47"/>
      <c r="H13" s="47"/>
      <c r="I13" s="47"/>
      <c r="J13" s="49">
        <v>740</v>
      </c>
      <c r="K13" s="47"/>
      <c r="L13" s="47"/>
      <c r="M13" s="51">
        <f>SUM(B13:L13)</f>
        <v>7652.05</v>
      </c>
      <c r="N13" s="74">
        <f>+J13+C13</f>
        <v>7133</v>
      </c>
      <c r="O13" s="75">
        <f>N13</f>
        <v>7133</v>
      </c>
      <c r="P13" s="130" t="s">
        <v>279</v>
      </c>
      <c r="Q13" s="125"/>
    </row>
    <row r="14" spans="1:21">
      <c r="A14" s="67">
        <v>45249</v>
      </c>
      <c r="B14" s="47"/>
      <c r="C14" s="47"/>
      <c r="D14" s="47"/>
      <c r="E14" s="49">
        <f>199.99+209.97</f>
        <v>409.96000000000004</v>
      </c>
      <c r="F14" s="47"/>
      <c r="G14" s="47"/>
      <c r="H14" s="47"/>
      <c r="I14" s="47"/>
      <c r="J14" s="47"/>
      <c r="K14" s="47"/>
      <c r="L14" s="47"/>
      <c r="M14" s="51">
        <f t="shared" ref="M14:M16" si="2">SUM(B14:L14)</f>
        <v>409.96000000000004</v>
      </c>
      <c r="N14" s="128" t="s">
        <v>141</v>
      </c>
      <c r="O14" s="129" t="s">
        <v>95</v>
      </c>
    </row>
    <row r="15" spans="1:21">
      <c r="A15" s="67">
        <v>45250</v>
      </c>
      <c r="B15" s="47"/>
      <c r="C15" s="47"/>
      <c r="D15" s="47"/>
      <c r="E15" s="47">
        <f>83.97+474.93</f>
        <v>558.9</v>
      </c>
      <c r="F15" s="47"/>
      <c r="G15" s="47"/>
      <c r="H15" s="47"/>
      <c r="I15" s="47"/>
      <c r="J15" s="47"/>
      <c r="K15" s="47"/>
      <c r="L15" s="47"/>
      <c r="M15" s="51">
        <f t="shared" si="2"/>
        <v>558.9</v>
      </c>
      <c r="N15" s="98">
        <f>+O15-108</f>
        <v>492</v>
      </c>
      <c r="O15" s="47">
        <v>600</v>
      </c>
      <c r="P15" s="100" t="s">
        <v>278</v>
      </c>
    </row>
    <row r="16" spans="1:21">
      <c r="A16" s="67">
        <v>45251</v>
      </c>
      <c r="B16" s="47"/>
      <c r="C16" s="47"/>
      <c r="D16" s="47"/>
      <c r="E16" s="47">
        <f>458+800</f>
        <v>1258</v>
      </c>
      <c r="F16" s="47"/>
      <c r="G16" s="47"/>
      <c r="H16" s="47"/>
      <c r="I16" s="47"/>
      <c r="J16" s="47"/>
      <c r="K16" s="47">
        <v>89.99</v>
      </c>
      <c r="L16" s="47"/>
      <c r="M16" s="51">
        <f t="shared" si="2"/>
        <v>1347.99</v>
      </c>
      <c r="N16" s="49">
        <v>-409.96</v>
      </c>
      <c r="Q16" s="3"/>
    </row>
    <row r="17" spans="1:17">
      <c r="A17" s="67">
        <v>45254</v>
      </c>
      <c r="B17" s="47"/>
      <c r="C17" s="47"/>
      <c r="D17" s="47"/>
      <c r="E17" s="47">
        <v>369.02</v>
      </c>
      <c r="F17" s="47"/>
      <c r="G17" s="47"/>
      <c r="H17" s="47"/>
      <c r="I17" s="47"/>
      <c r="J17" s="47"/>
      <c r="K17" s="47"/>
      <c r="L17" s="47"/>
      <c r="M17" s="51">
        <f>SUM(B17:L17)</f>
        <v>369.02</v>
      </c>
      <c r="N17" s="99">
        <f>SUM(N15:N16)</f>
        <v>82.04000000000002</v>
      </c>
      <c r="O17" s="104" t="s">
        <v>281</v>
      </c>
    </row>
    <row r="18" spans="1:17">
      <c r="A18" s="115" t="s">
        <v>59</v>
      </c>
      <c r="B18" s="71">
        <f t="shared" ref="B18:M18" si="3">SUM(B12:B17)</f>
        <v>513.99</v>
      </c>
      <c r="C18" s="72">
        <f t="shared" si="3"/>
        <v>6393</v>
      </c>
      <c r="D18" s="72">
        <f t="shared" si="3"/>
        <v>701</v>
      </c>
      <c r="E18" s="72">
        <f t="shared" si="3"/>
        <v>3114.93</v>
      </c>
      <c r="F18" s="72">
        <f t="shared" si="3"/>
        <v>1570</v>
      </c>
      <c r="G18" s="72">
        <f t="shared" si="3"/>
        <v>425</v>
      </c>
      <c r="H18" s="72">
        <f t="shared" si="3"/>
        <v>0</v>
      </c>
      <c r="I18" s="72">
        <f t="shared" si="3"/>
        <v>0</v>
      </c>
      <c r="J18" s="72">
        <f t="shared" si="3"/>
        <v>740</v>
      </c>
      <c r="K18" s="72">
        <f t="shared" si="3"/>
        <v>89.99</v>
      </c>
      <c r="L18" s="72">
        <f t="shared" si="3"/>
        <v>0</v>
      </c>
      <c r="M18" s="73">
        <f t="shared" si="3"/>
        <v>13547.91</v>
      </c>
      <c r="N18" s="63" t="s">
        <v>141</v>
      </c>
      <c r="O18" s="97" t="s">
        <v>94</v>
      </c>
      <c r="P18" s="133" t="s">
        <v>138</v>
      </c>
    </row>
    <row r="19" spans="1:17">
      <c r="A19" s="67">
        <v>45266</v>
      </c>
      <c r="B19" s="49">
        <v>319</v>
      </c>
      <c r="C19" s="47"/>
      <c r="D19" s="47"/>
      <c r="E19" s="49">
        <f>372.49+108</f>
        <v>480.49</v>
      </c>
      <c r="F19" s="49">
        <v>400</v>
      </c>
      <c r="G19" s="47"/>
      <c r="H19" s="47"/>
      <c r="I19" s="47"/>
      <c r="J19" s="47"/>
      <c r="K19" s="47">
        <v>159.97999999999999</v>
      </c>
      <c r="L19" s="47"/>
      <c r="M19" s="51">
        <f t="shared" ref="M19:M24" si="4">SUM(B19:L19)</f>
        <v>1359.47</v>
      </c>
      <c r="N19" s="99">
        <f>N17</f>
        <v>82.04000000000002</v>
      </c>
      <c r="P19" s="104" t="s">
        <v>282</v>
      </c>
    </row>
    <row r="20" spans="1:17">
      <c r="A20" s="67">
        <v>45268</v>
      </c>
      <c r="B20" s="47">
        <v>1341.09</v>
      </c>
      <c r="C20" s="47"/>
      <c r="D20" s="47"/>
      <c r="E20" s="47"/>
      <c r="F20" s="47"/>
      <c r="G20" s="47"/>
      <c r="H20" s="47"/>
      <c r="I20" s="47"/>
      <c r="J20" s="47"/>
      <c r="K20" s="47">
        <f>64.98+1985.88</f>
        <v>2050.86</v>
      </c>
      <c r="L20" s="47"/>
      <c r="M20" s="51">
        <f t="shared" si="4"/>
        <v>3391.95</v>
      </c>
      <c r="O20" s="47">
        <f>372.49+108</f>
        <v>480.49</v>
      </c>
      <c r="P20" s="100" t="s">
        <v>193</v>
      </c>
    </row>
    <row r="21" spans="1:17">
      <c r="A21" s="67">
        <v>45272</v>
      </c>
      <c r="B21" s="47"/>
      <c r="C21" s="47"/>
      <c r="D21" s="47"/>
      <c r="E21" s="47">
        <f>439+308.04</f>
        <v>747.04</v>
      </c>
      <c r="F21" s="47"/>
      <c r="G21" s="47"/>
      <c r="H21" s="47"/>
      <c r="I21" s="47"/>
      <c r="J21" s="47"/>
      <c r="K21" s="47">
        <v>1198</v>
      </c>
      <c r="L21" s="47"/>
      <c r="M21" s="51">
        <f t="shared" si="4"/>
        <v>1945.04</v>
      </c>
      <c r="N21" s="99"/>
      <c r="O21" s="47">
        <v>400</v>
      </c>
      <c r="P21" s="100" t="s">
        <v>193</v>
      </c>
    </row>
    <row r="22" spans="1:17">
      <c r="A22" s="67">
        <v>45273</v>
      </c>
      <c r="B22" s="47"/>
      <c r="C22" s="47"/>
      <c r="D22" s="47"/>
      <c r="E22" s="47">
        <v>141.16</v>
      </c>
      <c r="F22" s="47"/>
      <c r="G22" s="47"/>
      <c r="H22" s="47"/>
      <c r="I22" s="47"/>
      <c r="J22" s="47"/>
      <c r="K22" s="47"/>
      <c r="L22" s="47"/>
      <c r="M22" s="51">
        <f t="shared" si="4"/>
        <v>141.16</v>
      </c>
      <c r="N22" s="99"/>
      <c r="O22" s="32">
        <v>319</v>
      </c>
      <c r="P22" s="100" t="s">
        <v>193</v>
      </c>
    </row>
    <row r="23" spans="1:17">
      <c r="A23" s="67">
        <v>45275</v>
      </c>
      <c r="B23" s="47">
        <v>2174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51">
        <f t="shared" si="4"/>
        <v>2174</v>
      </c>
      <c r="N23" s="99"/>
      <c r="O23" s="49">
        <f>SUM(O20:O22)</f>
        <v>1199.49</v>
      </c>
      <c r="P23" s="131" t="s">
        <v>283</v>
      </c>
    </row>
    <row r="24" spans="1:17">
      <c r="A24" s="67">
        <v>45282</v>
      </c>
      <c r="B24" s="47"/>
      <c r="C24" s="47"/>
      <c r="D24" s="47"/>
      <c r="E24" s="47">
        <f>120+234+325+70</f>
        <v>749</v>
      </c>
      <c r="F24" s="47"/>
      <c r="G24" s="47"/>
      <c r="H24" s="47"/>
      <c r="I24" s="47"/>
      <c r="J24" s="47"/>
      <c r="K24" s="47"/>
      <c r="L24" s="47"/>
      <c r="M24" s="51">
        <f t="shared" si="4"/>
        <v>749</v>
      </c>
      <c r="N24" s="99">
        <v>69.989999999999995</v>
      </c>
      <c r="O24" s="49"/>
      <c r="P24" s="104" t="s">
        <v>280</v>
      </c>
    </row>
    <row r="25" spans="1:17">
      <c r="A25" s="67">
        <v>45284</v>
      </c>
      <c r="B25" s="47"/>
      <c r="C25" s="47"/>
      <c r="D25" s="47"/>
      <c r="E25" s="47">
        <v>177.94</v>
      </c>
      <c r="F25" s="47"/>
      <c r="G25" s="47"/>
      <c r="H25" s="47"/>
      <c r="I25" s="47"/>
      <c r="J25" s="47"/>
      <c r="K25" s="47"/>
      <c r="L25" s="47"/>
      <c r="M25" s="51">
        <f>SUM(B25:L25)</f>
        <v>177.94</v>
      </c>
      <c r="N25" s="99"/>
      <c r="O25" s="47">
        <v>1198</v>
      </c>
      <c r="P25" s="100" t="s">
        <v>209</v>
      </c>
    </row>
    <row r="26" spans="1:17">
      <c r="A26" s="67">
        <v>45287</v>
      </c>
      <c r="B26" s="47"/>
      <c r="C26" s="47"/>
      <c r="D26" s="47"/>
      <c r="E26" s="47"/>
      <c r="F26" s="47"/>
      <c r="G26" s="47">
        <v>285</v>
      </c>
      <c r="H26" s="47"/>
      <c r="I26" s="47"/>
      <c r="J26" s="47"/>
      <c r="K26" s="47"/>
      <c r="L26" s="47"/>
      <c r="M26" s="51">
        <f>SUM(B26:L26)</f>
        <v>285</v>
      </c>
      <c r="N26" s="99"/>
      <c r="O26" s="49">
        <f>SUM(O23:O25)</f>
        <v>2397.4899999999998</v>
      </c>
      <c r="P26" s="131" t="s">
        <v>284</v>
      </c>
    </row>
    <row r="27" spans="1:17">
      <c r="A27" s="67">
        <v>45288</v>
      </c>
      <c r="B27" s="47"/>
      <c r="C27" s="47"/>
      <c r="D27" s="47"/>
      <c r="E27" s="47">
        <f>70.98+119</f>
        <v>189.98000000000002</v>
      </c>
      <c r="F27" s="47"/>
      <c r="G27" s="47"/>
      <c r="H27" s="47"/>
      <c r="I27" s="47"/>
      <c r="J27" s="47"/>
      <c r="K27" s="47"/>
      <c r="L27" s="47"/>
      <c r="M27" s="51">
        <f>SUM(B27:L27)</f>
        <v>189.98000000000002</v>
      </c>
      <c r="N27" s="99"/>
      <c r="O27" s="47">
        <v>2174</v>
      </c>
      <c r="P27" s="100" t="s">
        <v>214</v>
      </c>
    </row>
    <row r="28" spans="1:17">
      <c r="A28" s="6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N28" s="99"/>
      <c r="O28" s="49">
        <f>+O26+O27</f>
        <v>4571.49</v>
      </c>
      <c r="P28" s="131" t="s">
        <v>284</v>
      </c>
    </row>
    <row r="29" spans="1:17">
      <c r="A29" s="6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N29" s="99"/>
      <c r="O29" s="47">
        <v>305</v>
      </c>
      <c r="P29" s="100" t="s">
        <v>271</v>
      </c>
    </row>
    <row r="30" spans="1:17">
      <c r="A30" s="6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N30" s="99"/>
      <c r="O30" s="49">
        <f>+O28+O29</f>
        <v>4876.49</v>
      </c>
      <c r="P30" s="131" t="s">
        <v>284</v>
      </c>
    </row>
    <row r="31" spans="1:17">
      <c r="A31" s="6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N31" s="99">
        <v>1433</v>
      </c>
      <c r="O31" s="47"/>
      <c r="P31" s="100" t="s">
        <v>276</v>
      </c>
    </row>
    <row r="32" spans="1:17">
      <c r="A32" s="115" t="s">
        <v>59</v>
      </c>
      <c r="B32" s="71">
        <f>SUM(B19:B31)</f>
        <v>3834.09</v>
      </c>
      <c r="C32" s="72"/>
      <c r="D32" s="72"/>
      <c r="E32" s="72">
        <f>SUM(E19:E31)</f>
        <v>2485.61</v>
      </c>
      <c r="F32" s="72">
        <f>SUM(F19:F31)</f>
        <v>400</v>
      </c>
      <c r="G32" s="72">
        <f>SUM(G19:G31)</f>
        <v>285</v>
      </c>
      <c r="H32" s="72"/>
      <c r="I32" s="72"/>
      <c r="J32" s="72"/>
      <c r="K32" s="72">
        <f>SUM(K19:K31)</f>
        <v>3408.84</v>
      </c>
      <c r="L32" s="72"/>
      <c r="M32" s="73">
        <f>SUM(B32:L32)</f>
        <v>10413.540000000001</v>
      </c>
      <c r="N32" s="123">
        <f>SUM(N19:N31)</f>
        <v>1585.03</v>
      </c>
      <c r="O32" s="75">
        <f>O30</f>
        <v>4876.49</v>
      </c>
      <c r="P32" s="124">
        <f>+O32-N32</f>
        <v>3291.46</v>
      </c>
      <c r="Q32" s="132" t="s">
        <v>277</v>
      </c>
    </row>
    <row r="33" spans="1:17">
      <c r="A33" s="67">
        <v>45300</v>
      </c>
      <c r="B33" s="47"/>
      <c r="C33" s="47">
        <v>2785</v>
      </c>
      <c r="D33" s="47"/>
      <c r="E33" s="47">
        <f>220+296.44+79</f>
        <v>595.44000000000005</v>
      </c>
      <c r="F33" s="47"/>
      <c r="G33" s="49">
        <v>259</v>
      </c>
      <c r="H33" s="47"/>
      <c r="I33" s="47"/>
      <c r="J33" s="47"/>
      <c r="K33" s="47"/>
      <c r="L33" s="47"/>
      <c r="M33" s="51">
        <f>SUM(B33:L33)</f>
        <v>3639.44</v>
      </c>
      <c r="N33" s="99"/>
      <c r="O33" s="196">
        <v>259</v>
      </c>
      <c r="P33" s="197" t="s">
        <v>333</v>
      </c>
      <c r="Q33" s="117"/>
    </row>
    <row r="34" spans="1:17">
      <c r="A34" s="67">
        <v>45308</v>
      </c>
      <c r="B34" s="47"/>
      <c r="C34" s="47"/>
      <c r="D34" s="47"/>
      <c r="E34" s="47">
        <v>298.99</v>
      </c>
      <c r="F34" s="47"/>
      <c r="G34" s="47"/>
      <c r="H34" s="47"/>
      <c r="I34" s="47"/>
      <c r="J34" s="47"/>
      <c r="K34" s="47"/>
      <c r="L34" s="47"/>
      <c r="M34" s="51">
        <f>SUM(E34:L34)</f>
        <v>298.99</v>
      </c>
      <c r="O34" s="49">
        <f>+O32+O33</f>
        <v>5135.49</v>
      </c>
      <c r="P34" s="131" t="s">
        <v>284</v>
      </c>
    </row>
    <row r="35" spans="1:17">
      <c r="A35" s="67">
        <v>45309</v>
      </c>
      <c r="B35" s="47"/>
      <c r="C35" s="47"/>
      <c r="D35" s="47"/>
      <c r="E35" s="47">
        <v>85</v>
      </c>
      <c r="F35" s="47"/>
      <c r="G35" s="47"/>
      <c r="H35" s="47"/>
      <c r="I35" s="47"/>
      <c r="J35" s="47"/>
      <c r="K35" s="47">
        <v>973.11</v>
      </c>
      <c r="L35" s="47"/>
      <c r="M35" s="51">
        <f>SUM(E35:L35)</f>
        <v>1058.1100000000001</v>
      </c>
      <c r="O35" s="47"/>
    </row>
    <row r="36" spans="1:17">
      <c r="A36" s="67">
        <v>45314</v>
      </c>
      <c r="B36" s="47"/>
      <c r="C36" s="47"/>
      <c r="D36" s="47"/>
      <c r="E36" s="47">
        <f>398+323.92</f>
        <v>721.92000000000007</v>
      </c>
      <c r="F36" s="47">
        <f>79.96+39+49</f>
        <v>167.95999999999998</v>
      </c>
      <c r="G36" s="47"/>
      <c r="H36" s="47"/>
      <c r="I36" s="47"/>
      <c r="J36" s="47"/>
      <c r="K36" s="47"/>
      <c r="L36" s="47"/>
      <c r="M36" s="51">
        <f t="shared" ref="M36:M41" si="5">SUM(B36:L36)</f>
        <v>889.88000000000011</v>
      </c>
      <c r="O36" s="47"/>
    </row>
    <row r="37" spans="1:17">
      <c r="A37" s="67">
        <v>45316</v>
      </c>
      <c r="B37" s="47"/>
      <c r="C37" s="47"/>
      <c r="D37" s="47"/>
      <c r="E37" s="47">
        <f>172.46</f>
        <v>172.46</v>
      </c>
      <c r="F37" s="47"/>
      <c r="G37" s="47"/>
      <c r="H37" s="47"/>
      <c r="I37" s="47"/>
      <c r="J37" s="47"/>
      <c r="K37" s="47"/>
      <c r="L37" s="47"/>
      <c r="M37" s="51">
        <f t="shared" si="5"/>
        <v>172.46</v>
      </c>
      <c r="O37" s="47"/>
    </row>
    <row r="38" spans="1:17">
      <c r="A38" s="67">
        <v>45317</v>
      </c>
      <c r="B38" s="47"/>
      <c r="C38" s="47"/>
      <c r="D38" s="47"/>
      <c r="E38" s="47">
        <v>54.99</v>
      </c>
      <c r="F38" s="47"/>
      <c r="G38" s="47"/>
      <c r="H38" s="47"/>
      <c r="I38" s="47"/>
      <c r="J38" s="47"/>
      <c r="K38" s="47"/>
      <c r="L38" s="47"/>
      <c r="M38" s="51">
        <f t="shared" si="5"/>
        <v>54.99</v>
      </c>
      <c r="O38" s="47"/>
    </row>
    <row r="39" spans="1:17">
      <c r="A39" s="67">
        <v>45321</v>
      </c>
      <c r="B39" s="47"/>
      <c r="C39" s="47"/>
      <c r="D39" s="47"/>
      <c r="E39" s="47">
        <v>77</v>
      </c>
      <c r="F39" s="47">
        <v>458</v>
      </c>
      <c r="G39" s="47"/>
      <c r="H39" s="47"/>
      <c r="I39" s="47"/>
      <c r="J39" s="47"/>
      <c r="K39" s="47"/>
      <c r="L39" s="47"/>
      <c r="M39" s="51">
        <f t="shared" si="5"/>
        <v>535</v>
      </c>
      <c r="O39" s="47"/>
    </row>
    <row r="40" spans="1:17">
      <c r="A40" s="115" t="s">
        <v>59</v>
      </c>
      <c r="B40" s="71"/>
      <c r="C40" s="72">
        <f>SUM(C33:C39)</f>
        <v>2785</v>
      </c>
      <c r="D40" s="72"/>
      <c r="E40" s="72">
        <f>SUM(E33:E39)</f>
        <v>2005.8000000000002</v>
      </c>
      <c r="F40" s="72">
        <f>SUM(F33:F39)</f>
        <v>625.96</v>
      </c>
      <c r="G40" s="72">
        <f>SUM(G33:G39)</f>
        <v>259</v>
      </c>
      <c r="H40" s="72"/>
      <c r="I40" s="72"/>
      <c r="J40" s="72"/>
      <c r="K40" s="72">
        <f>SUM(K33:K39)</f>
        <v>973.11</v>
      </c>
      <c r="L40" s="72"/>
      <c r="M40" s="73">
        <f t="shared" si="5"/>
        <v>6648.87</v>
      </c>
      <c r="O40" s="47"/>
    </row>
    <row r="41" spans="1:17">
      <c r="A41" s="64">
        <v>45325</v>
      </c>
      <c r="E41" s="3">
        <v>49.98</v>
      </c>
      <c r="M41" s="51">
        <f t="shared" si="5"/>
        <v>49.98</v>
      </c>
    </row>
    <row r="42" spans="1:17">
      <c r="A42" s="64">
        <v>45329</v>
      </c>
      <c r="E42" s="3">
        <f>458+123+389.94+750.88</f>
        <v>1721.8200000000002</v>
      </c>
      <c r="M42" s="51">
        <f>SUM(B42:L42)</f>
        <v>1721.8200000000002</v>
      </c>
    </row>
    <row r="43" spans="1:17">
      <c r="A43" s="64">
        <v>45330</v>
      </c>
      <c r="C43" s="3">
        <v>776</v>
      </c>
      <c r="E43" s="3">
        <v>165</v>
      </c>
      <c r="M43" s="51">
        <f>SUM(B43:L43)</f>
        <v>941</v>
      </c>
    </row>
    <row r="44" spans="1:17">
      <c r="A44" s="64">
        <v>45336</v>
      </c>
      <c r="E44" s="3">
        <v>73.98</v>
      </c>
      <c r="F44" s="3">
        <v>523.94000000000005</v>
      </c>
      <c r="M44" s="51">
        <f>SUM(B44:L44)</f>
        <v>597.92000000000007</v>
      </c>
    </row>
    <row r="45" spans="1:17">
      <c r="A45" s="64">
        <v>45337</v>
      </c>
      <c r="E45" s="3">
        <v>330</v>
      </c>
      <c r="M45" s="51">
        <f>SUM(E45:L45)</f>
        <v>330</v>
      </c>
    </row>
    <row r="46" spans="1:17">
      <c r="A46" s="308">
        <v>45338</v>
      </c>
      <c r="B46" s="32"/>
      <c r="C46" s="32"/>
      <c r="D46" s="32"/>
      <c r="E46" s="32"/>
      <c r="F46" s="32"/>
      <c r="G46" s="32"/>
      <c r="H46" s="32">
        <v>470.5</v>
      </c>
      <c r="I46" s="32"/>
      <c r="J46" s="32"/>
      <c r="K46" s="32"/>
      <c r="L46" s="32"/>
      <c r="M46" s="309">
        <f>SUM(E46:L46)</f>
        <v>470.5</v>
      </c>
    </row>
    <row r="47" spans="1:17">
      <c r="A47" s="115" t="s">
        <v>59</v>
      </c>
      <c r="B47" s="71"/>
      <c r="C47" s="72">
        <f>SUM(C43:C46)</f>
        <v>776</v>
      </c>
      <c r="D47" s="72"/>
      <c r="E47" s="72">
        <f>SUM(E41:E46)</f>
        <v>2340.7800000000002</v>
      </c>
      <c r="F47" s="72">
        <f>SUM(F44:F46)</f>
        <v>523.94000000000005</v>
      </c>
      <c r="G47" s="72"/>
      <c r="H47" s="72">
        <f>SUM(H46)</f>
        <v>470.5</v>
      </c>
      <c r="I47" s="72"/>
      <c r="J47" s="72"/>
      <c r="K47" s="72"/>
      <c r="L47" s="72"/>
      <c r="M47" s="73">
        <f>SUM(B47:L47)</f>
        <v>4111.22</v>
      </c>
    </row>
    <row r="48" spans="1:17">
      <c r="A48" s="64">
        <v>45351</v>
      </c>
      <c r="K48" s="28">
        <v>2195</v>
      </c>
      <c r="M48" s="51">
        <f>SUM(E48:L48)</f>
        <v>2195</v>
      </c>
      <c r="N48" s="28">
        <f>+M48+M49</f>
        <v>2826.89</v>
      </c>
      <c r="O48" s="331" t="s">
        <v>594</v>
      </c>
    </row>
    <row r="49" spans="1:13">
      <c r="A49" s="64">
        <v>45357</v>
      </c>
      <c r="E49" s="28">
        <v>631.89</v>
      </c>
      <c r="M49" s="51">
        <f>SUM(E49:L49)</f>
        <v>631.89</v>
      </c>
    </row>
    <row r="50" spans="1:13">
      <c r="A50" s="64">
        <v>45357</v>
      </c>
      <c r="E50" s="3">
        <v>129.97999999999999</v>
      </c>
      <c r="M50" s="51">
        <f>SUM(B50:L50)</f>
        <v>129.97999999999999</v>
      </c>
    </row>
    <row r="51" spans="1:13">
      <c r="A51" s="64">
        <v>45365</v>
      </c>
      <c r="E51" s="3">
        <v>385</v>
      </c>
      <c r="M51" s="51">
        <f>SUM(B51:L51)</f>
        <v>385</v>
      </c>
    </row>
    <row r="52" spans="1:13">
      <c r="A52" s="64">
        <v>45369</v>
      </c>
      <c r="E52" s="3">
        <v>367.93</v>
      </c>
      <c r="F52" s="3">
        <v>89.99</v>
      </c>
      <c r="M52" s="51">
        <f>SUM(E52:L52)</f>
        <v>457.92</v>
      </c>
    </row>
    <row r="53" spans="1:13">
      <c r="A53" s="64">
        <v>45370</v>
      </c>
      <c r="F53" s="3">
        <v>159.99</v>
      </c>
      <c r="M53" s="51">
        <f>SUM(E53:L53)</f>
        <v>159.99</v>
      </c>
    </row>
    <row r="54" spans="1:13">
      <c r="A54" s="64">
        <v>45371</v>
      </c>
      <c r="F54" s="3">
        <v>99</v>
      </c>
      <c r="M54" s="51">
        <f>SUM(B54:L54)</f>
        <v>99</v>
      </c>
    </row>
    <row r="55" spans="1:13">
      <c r="A55" s="368" t="s">
        <v>59</v>
      </c>
      <c r="B55" s="71"/>
      <c r="C55" s="72"/>
      <c r="D55" s="72"/>
      <c r="E55" s="72">
        <f>SUM(E48:E54)</f>
        <v>1514.8</v>
      </c>
      <c r="F55" s="72">
        <f>SUM(F52:F54)</f>
        <v>348.98</v>
      </c>
      <c r="G55" s="72"/>
      <c r="H55" s="72"/>
      <c r="I55" s="72"/>
      <c r="J55" s="72"/>
      <c r="K55" s="72">
        <f>SUM(K48:K54)</f>
        <v>2195</v>
      </c>
      <c r="L55" s="72"/>
      <c r="M55" s="73">
        <f>SUM(E55:L55)</f>
        <v>4058.7799999999997</v>
      </c>
    </row>
    <row r="56" spans="1:13">
      <c r="A56" s="64">
        <v>45378</v>
      </c>
      <c r="D56" s="3">
        <v>240</v>
      </c>
      <c r="M56" s="51">
        <f>SUM(D56:L56)</f>
        <v>240</v>
      </c>
    </row>
    <row r="57" spans="1:13">
      <c r="A57" s="64">
        <v>45384</v>
      </c>
      <c r="D57" s="3">
        <v>150</v>
      </c>
      <c r="M57" s="51">
        <f>SUM(D57:L57)</f>
        <v>150</v>
      </c>
    </row>
    <row r="58" spans="1:13">
      <c r="A58" s="64">
        <v>45387</v>
      </c>
      <c r="D58" s="3">
        <v>519</v>
      </c>
      <c r="E58" s="3">
        <f>425.01</f>
        <v>425.01</v>
      </c>
      <c r="M58" s="51">
        <f>SUM(D58:L58)</f>
        <v>944.01</v>
      </c>
    </row>
    <row r="59" spans="1:13">
      <c r="A59" s="64">
        <v>45398</v>
      </c>
      <c r="D59" s="3">
        <v>385</v>
      </c>
      <c r="M59" s="51">
        <f>SUM(B59:L59)</f>
        <v>385</v>
      </c>
    </row>
    <row r="60" spans="1:13">
      <c r="A60" s="64">
        <v>45401</v>
      </c>
      <c r="B60" s="3">
        <v>289</v>
      </c>
      <c r="C60" s="3">
        <v>524.5</v>
      </c>
      <c r="D60" s="3">
        <v>573</v>
      </c>
      <c r="M60" s="51">
        <f>SUM(B60:L60)</f>
        <v>1386.5</v>
      </c>
    </row>
    <row r="61" spans="1:13">
      <c r="A61" s="556" t="s">
        <v>59</v>
      </c>
      <c r="B61" s="71">
        <f>SUM(B56:B60)</f>
        <v>289</v>
      </c>
      <c r="C61" s="72">
        <f>SUM(C56:C60)</f>
        <v>524.5</v>
      </c>
      <c r="D61" s="72">
        <f>SUM(D56:D60)</f>
        <v>1867</v>
      </c>
      <c r="E61" s="72">
        <f>SUM(E56:E60)</f>
        <v>425.01</v>
      </c>
      <c r="F61" s="72"/>
      <c r="G61" s="72"/>
      <c r="H61" s="72"/>
      <c r="I61" s="72"/>
      <c r="J61" s="72"/>
      <c r="K61" s="72"/>
      <c r="L61" s="72"/>
      <c r="M61" s="73">
        <f>SUM(M56:M60)</f>
        <v>3105.51</v>
      </c>
    </row>
    <row r="62" spans="1:13">
      <c r="A62" s="64">
        <v>45415</v>
      </c>
      <c r="B62" s="28">
        <v>61.19</v>
      </c>
      <c r="E62" s="28">
        <v>43</v>
      </c>
      <c r="M62" s="51">
        <f>SUM(B62:L62)</f>
        <v>104.19</v>
      </c>
    </row>
    <row r="63" spans="1:13">
      <c r="A63" s="64">
        <v>45432</v>
      </c>
      <c r="B63" s="3">
        <v>199.99</v>
      </c>
      <c r="E63" s="3">
        <v>189.99</v>
      </c>
      <c r="M63" s="51">
        <f>SUM(B63:L63)</f>
        <v>389.98</v>
      </c>
    </row>
    <row r="64" spans="1:13">
      <c r="A64" s="64">
        <v>45433</v>
      </c>
      <c r="C64" s="3">
        <v>1400</v>
      </c>
      <c r="M64" s="51">
        <f>SUM(B64:L64)</f>
        <v>1400</v>
      </c>
    </row>
    <row r="65" spans="1:13">
      <c r="A65" s="64">
        <v>45434</v>
      </c>
      <c r="B65" s="3">
        <f>219+2+299</f>
        <v>520</v>
      </c>
      <c r="E65" s="3">
        <f>23.99+36.99-7.4</f>
        <v>53.580000000000005</v>
      </c>
      <c r="M65" s="51">
        <f>SUM(B65:L65)</f>
        <v>573.58000000000004</v>
      </c>
    </row>
    <row r="66" spans="1:13">
      <c r="A66" s="64">
        <v>45435</v>
      </c>
      <c r="D66" s="3">
        <v>95</v>
      </c>
      <c r="M66" s="51">
        <f>SUM(B66:L66)</f>
        <v>95</v>
      </c>
    </row>
    <row r="67" spans="1:13">
      <c r="A67" s="633" t="s">
        <v>59</v>
      </c>
      <c r="B67" s="71">
        <f>SUM(B62:B66)</f>
        <v>781.18000000000006</v>
      </c>
      <c r="C67" s="72">
        <f>SUM(C62:C66)</f>
        <v>1400</v>
      </c>
      <c r="D67" s="72">
        <f>SUM(D62:D66)</f>
        <v>95</v>
      </c>
      <c r="E67" s="72">
        <f>SUM(E62:E66)</f>
        <v>286.57</v>
      </c>
      <c r="F67" s="72"/>
      <c r="G67" s="72"/>
      <c r="H67" s="72"/>
      <c r="I67" s="72"/>
      <c r="J67" s="72"/>
      <c r="K67" s="72"/>
      <c r="L67" s="72"/>
      <c r="M67" s="73">
        <f>SUM(M62:M66)</f>
        <v>2562.75</v>
      </c>
    </row>
    <row r="69" spans="1:13">
      <c r="A69" s="64">
        <v>45448</v>
      </c>
      <c r="E69" s="3">
        <v>330.92</v>
      </c>
      <c r="M69" s="51">
        <f t="shared" ref="M69:M75" si="6">SUM(B69:L69)</f>
        <v>330.92</v>
      </c>
    </row>
    <row r="70" spans="1:13">
      <c r="A70" s="64">
        <v>45450</v>
      </c>
      <c r="E70" s="3">
        <f>127+329.96</f>
        <v>456.96</v>
      </c>
      <c r="M70" s="51">
        <f t="shared" si="6"/>
        <v>456.96</v>
      </c>
    </row>
    <row r="71" spans="1:13">
      <c r="A71" s="64">
        <v>45453</v>
      </c>
      <c r="B71" s="3">
        <v>1117.1500000000001</v>
      </c>
      <c r="M71" s="51">
        <f t="shared" si="6"/>
        <v>1117.1500000000001</v>
      </c>
    </row>
    <row r="72" spans="1:13">
      <c r="A72" s="64">
        <v>45455</v>
      </c>
      <c r="E72" s="3">
        <v>53.98</v>
      </c>
      <c r="M72" s="51">
        <f t="shared" si="6"/>
        <v>53.98</v>
      </c>
    </row>
    <row r="73" spans="1:13">
      <c r="A73" s="64">
        <v>45463</v>
      </c>
      <c r="B73" s="3">
        <v>69.989999999999995</v>
      </c>
      <c r="M73" s="51">
        <f t="shared" si="6"/>
        <v>69.989999999999995</v>
      </c>
    </row>
    <row r="74" spans="1:13">
      <c r="A74" s="64">
        <v>45465</v>
      </c>
      <c r="E74" s="3">
        <v>325.02</v>
      </c>
      <c r="M74" s="51">
        <f t="shared" si="6"/>
        <v>325.02</v>
      </c>
    </row>
    <row r="75" spans="1:13">
      <c r="A75" s="64">
        <v>45470</v>
      </c>
      <c r="B75" s="3">
        <v>1220.94</v>
      </c>
      <c r="F75" s="3">
        <v>269.99</v>
      </c>
      <c r="M75" s="51">
        <f t="shared" si="6"/>
        <v>1490.93</v>
      </c>
    </row>
    <row r="76" spans="1:13">
      <c r="A76" s="703" t="s">
        <v>59</v>
      </c>
      <c r="B76" s="71">
        <f>SUM(B69:B75)</f>
        <v>2408.08</v>
      </c>
      <c r="C76" s="72"/>
      <c r="D76" s="72"/>
      <c r="E76" s="72">
        <f>SUM(E69:E75)</f>
        <v>1166.8800000000001</v>
      </c>
      <c r="F76" s="72">
        <f>SUM(F69:F75)</f>
        <v>269.99</v>
      </c>
      <c r="G76" s="72"/>
      <c r="H76" s="72"/>
      <c r="I76" s="72"/>
      <c r="J76" s="72"/>
      <c r="K76" s="72"/>
      <c r="L76" s="72"/>
      <c r="M76" s="73">
        <f>SUM(M69:M75)</f>
        <v>3844.9500000000007</v>
      </c>
    </row>
    <row r="77" spans="1:13">
      <c r="A77" s="67">
        <v>45481</v>
      </c>
      <c r="B77" s="47">
        <v>1209</v>
      </c>
      <c r="C77" s="47"/>
      <c r="D77" s="47"/>
      <c r="E77" s="47"/>
      <c r="F77" s="47">
        <v>692.94</v>
      </c>
      <c r="G77" s="47"/>
      <c r="H77" s="47"/>
      <c r="I77" s="47"/>
      <c r="J77" s="47"/>
      <c r="K77" s="47"/>
      <c r="L77" s="47"/>
      <c r="M77" s="51">
        <f>SUM(B77:L77)</f>
        <v>1901.94</v>
      </c>
    </row>
    <row r="78" spans="1:13">
      <c r="A78" s="67">
        <v>45485</v>
      </c>
      <c r="B78" s="47"/>
      <c r="C78" s="49">
        <v>1099</v>
      </c>
      <c r="D78" s="47">
        <v>92</v>
      </c>
      <c r="E78" s="47"/>
      <c r="F78" s="47"/>
      <c r="G78" s="47"/>
      <c r="H78" s="47"/>
      <c r="I78" s="47"/>
      <c r="J78" s="47"/>
      <c r="K78" s="47"/>
      <c r="L78" s="47"/>
      <c r="M78" s="51">
        <f>SUM(B78:L78)</f>
        <v>1191</v>
      </c>
    </row>
    <row r="79" spans="1:13">
      <c r="A79" s="67">
        <v>45504</v>
      </c>
      <c r="B79" s="47"/>
      <c r="C79" s="47"/>
      <c r="D79" s="47"/>
      <c r="E79" s="47"/>
      <c r="F79" s="49">
        <v>1995</v>
      </c>
      <c r="G79" s="47"/>
      <c r="H79" s="47"/>
      <c r="I79" s="47"/>
      <c r="J79" s="47"/>
      <c r="K79" s="47"/>
      <c r="L79" s="47"/>
      <c r="M79" s="51">
        <f>SUM(B79:L79)</f>
        <v>1995</v>
      </c>
    </row>
    <row r="80" spans="1:13">
      <c r="A80" s="1007" t="s">
        <v>59</v>
      </c>
      <c r="B80" s="71">
        <f>SUM(B77:B79)</f>
        <v>1209</v>
      </c>
      <c r="C80" s="72">
        <f>SUM(C77:C79)</f>
        <v>1099</v>
      </c>
      <c r="D80" s="72">
        <f>SUM(D77:D79)</f>
        <v>92</v>
      </c>
      <c r="E80" s="72"/>
      <c r="F80" s="72">
        <f>SUM(F77:F79)</f>
        <v>2687.94</v>
      </c>
      <c r="G80" s="72"/>
      <c r="H80" s="72"/>
      <c r="I80" s="72"/>
      <c r="J80" s="72"/>
      <c r="K80" s="72"/>
      <c r="L80" s="72"/>
      <c r="M80" s="73">
        <f>SUM(M77:M79)</f>
        <v>5087.9400000000005</v>
      </c>
    </row>
    <row r="81" spans="1:13">
      <c r="A81" s="1007" t="s">
        <v>52</v>
      </c>
      <c r="B81" s="1008" t="s">
        <v>58</v>
      </c>
      <c r="C81" s="1008" t="s">
        <v>93</v>
      </c>
      <c r="D81" s="1008" t="s">
        <v>55</v>
      </c>
      <c r="E81" s="1008" t="s">
        <v>54</v>
      </c>
      <c r="F81" s="1008" t="s">
        <v>57</v>
      </c>
      <c r="G81" s="1008" t="s">
        <v>137</v>
      </c>
      <c r="H81" s="1008" t="s">
        <v>92</v>
      </c>
      <c r="I81" s="1008" t="s">
        <v>56</v>
      </c>
      <c r="J81" s="1008" t="s">
        <v>91</v>
      </c>
      <c r="K81" s="1008" t="s">
        <v>53</v>
      </c>
      <c r="L81" s="1008" t="s">
        <v>90</v>
      </c>
      <c r="M81" s="66" t="s">
        <v>59</v>
      </c>
    </row>
    <row r="82" spans="1:13">
      <c r="A82" s="64">
        <v>45497</v>
      </c>
      <c r="E82" s="3">
        <v>650.37</v>
      </c>
      <c r="M82" s="51">
        <f>SUM(E82:L82)</f>
        <v>650.37</v>
      </c>
    </row>
    <row r="83" spans="1:13">
      <c r="A83" s="64">
        <v>45512</v>
      </c>
      <c r="F83" s="3">
        <v>465.46</v>
      </c>
      <c r="G83" s="3">
        <v>245</v>
      </c>
      <c r="M83" s="51">
        <f>SUM(E83:L83)</f>
        <v>710.46</v>
      </c>
    </row>
    <row r="84" spans="1:13">
      <c r="A84" s="64">
        <v>45513</v>
      </c>
      <c r="F84" s="3">
        <v>164.49</v>
      </c>
      <c r="M84" s="51">
        <f>SUM(E84:L84)</f>
        <v>164.49</v>
      </c>
    </row>
  </sheetData>
  <pageMargins left="0.70866141732283472" right="0.70866141732283472" top="0.74803149606299213" bottom="0.74803149606299213" header="0.31496062992125984" footer="0.31496062992125984"/>
  <pageSetup scale="4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G38"/>
  <sheetViews>
    <sheetView workbookViewId="0">
      <pane ySplit="1" topLeftCell="A17" activePane="bottomLeft" state="frozen"/>
      <selection pane="bottomLeft" activeCell="F50" sqref="F50"/>
    </sheetView>
  </sheetViews>
  <sheetFormatPr defaultRowHeight="14.5"/>
  <cols>
    <col min="1" max="2" width="10.7265625" style="204" bestFit="1" customWidth="1"/>
    <col min="3" max="4" width="10.7265625" style="204" customWidth="1"/>
    <col min="5" max="5" width="11.7265625" style="169" bestFit="1" customWidth="1"/>
    <col min="6" max="6" width="68.453125" style="205" bestFit="1" customWidth="1"/>
  </cols>
  <sheetData>
    <row r="1" spans="1:7" s="6" customFormat="1" ht="24.5">
      <c r="A1" s="740" t="s">
        <v>336</v>
      </c>
      <c r="B1" s="740" t="s">
        <v>836</v>
      </c>
      <c r="C1" s="740" t="s">
        <v>351</v>
      </c>
      <c r="D1" s="740" t="s">
        <v>8</v>
      </c>
      <c r="E1" s="740" t="s">
        <v>352</v>
      </c>
      <c r="F1" s="740" t="s">
        <v>337</v>
      </c>
      <c r="G1" s="199"/>
    </row>
    <row r="2" spans="1:7">
      <c r="A2" s="204">
        <v>4940.2700000000004</v>
      </c>
      <c r="D2" s="204">
        <f>SUM(A2:C2)</f>
        <v>4940.2700000000004</v>
      </c>
      <c r="E2" s="169">
        <f>A2</f>
        <v>4940.2700000000004</v>
      </c>
      <c r="F2" s="205" t="s">
        <v>345</v>
      </c>
    </row>
    <row r="3" spans="1:7">
      <c r="B3" s="204">
        <v>-5169.2700000000004</v>
      </c>
      <c r="D3" s="204">
        <f t="shared" ref="D3:D23" si="0">SUM(A3:C3)</f>
        <v>-5169.2700000000004</v>
      </c>
      <c r="E3" s="169">
        <f>+E2+D3</f>
        <v>-229</v>
      </c>
      <c r="F3" s="205" t="s">
        <v>344</v>
      </c>
      <c r="G3" s="3"/>
    </row>
    <row r="4" spans="1:7">
      <c r="A4" s="204">
        <v>877.2</v>
      </c>
      <c r="D4" s="204">
        <f t="shared" si="0"/>
        <v>877.2</v>
      </c>
      <c r="E4" s="169">
        <f>+E3+D4</f>
        <v>648.20000000000005</v>
      </c>
      <c r="F4" s="205" t="s">
        <v>346</v>
      </c>
    </row>
    <row r="5" spans="1:7">
      <c r="B5" s="204">
        <v>-648.20000000000005</v>
      </c>
      <c r="D5" s="204">
        <f t="shared" si="0"/>
        <v>-648.20000000000005</v>
      </c>
      <c r="E5" s="169">
        <f>+E4+D5</f>
        <v>0</v>
      </c>
      <c r="F5" s="205" t="s">
        <v>347</v>
      </c>
    </row>
    <row r="6" spans="1:7">
      <c r="A6" s="204">
        <v>7133</v>
      </c>
      <c r="D6" s="204">
        <f t="shared" si="0"/>
        <v>7133</v>
      </c>
      <c r="E6" s="169">
        <f>+E5+D6</f>
        <v>7133</v>
      </c>
      <c r="F6" s="205" t="s">
        <v>350</v>
      </c>
    </row>
    <row r="7" spans="1:7">
      <c r="B7" s="204">
        <v>-7133</v>
      </c>
      <c r="D7" s="204">
        <f t="shared" si="0"/>
        <v>-7133</v>
      </c>
      <c r="E7" s="169">
        <f t="shared" ref="E7:E23" si="1">+E6+D7</f>
        <v>0</v>
      </c>
    </row>
    <row r="8" spans="1:7">
      <c r="A8" s="204">
        <v>108</v>
      </c>
      <c r="C8" s="204">
        <v>-600</v>
      </c>
      <c r="D8" s="204">
        <f t="shared" si="0"/>
        <v>-492</v>
      </c>
      <c r="E8" s="169">
        <f t="shared" si="1"/>
        <v>-492</v>
      </c>
      <c r="F8" s="205" t="s">
        <v>353</v>
      </c>
    </row>
    <row r="9" spans="1:7">
      <c r="A9" s="204">
        <v>409.96</v>
      </c>
      <c r="D9" s="204">
        <f t="shared" si="0"/>
        <v>409.96</v>
      </c>
      <c r="E9" s="169">
        <f t="shared" si="1"/>
        <v>-82.04000000000002</v>
      </c>
    </row>
    <row r="10" spans="1:7">
      <c r="A10" s="204">
        <v>1199.49</v>
      </c>
      <c r="D10" s="204">
        <f t="shared" si="0"/>
        <v>1199.49</v>
      </c>
      <c r="E10" s="169">
        <f t="shared" si="1"/>
        <v>1117.45</v>
      </c>
      <c r="F10" s="205" t="s">
        <v>350</v>
      </c>
    </row>
    <row r="11" spans="1:7">
      <c r="C11" s="204">
        <v>-69.989999999999995</v>
      </c>
      <c r="D11" s="204">
        <f t="shared" si="0"/>
        <v>-69.989999999999995</v>
      </c>
      <c r="E11" s="169">
        <f t="shared" si="1"/>
        <v>1047.46</v>
      </c>
      <c r="F11" s="205" t="s">
        <v>354</v>
      </c>
    </row>
    <row r="12" spans="1:7">
      <c r="A12" s="204">
        <f>1198+2174</f>
        <v>3372</v>
      </c>
      <c r="D12" s="204">
        <f t="shared" si="0"/>
        <v>3372</v>
      </c>
      <c r="E12" s="169">
        <f t="shared" si="1"/>
        <v>4419.46</v>
      </c>
      <c r="F12" s="205" t="s">
        <v>355</v>
      </c>
    </row>
    <row r="13" spans="1:7">
      <c r="A13" s="204">
        <v>305</v>
      </c>
      <c r="D13" s="204">
        <f t="shared" si="0"/>
        <v>305</v>
      </c>
      <c r="E13" s="169">
        <f t="shared" si="1"/>
        <v>4724.46</v>
      </c>
      <c r="F13" s="205" t="s">
        <v>356</v>
      </c>
    </row>
    <row r="14" spans="1:7">
      <c r="C14" s="204">
        <v>-4510</v>
      </c>
      <c r="D14" s="204">
        <f t="shared" si="0"/>
        <v>-4510</v>
      </c>
      <c r="E14" s="169">
        <f t="shared" si="1"/>
        <v>214.46000000000004</v>
      </c>
      <c r="F14" s="205" t="s">
        <v>372</v>
      </c>
    </row>
    <row r="15" spans="1:7">
      <c r="A15" s="204">
        <v>259</v>
      </c>
      <c r="D15" s="204">
        <f t="shared" si="0"/>
        <v>259</v>
      </c>
      <c r="E15" s="169">
        <f t="shared" si="1"/>
        <v>473.46000000000004</v>
      </c>
      <c r="F15" s="205" t="s">
        <v>357</v>
      </c>
    </row>
    <row r="16" spans="1:7">
      <c r="A16" s="204">
        <v>85</v>
      </c>
      <c r="D16" s="204">
        <f t="shared" si="0"/>
        <v>85</v>
      </c>
      <c r="E16" s="169">
        <f t="shared" si="1"/>
        <v>558.46</v>
      </c>
      <c r="F16" s="205" t="s">
        <v>377</v>
      </c>
    </row>
    <row r="17" spans="1:6">
      <c r="A17" s="204">
        <v>90</v>
      </c>
      <c r="C17" s="204">
        <v>-500</v>
      </c>
      <c r="D17" s="204">
        <f t="shared" si="0"/>
        <v>-410</v>
      </c>
      <c r="E17" s="169">
        <f t="shared" si="1"/>
        <v>148.46000000000004</v>
      </c>
      <c r="F17" s="205" t="s">
        <v>407</v>
      </c>
    </row>
    <row r="18" spans="1:6">
      <c r="A18" s="204">
        <v>105</v>
      </c>
      <c r="D18" s="204">
        <f t="shared" si="0"/>
        <v>105</v>
      </c>
      <c r="E18" s="169">
        <f t="shared" si="1"/>
        <v>253.46000000000004</v>
      </c>
      <c r="F18" s="205" t="s">
        <v>423</v>
      </c>
    </row>
    <row r="19" spans="1:6">
      <c r="A19" s="204">
        <v>800</v>
      </c>
      <c r="D19" s="204">
        <f t="shared" si="0"/>
        <v>800</v>
      </c>
      <c r="E19" s="169">
        <f t="shared" si="1"/>
        <v>1053.46</v>
      </c>
      <c r="F19" s="205" t="s">
        <v>426</v>
      </c>
    </row>
    <row r="20" spans="1:6">
      <c r="B20" s="204">
        <v>-119</v>
      </c>
      <c r="D20" s="204">
        <f t="shared" si="0"/>
        <v>-119</v>
      </c>
      <c r="E20" s="169">
        <f t="shared" si="1"/>
        <v>934.46</v>
      </c>
      <c r="F20" s="205" t="s">
        <v>455</v>
      </c>
    </row>
    <row r="21" spans="1:6">
      <c r="B21" s="204">
        <v>-95</v>
      </c>
      <c r="D21" s="204">
        <f t="shared" si="0"/>
        <v>-95</v>
      </c>
      <c r="E21" s="169">
        <f t="shared" si="1"/>
        <v>839.46</v>
      </c>
      <c r="F21" s="205" t="s">
        <v>456</v>
      </c>
    </row>
    <row r="22" spans="1:6">
      <c r="A22" s="204">
        <v>330</v>
      </c>
      <c r="D22" s="204">
        <f t="shared" si="0"/>
        <v>330</v>
      </c>
      <c r="E22" s="169">
        <f t="shared" si="1"/>
        <v>1169.46</v>
      </c>
      <c r="F22" s="205" t="s">
        <v>478</v>
      </c>
    </row>
    <row r="23" spans="1:6">
      <c r="A23" s="373">
        <v>980.06</v>
      </c>
      <c r="B23" s="373"/>
      <c r="C23" s="373"/>
      <c r="D23" s="373">
        <f t="shared" si="0"/>
        <v>980.06</v>
      </c>
      <c r="E23" s="11">
        <f t="shared" si="1"/>
        <v>2149.52</v>
      </c>
      <c r="F23" s="374" t="s">
        <v>645</v>
      </c>
    </row>
    <row r="24" spans="1:6">
      <c r="A24" s="420"/>
      <c r="B24" s="421"/>
      <c r="C24" s="421"/>
      <c r="D24" s="422" t="s">
        <v>59</v>
      </c>
      <c r="E24" s="423">
        <f>E23</f>
        <v>2149.52</v>
      </c>
      <c r="F24" s="424" t="s">
        <v>655</v>
      </c>
    </row>
    <row r="25" spans="1:6">
      <c r="B25" s="204">
        <v>-450</v>
      </c>
      <c r="E25" s="169">
        <f>SUM(A25:D25)</f>
        <v>-450</v>
      </c>
      <c r="F25" s="205" t="s">
        <v>747</v>
      </c>
    </row>
    <row r="26" spans="1:6">
      <c r="B26" s="204">
        <v>-36.700000000000003</v>
      </c>
      <c r="E26" s="169">
        <f>+E25+B26</f>
        <v>-486.7</v>
      </c>
      <c r="F26" s="205" t="s">
        <v>694</v>
      </c>
    </row>
    <row r="27" spans="1:6">
      <c r="B27" s="204">
        <v>-50</v>
      </c>
      <c r="E27" s="169">
        <f>+E26+B27</f>
        <v>-536.70000000000005</v>
      </c>
      <c r="F27" s="205" t="s">
        <v>724</v>
      </c>
    </row>
    <row r="28" spans="1:6">
      <c r="A28" s="204">
        <v>43</v>
      </c>
      <c r="E28" s="169">
        <f>+E27+A28</f>
        <v>-493.70000000000005</v>
      </c>
      <c r="F28" s="205" t="s">
        <v>783</v>
      </c>
    </row>
    <row r="29" spans="1:6">
      <c r="A29" s="204">
        <v>61.19</v>
      </c>
      <c r="E29" s="169">
        <f>+E28+A29</f>
        <v>-432.51000000000005</v>
      </c>
      <c r="F29" s="205" t="s">
        <v>837</v>
      </c>
    </row>
    <row r="30" spans="1:6">
      <c r="B30" s="204">
        <v>500</v>
      </c>
      <c r="E30" s="169">
        <f>+E29+B30</f>
        <v>67.489999999999952</v>
      </c>
      <c r="F30" s="205" t="s">
        <v>838</v>
      </c>
    </row>
    <row r="31" spans="1:6">
      <c r="A31" s="204">
        <v>200</v>
      </c>
      <c r="E31" s="169">
        <f>+E30+A31</f>
        <v>267.48999999999995</v>
      </c>
      <c r="F31" s="205" t="s">
        <v>867</v>
      </c>
    </row>
    <row r="32" spans="1:6">
      <c r="A32" s="204">
        <v>100</v>
      </c>
      <c r="E32" s="169">
        <f>+E31+A32</f>
        <v>367.48999999999995</v>
      </c>
      <c r="F32" s="205" t="s">
        <v>887</v>
      </c>
    </row>
    <row r="33" spans="1:6">
      <c r="B33" s="204">
        <v>-56</v>
      </c>
      <c r="E33" s="169">
        <f>+E32+B33</f>
        <v>311.48999999999995</v>
      </c>
      <c r="F33" s="205" t="s">
        <v>939</v>
      </c>
    </row>
    <row r="34" spans="1:6">
      <c r="A34" s="204">
        <v>99.36</v>
      </c>
      <c r="E34" s="169">
        <f>+E33+A34</f>
        <v>410.84999999999997</v>
      </c>
      <c r="F34" s="205" t="s">
        <v>1006</v>
      </c>
    </row>
    <row r="35" spans="1:6">
      <c r="A35" s="420"/>
      <c r="B35" s="421"/>
      <c r="C35" s="421"/>
      <c r="D35" s="422" t="s">
        <v>59</v>
      </c>
      <c r="E35" s="423">
        <f>E34</f>
        <v>410.84999999999997</v>
      </c>
      <c r="F35" s="424" t="s">
        <v>1013</v>
      </c>
    </row>
    <row r="36" spans="1:6">
      <c r="A36" s="204">
        <v>1099</v>
      </c>
      <c r="E36" s="169">
        <f>SUM(A36:D36)</f>
        <v>1099</v>
      </c>
      <c r="F36" s="205" t="s">
        <v>1122</v>
      </c>
    </row>
    <row r="37" spans="1:6">
      <c r="A37" s="204">
        <v>1995</v>
      </c>
      <c r="E37" s="169">
        <f>SUM(A37:D37)</f>
        <v>1995</v>
      </c>
      <c r="F37" s="205" t="s">
        <v>1257</v>
      </c>
    </row>
    <row r="38" spans="1:6">
      <c r="A38" s="420"/>
      <c r="B38" s="421"/>
      <c r="C38" s="421"/>
      <c r="D38" s="422" t="s">
        <v>59</v>
      </c>
      <c r="E38" s="423">
        <f>SUM(E36:E37)</f>
        <v>3094</v>
      </c>
      <c r="F38" s="424" t="s">
        <v>1013</v>
      </c>
    </row>
  </sheetData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2060"/>
    <pageSetUpPr fitToPage="1"/>
  </sheetPr>
  <dimension ref="A1:O359"/>
  <sheetViews>
    <sheetView workbookViewId="0">
      <pane ySplit="1" topLeftCell="A32" activePane="bottomLeft" state="frozen"/>
      <selection pane="bottomLeft" activeCell="E54" sqref="E54"/>
    </sheetView>
  </sheetViews>
  <sheetFormatPr defaultRowHeight="14.5"/>
  <cols>
    <col min="1" max="1" width="10.1796875" style="67" bestFit="1" customWidth="1"/>
    <col min="2" max="2" width="13.1796875" style="3" customWidth="1"/>
    <col min="3" max="3" width="10.7265625" style="3" customWidth="1"/>
    <col min="4" max="4" width="46.54296875" style="113" customWidth="1"/>
    <col min="5" max="5" width="10.1796875" bestFit="1" customWidth="1"/>
    <col min="6" max="6" width="11.54296875" bestFit="1" customWidth="1"/>
    <col min="7" max="7" width="13.1796875" customWidth="1"/>
    <col min="8" max="8" width="4.1796875" style="574" customWidth="1"/>
    <col min="9" max="9" width="10.7265625" customWidth="1"/>
    <col min="10" max="10" width="6.81640625" bestFit="1" customWidth="1"/>
    <col min="11" max="11" width="9.1796875" style="26" bestFit="1" customWidth="1"/>
    <col min="12" max="12" width="13.81640625" customWidth="1"/>
    <col min="13" max="13" width="10.7265625" bestFit="1" customWidth="1"/>
    <col min="14" max="14" width="16.1796875" bestFit="1" customWidth="1"/>
    <col min="15" max="15" width="10.7265625" bestFit="1" customWidth="1"/>
  </cols>
  <sheetData>
    <row r="1" spans="1:15" s="6" customFormat="1">
      <c r="A1" s="116" t="s">
        <v>52</v>
      </c>
      <c r="B1" s="115" t="s">
        <v>233</v>
      </c>
      <c r="C1" s="65" t="s">
        <v>402</v>
      </c>
      <c r="D1" s="112" t="s">
        <v>138</v>
      </c>
      <c r="E1" s="1102" t="s">
        <v>427</v>
      </c>
      <c r="F1" s="1103"/>
      <c r="G1" s="1104"/>
      <c r="H1" s="565"/>
      <c r="I1" s="116" t="s">
        <v>470</v>
      </c>
      <c r="J1" s="583" t="s">
        <v>776</v>
      </c>
      <c r="K1" s="585" t="s">
        <v>464</v>
      </c>
      <c r="L1" s="442"/>
    </row>
    <row r="2" spans="1:15">
      <c r="A2" s="67">
        <v>45278</v>
      </c>
      <c r="B2" s="316" t="s">
        <v>234</v>
      </c>
      <c r="C2" s="62">
        <v>397</v>
      </c>
      <c r="D2" s="113" t="s">
        <v>775</v>
      </c>
      <c r="E2" s="43"/>
      <c r="F2" s="43"/>
      <c r="G2" s="26"/>
      <c r="H2" s="582"/>
      <c r="I2" s="584"/>
      <c r="J2" t="s">
        <v>2</v>
      </c>
      <c r="K2" s="534">
        <v>37018</v>
      </c>
      <c r="L2" s="535"/>
      <c r="M2" s="322" t="s">
        <v>152</v>
      </c>
      <c r="N2" s="323" t="s">
        <v>265</v>
      </c>
      <c r="O2" s="324" t="s">
        <v>5</v>
      </c>
    </row>
    <row r="3" spans="1:15">
      <c r="A3" s="67">
        <v>45278</v>
      </c>
      <c r="B3" s="316" t="s">
        <v>236</v>
      </c>
      <c r="C3" s="62">
        <v>715.95</v>
      </c>
      <c r="D3" s="113" t="s">
        <v>237</v>
      </c>
      <c r="E3" s="43"/>
      <c r="F3" s="43"/>
      <c r="G3" s="26"/>
      <c r="H3" s="582"/>
      <c r="I3" s="26"/>
      <c r="J3" t="s">
        <v>15</v>
      </c>
      <c r="K3" s="534">
        <v>8612</v>
      </c>
      <c r="M3" s="254"/>
      <c r="N3" s="43" t="s">
        <v>289</v>
      </c>
      <c r="O3" s="189">
        <v>300</v>
      </c>
    </row>
    <row r="4" spans="1:15">
      <c r="A4" s="67">
        <v>45278</v>
      </c>
      <c r="B4" s="316" t="s">
        <v>238</v>
      </c>
      <c r="C4" s="62">
        <v>444.1</v>
      </c>
      <c r="D4" s="113" t="s">
        <v>247</v>
      </c>
      <c r="E4" s="43"/>
      <c r="F4" s="43"/>
      <c r="G4" s="26"/>
      <c r="H4" s="582"/>
      <c r="I4" s="26"/>
      <c r="J4" t="s">
        <v>29</v>
      </c>
      <c r="K4" s="534">
        <v>0</v>
      </c>
      <c r="M4" s="254"/>
      <c r="N4" s="43" t="s">
        <v>290</v>
      </c>
      <c r="O4" s="189">
        <v>300</v>
      </c>
    </row>
    <row r="5" spans="1:15">
      <c r="A5" s="67">
        <v>45278</v>
      </c>
      <c r="B5" s="316" t="s">
        <v>239</v>
      </c>
      <c r="C5" s="62">
        <v>102</v>
      </c>
      <c r="D5" s="113" t="s">
        <v>240</v>
      </c>
      <c r="E5" s="43"/>
      <c r="F5" s="43"/>
      <c r="G5" s="26"/>
      <c r="H5" s="582"/>
      <c r="I5" s="26"/>
      <c r="J5" t="s">
        <v>30</v>
      </c>
      <c r="K5" s="534">
        <v>14006</v>
      </c>
      <c r="M5" s="218"/>
      <c r="N5" s="314" t="s">
        <v>578</v>
      </c>
      <c r="O5" s="261"/>
    </row>
    <row r="6" spans="1:15">
      <c r="A6" s="67">
        <v>45278</v>
      </c>
      <c r="B6" s="316" t="s">
        <v>243</v>
      </c>
      <c r="C6" s="62">
        <v>97.9</v>
      </c>
      <c r="D6" s="113" t="s">
        <v>244</v>
      </c>
      <c r="E6" s="43"/>
      <c r="F6" s="43"/>
      <c r="G6" s="26"/>
      <c r="H6" s="582"/>
      <c r="I6" s="26"/>
      <c r="J6" t="s">
        <v>183</v>
      </c>
      <c r="K6" s="534">
        <v>0</v>
      </c>
    </row>
    <row r="7" spans="1:15">
      <c r="A7" s="67">
        <v>45278</v>
      </c>
      <c r="B7" s="316" t="s">
        <v>245</v>
      </c>
      <c r="C7" s="62">
        <v>447</v>
      </c>
      <c r="D7" s="113" t="s">
        <v>246</v>
      </c>
      <c r="E7" s="43"/>
      <c r="F7" s="43"/>
      <c r="G7" s="26"/>
      <c r="H7" s="582"/>
      <c r="I7" s="26"/>
      <c r="J7" t="s">
        <v>420</v>
      </c>
      <c r="K7" s="534">
        <v>0</v>
      </c>
    </row>
    <row r="8" spans="1:15">
      <c r="A8" s="67">
        <v>45279</v>
      </c>
      <c r="B8" s="316" t="s">
        <v>235</v>
      </c>
      <c r="C8" s="62">
        <v>1015</v>
      </c>
      <c r="D8" s="113" t="s">
        <v>774</v>
      </c>
      <c r="E8" s="43"/>
      <c r="F8" s="43"/>
      <c r="G8" s="26"/>
      <c r="H8" s="582"/>
      <c r="I8" s="26"/>
      <c r="J8" t="s">
        <v>596</v>
      </c>
      <c r="K8" s="534">
        <v>0</v>
      </c>
    </row>
    <row r="9" spans="1:15">
      <c r="A9" s="67">
        <v>45279</v>
      </c>
      <c r="B9" s="316" t="s">
        <v>241</v>
      </c>
      <c r="C9" s="62">
        <v>2515</v>
      </c>
      <c r="D9" s="113" t="s">
        <v>242</v>
      </c>
      <c r="E9" s="43"/>
      <c r="F9" s="43"/>
      <c r="G9" s="26"/>
      <c r="H9" s="582"/>
      <c r="I9" s="26"/>
      <c r="J9" t="s">
        <v>701</v>
      </c>
      <c r="K9" s="534">
        <v>0</v>
      </c>
    </row>
    <row r="10" spans="1:15">
      <c r="A10" s="70">
        <v>45280</v>
      </c>
      <c r="B10" s="110" t="s">
        <v>59</v>
      </c>
      <c r="C10" s="111">
        <f>SUM(C2:C9)</f>
        <v>5733.9500000000007</v>
      </c>
      <c r="D10" s="114" t="s">
        <v>249</v>
      </c>
      <c r="E10" s="43"/>
      <c r="F10" s="43"/>
      <c r="G10" s="26"/>
      <c r="H10" s="582"/>
      <c r="I10" s="26"/>
      <c r="K10" s="534"/>
    </row>
    <row r="11" spans="1:15">
      <c r="A11" s="116" t="s">
        <v>52</v>
      </c>
      <c r="B11" s="1007" t="s">
        <v>233</v>
      </c>
      <c r="C11" s="1008" t="s">
        <v>402</v>
      </c>
      <c r="D11" s="1009" t="s">
        <v>138</v>
      </c>
      <c r="E11" s="1105" t="s">
        <v>427</v>
      </c>
      <c r="F11" s="1106"/>
      <c r="G11" s="1107"/>
      <c r="H11" s="582"/>
      <c r="I11" s="1009" t="s">
        <v>470</v>
      </c>
      <c r="M11" s="222"/>
      <c r="N11" s="43"/>
      <c r="O11" s="78"/>
    </row>
    <row r="12" spans="1:15">
      <c r="A12" s="192">
        <v>45282</v>
      </c>
      <c r="B12" s="378" t="s">
        <v>245</v>
      </c>
      <c r="C12" s="193">
        <v>59</v>
      </c>
      <c r="D12" s="223" t="s">
        <v>255</v>
      </c>
      <c r="E12" s="221">
        <v>45295</v>
      </c>
      <c r="F12" s="185" t="s">
        <v>266</v>
      </c>
      <c r="G12" s="186">
        <v>250</v>
      </c>
      <c r="H12" s="582"/>
      <c r="I12" s="188"/>
      <c r="J12" s="175"/>
      <c r="K12" s="534"/>
    </row>
    <row r="13" spans="1:15">
      <c r="A13" s="67">
        <v>45287</v>
      </c>
      <c r="B13" s="379" t="s">
        <v>239</v>
      </c>
      <c r="C13" s="47">
        <v>62</v>
      </c>
      <c r="D13" s="113" t="s">
        <v>267</v>
      </c>
      <c r="E13" s="222"/>
      <c r="F13" s="187" t="s">
        <v>325</v>
      </c>
      <c r="G13" s="188">
        <v>250</v>
      </c>
      <c r="H13" s="582"/>
      <c r="I13" s="188"/>
      <c r="J13" s="586" t="s">
        <v>8</v>
      </c>
      <c r="K13" s="587">
        <f>SUM(K2:K12)</f>
        <v>59636</v>
      </c>
    </row>
    <row r="14" spans="1:15">
      <c r="A14" s="67">
        <v>45295</v>
      </c>
      <c r="B14" s="379" t="s">
        <v>254</v>
      </c>
      <c r="C14" s="47">
        <v>79.98</v>
      </c>
      <c r="D14" s="113" t="s">
        <v>295</v>
      </c>
      <c r="E14" s="222">
        <v>45300</v>
      </c>
      <c r="F14" s="43" t="s">
        <v>266</v>
      </c>
      <c r="G14" s="189">
        <v>250</v>
      </c>
      <c r="H14" s="582"/>
      <c r="I14" s="189"/>
      <c r="J14" s="62"/>
      <c r="K14" s="534"/>
    </row>
    <row r="15" spans="1:15">
      <c r="A15" s="67">
        <v>45300</v>
      </c>
      <c r="B15" s="379" t="s">
        <v>235</v>
      </c>
      <c r="C15" s="47">
        <v>695</v>
      </c>
      <c r="D15" s="113" t="s">
        <v>327</v>
      </c>
      <c r="E15" s="222">
        <v>45295</v>
      </c>
      <c r="F15" s="43" t="s">
        <v>329</v>
      </c>
      <c r="G15" s="189">
        <f>30*13.8</f>
        <v>414</v>
      </c>
      <c r="H15" s="581"/>
      <c r="I15" s="189"/>
      <c r="J15" s="62"/>
      <c r="K15" s="534"/>
      <c r="M15" s="184"/>
      <c r="N15" s="174"/>
      <c r="O15" s="175"/>
    </row>
    <row r="16" spans="1:15">
      <c r="A16" s="67">
        <v>45300</v>
      </c>
      <c r="B16" s="379" t="s">
        <v>236</v>
      </c>
      <c r="C16" s="47">
        <v>740</v>
      </c>
      <c r="D16" s="113" t="s">
        <v>328</v>
      </c>
      <c r="E16" s="222"/>
      <c r="F16" s="43"/>
      <c r="G16" s="190">
        <f>SUM(G12:G15)</f>
        <v>1164</v>
      </c>
      <c r="H16" s="1068"/>
      <c r="I16" s="190"/>
      <c r="J16" s="78"/>
      <c r="K16" s="534"/>
      <c r="M16" s="184"/>
      <c r="N16" s="174"/>
      <c r="O16" s="175"/>
    </row>
    <row r="17" spans="1:15">
      <c r="A17" s="67">
        <v>45301</v>
      </c>
      <c r="B17" s="379" t="s">
        <v>330</v>
      </c>
      <c r="C17" s="47">
        <v>1164</v>
      </c>
      <c r="D17" s="113" t="s">
        <v>331</v>
      </c>
      <c r="E17" s="43"/>
      <c r="F17" s="43"/>
      <c r="G17" s="26"/>
      <c r="H17" s="1068"/>
      <c r="I17" s="26"/>
      <c r="K17" s="534"/>
      <c r="M17" s="184"/>
      <c r="O17" s="62"/>
    </row>
    <row r="18" spans="1:15">
      <c r="A18" s="70">
        <v>45301</v>
      </c>
      <c r="B18" s="110" t="s">
        <v>59</v>
      </c>
      <c r="C18" s="111">
        <f>SUM(C12:C17)</f>
        <v>2799.98</v>
      </c>
      <c r="D18" s="114"/>
      <c r="E18" s="31"/>
      <c r="F18" s="31"/>
      <c r="G18" s="191"/>
      <c r="H18" s="1068"/>
      <c r="I18" s="191"/>
      <c r="K18" s="534"/>
      <c r="M18" s="222"/>
      <c r="N18" s="43"/>
      <c r="O18" s="62"/>
    </row>
    <row r="19" spans="1:15">
      <c r="A19" s="116" t="s">
        <v>52</v>
      </c>
      <c r="B19" s="1007" t="s">
        <v>233</v>
      </c>
      <c r="C19" s="1008" t="s">
        <v>402</v>
      </c>
      <c r="D19" s="1009" t="s">
        <v>138</v>
      </c>
      <c r="E19" s="1105" t="s">
        <v>427</v>
      </c>
      <c r="F19" s="1106"/>
      <c r="G19" s="1107"/>
      <c r="H19" s="1068"/>
      <c r="I19" s="1009" t="s">
        <v>470</v>
      </c>
      <c r="M19" s="222"/>
      <c r="N19" s="43"/>
      <c r="O19" s="78"/>
    </row>
    <row r="20" spans="1:15">
      <c r="A20" s="192">
        <v>45303</v>
      </c>
      <c r="B20" s="378" t="s">
        <v>361</v>
      </c>
      <c r="C20" s="193">
        <v>118.55</v>
      </c>
      <c r="D20" s="223" t="s">
        <v>362</v>
      </c>
      <c r="E20" s="252">
        <v>45303</v>
      </c>
      <c r="F20" s="253" t="s">
        <v>266</v>
      </c>
      <c r="G20" s="255">
        <v>250</v>
      </c>
      <c r="H20" s="1068"/>
      <c r="I20" s="26"/>
      <c r="M20" s="222"/>
      <c r="N20" s="43"/>
      <c r="O20" s="78"/>
    </row>
    <row r="21" spans="1:15">
      <c r="A21" s="67">
        <v>45303</v>
      </c>
      <c r="B21" s="379" t="s">
        <v>363</v>
      </c>
      <c r="C21" s="47">
        <f>117.99+81.99</f>
        <v>199.98</v>
      </c>
      <c r="D21" s="113" t="s">
        <v>364</v>
      </c>
      <c r="E21" s="254"/>
      <c r="F21" s="53" t="s">
        <v>56</v>
      </c>
      <c r="G21" s="188">
        <v>50</v>
      </c>
      <c r="H21" s="1068"/>
      <c r="I21" s="189">
        <v>50</v>
      </c>
      <c r="M21" s="222"/>
      <c r="N21" s="53"/>
      <c r="O21" s="62"/>
    </row>
    <row r="22" spans="1:15">
      <c r="A22" s="67">
        <v>45323</v>
      </c>
      <c r="B22" s="379" t="s">
        <v>427</v>
      </c>
      <c r="C22" s="47">
        <v>600</v>
      </c>
      <c r="D22" s="113" t="s">
        <v>331</v>
      </c>
      <c r="E22" s="254">
        <v>45310</v>
      </c>
      <c r="F22" s="53" t="s">
        <v>266</v>
      </c>
      <c r="G22" s="188">
        <v>250</v>
      </c>
      <c r="H22" s="82"/>
      <c r="I22" s="270">
        <v>50</v>
      </c>
      <c r="M22" s="222"/>
      <c r="N22" s="53"/>
      <c r="O22" s="62"/>
    </row>
    <row r="23" spans="1:15">
      <c r="B23" s="47"/>
      <c r="C23" s="47"/>
      <c r="E23" s="254"/>
      <c r="F23" s="53" t="s">
        <v>56</v>
      </c>
      <c r="G23" s="188">
        <v>50</v>
      </c>
      <c r="H23" s="82"/>
      <c r="I23" s="271"/>
      <c r="M23" s="222"/>
      <c r="N23" s="53"/>
      <c r="O23" s="62"/>
    </row>
    <row r="24" spans="1:15">
      <c r="A24" s="70">
        <v>45323</v>
      </c>
      <c r="B24" s="110" t="s">
        <v>59</v>
      </c>
      <c r="C24" s="111">
        <f>SUM(C20:C23)</f>
        <v>918.53</v>
      </c>
      <c r="D24" s="326" t="s">
        <v>589</v>
      </c>
      <c r="E24" s="218"/>
      <c r="F24" s="31"/>
      <c r="G24" s="256">
        <f>SUM(G20:G23)</f>
        <v>600</v>
      </c>
      <c r="H24" s="82"/>
      <c r="I24" s="275">
        <f>SUM(I21:I23)</f>
        <v>100</v>
      </c>
      <c r="M24" s="222"/>
      <c r="N24" s="53"/>
      <c r="O24" s="62"/>
    </row>
    <row r="25" spans="1:15">
      <c r="A25" s="116" t="s">
        <v>52</v>
      </c>
      <c r="B25" s="1007" t="s">
        <v>233</v>
      </c>
      <c r="C25" s="1008" t="s">
        <v>402</v>
      </c>
      <c r="D25" s="1009" t="s">
        <v>138</v>
      </c>
      <c r="E25" s="1105" t="s">
        <v>427</v>
      </c>
      <c r="F25" s="1106"/>
      <c r="G25" s="1107"/>
      <c r="H25" s="82"/>
      <c r="I25" s="116" t="s">
        <v>470</v>
      </c>
      <c r="M25" s="222"/>
      <c r="N25" s="43"/>
      <c r="O25" s="78"/>
    </row>
    <row r="26" spans="1:15">
      <c r="A26" s="192">
        <v>45351</v>
      </c>
      <c r="B26" s="377" t="s">
        <v>427</v>
      </c>
      <c r="C26" s="3">
        <f>G28</f>
        <v>300</v>
      </c>
      <c r="D26" s="113" t="s">
        <v>331</v>
      </c>
      <c r="E26" s="252">
        <v>45345</v>
      </c>
      <c r="F26" s="253" t="s">
        <v>450</v>
      </c>
      <c r="G26" s="255">
        <v>250</v>
      </c>
      <c r="H26" s="82"/>
      <c r="I26" s="271"/>
      <c r="M26" s="222"/>
      <c r="N26" s="43"/>
      <c r="O26" s="78"/>
    </row>
    <row r="27" spans="1:15">
      <c r="E27" s="312"/>
      <c r="F27" s="53" t="s">
        <v>56</v>
      </c>
      <c r="G27" s="188">
        <v>50</v>
      </c>
      <c r="H27" s="82"/>
      <c r="I27" s="270">
        <v>50</v>
      </c>
      <c r="M27" s="222"/>
      <c r="N27" s="43"/>
      <c r="O27" s="62"/>
    </row>
    <row r="28" spans="1:15">
      <c r="A28" s="70"/>
      <c r="B28" s="110" t="s">
        <v>59</v>
      </c>
      <c r="C28" s="11">
        <v>300</v>
      </c>
      <c r="D28" s="326" t="s">
        <v>589</v>
      </c>
      <c r="E28" s="35"/>
      <c r="F28" s="31"/>
      <c r="G28" s="256">
        <f>SUM(G26:G27)</f>
        <v>300</v>
      </c>
      <c r="H28" s="82"/>
      <c r="I28" s="275">
        <f>SUM(I27)</f>
        <v>50</v>
      </c>
      <c r="M28" s="222"/>
      <c r="N28" s="43"/>
      <c r="O28" s="62"/>
    </row>
    <row r="29" spans="1:15">
      <c r="A29" s="116" t="s">
        <v>52</v>
      </c>
      <c r="B29" s="1007" t="s">
        <v>233</v>
      </c>
      <c r="C29" s="1008" t="s">
        <v>402</v>
      </c>
      <c r="D29" s="1009" t="s">
        <v>138</v>
      </c>
      <c r="E29" s="1105" t="s">
        <v>427</v>
      </c>
      <c r="F29" s="1106"/>
      <c r="G29" s="1107"/>
      <c r="H29" s="82"/>
      <c r="I29" s="116" t="s">
        <v>470</v>
      </c>
      <c r="M29" s="222"/>
      <c r="N29" s="43"/>
      <c r="O29" s="78"/>
    </row>
    <row r="30" spans="1:15">
      <c r="A30" s="67">
        <v>45369</v>
      </c>
      <c r="B30" s="377" t="s">
        <v>236</v>
      </c>
      <c r="C30" s="3">
        <v>855.39</v>
      </c>
      <c r="D30" s="113" t="s">
        <v>619</v>
      </c>
      <c r="E30" s="254">
        <v>45373</v>
      </c>
      <c r="F30" s="53" t="s">
        <v>450</v>
      </c>
      <c r="G30" s="189">
        <v>250</v>
      </c>
      <c r="H30" s="82"/>
      <c r="I30" s="269">
        <v>50</v>
      </c>
    </row>
    <row r="31" spans="1:15">
      <c r="A31" s="67">
        <v>45369</v>
      </c>
      <c r="B31" s="377" t="s">
        <v>623</v>
      </c>
      <c r="C31" s="3">
        <v>278.97000000000003</v>
      </c>
      <c r="D31" s="113" t="s">
        <v>624</v>
      </c>
      <c r="F31" s="53" t="s">
        <v>56</v>
      </c>
      <c r="G31" s="188">
        <v>50</v>
      </c>
      <c r="H31" s="82"/>
      <c r="I31" s="270">
        <v>50</v>
      </c>
    </row>
    <row r="32" spans="1:15">
      <c r="A32" s="67">
        <v>45371</v>
      </c>
      <c r="B32" s="377" t="s">
        <v>245</v>
      </c>
      <c r="C32" s="3">
        <v>256</v>
      </c>
      <c r="D32" s="113" t="s">
        <v>629</v>
      </c>
      <c r="E32" s="24">
        <v>45377</v>
      </c>
      <c r="F32" s="53" t="s">
        <v>450</v>
      </c>
      <c r="G32" s="188">
        <v>250</v>
      </c>
      <c r="H32" s="82"/>
      <c r="I32" s="270">
        <v>100</v>
      </c>
    </row>
    <row r="33" spans="1:15">
      <c r="A33" s="67">
        <v>45374</v>
      </c>
      <c r="B33" s="377" t="s">
        <v>642</v>
      </c>
      <c r="C33" s="3">
        <v>49.99</v>
      </c>
      <c r="D33" s="113" t="s">
        <v>643</v>
      </c>
      <c r="F33" s="53" t="s">
        <v>56</v>
      </c>
      <c r="G33" s="188">
        <v>50</v>
      </c>
      <c r="H33" s="82"/>
      <c r="I33" s="270"/>
    </row>
    <row r="34" spans="1:15">
      <c r="B34" s="377" t="s">
        <v>236</v>
      </c>
      <c r="C34" s="3">
        <v>459.99</v>
      </c>
      <c r="D34" s="113" t="s">
        <v>644</v>
      </c>
      <c r="E34" s="24">
        <v>45382</v>
      </c>
      <c r="F34" t="s">
        <v>450</v>
      </c>
      <c r="G34" s="188">
        <v>500</v>
      </c>
      <c r="H34" s="82"/>
      <c r="I34" s="270"/>
    </row>
    <row r="35" spans="1:15">
      <c r="B35" s="377" t="s">
        <v>427</v>
      </c>
      <c r="C35" s="3">
        <v>1200</v>
      </c>
      <c r="D35" s="113" t="s">
        <v>331</v>
      </c>
      <c r="E35" s="376" t="s">
        <v>656</v>
      </c>
      <c r="F35" t="s">
        <v>56</v>
      </c>
      <c r="G35" s="188">
        <v>100</v>
      </c>
      <c r="H35" s="569"/>
      <c r="I35" s="270"/>
    </row>
    <row r="36" spans="1:15">
      <c r="A36" s="67">
        <v>45377</v>
      </c>
      <c r="B36" s="377" t="s">
        <v>659</v>
      </c>
      <c r="C36" s="3">
        <v>1253.23</v>
      </c>
      <c r="D36" s="113" t="s">
        <v>661</v>
      </c>
      <c r="E36" s="376"/>
      <c r="G36" s="274"/>
      <c r="H36" s="573"/>
      <c r="I36" s="270"/>
    </row>
    <row r="37" spans="1:15">
      <c r="B37" s="377"/>
      <c r="D37" s="113" t="s">
        <v>660</v>
      </c>
      <c r="E37" s="376"/>
      <c r="G37" s="274"/>
      <c r="H37" s="573"/>
      <c r="I37" s="270"/>
    </row>
    <row r="38" spans="1:15">
      <c r="A38" s="67">
        <v>45382</v>
      </c>
      <c r="B38" s="377" t="s">
        <v>468</v>
      </c>
      <c r="C38" s="3">
        <v>968.17</v>
      </c>
      <c r="D38" s="113" t="s">
        <v>657</v>
      </c>
      <c r="E38" s="376"/>
      <c r="G38" s="274"/>
      <c r="H38" s="573"/>
      <c r="I38" s="270"/>
    </row>
    <row r="39" spans="1:15">
      <c r="B39" s="377"/>
      <c r="D39" s="113" t="s">
        <v>658</v>
      </c>
      <c r="E39" s="376"/>
      <c r="G39" s="274"/>
      <c r="H39" s="573"/>
      <c r="I39" s="270"/>
    </row>
    <row r="40" spans="1:15">
      <c r="A40" s="577">
        <v>45383</v>
      </c>
      <c r="B40" s="110" t="s">
        <v>59</v>
      </c>
      <c r="C40" s="11">
        <f>SUM(C30:C39)</f>
        <v>5321.74</v>
      </c>
      <c r="D40" s="326" t="s">
        <v>589</v>
      </c>
      <c r="E40" s="31"/>
      <c r="F40" s="31"/>
      <c r="G40" s="256">
        <f>SUM(G30:G35)</f>
        <v>1200</v>
      </c>
      <c r="H40" s="573"/>
      <c r="I40" s="275">
        <f>SUM(I30:I35)</f>
        <v>200</v>
      </c>
    </row>
    <row r="41" spans="1:15">
      <c r="A41" s="116" t="s">
        <v>52</v>
      </c>
      <c r="B41" s="1007" t="s">
        <v>233</v>
      </c>
      <c r="C41" s="1008" t="s">
        <v>402</v>
      </c>
      <c r="D41" s="1009" t="s">
        <v>138</v>
      </c>
      <c r="E41" s="1105" t="s">
        <v>427</v>
      </c>
      <c r="F41" s="1106"/>
      <c r="G41" s="1107"/>
      <c r="H41" s="573"/>
      <c r="I41" s="116" t="s">
        <v>470</v>
      </c>
      <c r="M41" s="222"/>
      <c r="N41" s="43"/>
      <c r="O41" s="78"/>
    </row>
    <row r="42" spans="1:15">
      <c r="A42" s="67">
        <v>45387</v>
      </c>
      <c r="B42" s="379" t="s">
        <v>642</v>
      </c>
      <c r="C42" s="47">
        <v>39.99</v>
      </c>
      <c r="D42" s="113" t="s">
        <v>695</v>
      </c>
      <c r="E42" s="101">
        <v>45386</v>
      </c>
      <c r="F42" s="43" t="s">
        <v>450</v>
      </c>
      <c r="G42" s="189">
        <v>250</v>
      </c>
      <c r="H42" s="573"/>
      <c r="I42" s="270">
        <v>50</v>
      </c>
    </row>
    <row r="43" spans="1:15">
      <c r="B43" s="379" t="s">
        <v>427</v>
      </c>
      <c r="C43" s="47">
        <f>G45</f>
        <v>550</v>
      </c>
      <c r="D43" s="113" t="s">
        <v>331</v>
      </c>
      <c r="E43" s="101"/>
      <c r="F43" s="43" t="s">
        <v>56</v>
      </c>
      <c r="G43" s="188">
        <v>50</v>
      </c>
      <c r="H43" s="573"/>
      <c r="I43" s="270"/>
    </row>
    <row r="44" spans="1:15">
      <c r="A44" s="67">
        <v>45406</v>
      </c>
      <c r="B44" s="47" t="s">
        <v>768</v>
      </c>
      <c r="C44" s="47">
        <v>600</v>
      </c>
      <c r="D44" s="113" t="s">
        <v>769</v>
      </c>
      <c r="E44" s="101">
        <v>45397</v>
      </c>
      <c r="F44" s="43" t="s">
        <v>450</v>
      </c>
      <c r="G44" s="188">
        <v>250</v>
      </c>
      <c r="H44" s="573"/>
      <c r="I44" s="270">
        <v>600</v>
      </c>
    </row>
    <row r="45" spans="1:15">
      <c r="B45" s="47"/>
      <c r="C45" s="47"/>
      <c r="E45" s="101"/>
      <c r="F45" s="578" t="s">
        <v>6</v>
      </c>
      <c r="G45" s="575">
        <f>SUM(G42:G44)</f>
        <v>550</v>
      </c>
      <c r="H45" s="573"/>
      <c r="I45" s="271"/>
    </row>
    <row r="46" spans="1:15">
      <c r="A46" s="577">
        <v>45413</v>
      </c>
      <c r="B46" s="110" t="s">
        <v>59</v>
      </c>
      <c r="C46" s="11">
        <f>SUM(C42:C45)</f>
        <v>1189.99</v>
      </c>
      <c r="D46" s="326" t="s">
        <v>589</v>
      </c>
      <c r="E46" s="77"/>
      <c r="F46" s="31"/>
      <c r="G46" s="261"/>
      <c r="H46" s="573"/>
      <c r="I46" s="275">
        <f>SUM(I42:I44)</f>
        <v>650</v>
      </c>
    </row>
    <row r="47" spans="1:15">
      <c r="A47" s="116" t="s">
        <v>52</v>
      </c>
      <c r="B47" s="1007" t="s">
        <v>233</v>
      </c>
      <c r="C47" s="1008" t="s">
        <v>402</v>
      </c>
      <c r="D47" s="1009" t="s">
        <v>138</v>
      </c>
      <c r="E47" s="1105" t="s">
        <v>427</v>
      </c>
      <c r="F47" s="1106"/>
      <c r="G47" s="1107"/>
      <c r="H47" s="573"/>
      <c r="I47" s="116" t="s">
        <v>470</v>
      </c>
      <c r="M47" s="222"/>
      <c r="N47" s="43"/>
      <c r="O47" s="78"/>
    </row>
    <row r="48" spans="1:15">
      <c r="A48" s="67">
        <v>45415</v>
      </c>
      <c r="B48" s="379" t="s">
        <v>427</v>
      </c>
      <c r="C48" s="47">
        <f>G50</f>
        <v>300</v>
      </c>
      <c r="D48" s="113" t="s">
        <v>331</v>
      </c>
      <c r="E48" s="24">
        <v>45415</v>
      </c>
      <c r="F48" s="53" t="s">
        <v>266</v>
      </c>
      <c r="G48" s="189">
        <v>250</v>
      </c>
      <c r="H48" s="573"/>
      <c r="I48" s="270">
        <v>50</v>
      </c>
    </row>
    <row r="49" spans="1:15">
      <c r="E49" s="24"/>
      <c r="F49" s="53" t="s">
        <v>56</v>
      </c>
      <c r="G49" s="189">
        <v>50</v>
      </c>
      <c r="H49" s="573"/>
      <c r="I49" s="270"/>
    </row>
    <row r="50" spans="1:15">
      <c r="E50" s="24"/>
      <c r="F50" s="578" t="s">
        <v>6</v>
      </c>
      <c r="G50" s="575">
        <f>SUM(G48:G49)</f>
        <v>300</v>
      </c>
      <c r="H50" s="573"/>
      <c r="I50" s="270"/>
    </row>
    <row r="51" spans="1:15">
      <c r="A51" s="577">
        <v>45444</v>
      </c>
      <c r="B51" s="110" t="s">
        <v>59</v>
      </c>
      <c r="C51" s="11">
        <f>SUM(C48:C50)</f>
        <v>300</v>
      </c>
      <c r="D51" s="326" t="s">
        <v>585</v>
      </c>
      <c r="E51" s="77"/>
      <c r="F51" s="31"/>
      <c r="G51" s="261"/>
      <c r="H51" s="573"/>
      <c r="I51" s="275">
        <f>SUM(I48:I50)</f>
        <v>50</v>
      </c>
    </row>
    <row r="52" spans="1:15">
      <c r="A52" s="116" t="s">
        <v>52</v>
      </c>
      <c r="B52" s="556" t="s">
        <v>233</v>
      </c>
      <c r="C52" s="557" t="s">
        <v>402</v>
      </c>
      <c r="D52" s="558" t="s">
        <v>138</v>
      </c>
      <c r="E52" s="1105" t="s">
        <v>427</v>
      </c>
      <c r="F52" s="1106"/>
      <c r="G52" s="1107"/>
      <c r="H52" s="573"/>
      <c r="I52" s="116" t="s">
        <v>470</v>
      </c>
      <c r="M52" s="222"/>
      <c r="N52" s="43"/>
      <c r="O52" s="78"/>
    </row>
    <row r="53" spans="1:15">
      <c r="A53" s="67">
        <v>45469</v>
      </c>
      <c r="B53" s="379" t="s">
        <v>1003</v>
      </c>
      <c r="C53" s="3">
        <v>62.96</v>
      </c>
      <c r="D53" s="113" t="s">
        <v>1005</v>
      </c>
      <c r="E53" s="24">
        <v>45517</v>
      </c>
      <c r="F53" s="53" t="s">
        <v>266</v>
      </c>
      <c r="G53" s="189">
        <v>250</v>
      </c>
      <c r="H53" s="573"/>
      <c r="I53" s="270">
        <v>50</v>
      </c>
    </row>
    <row r="54" spans="1:15">
      <c r="A54" s="67">
        <v>45517</v>
      </c>
      <c r="B54" s="3" t="s">
        <v>254</v>
      </c>
      <c r="C54" s="3">
        <v>166.99</v>
      </c>
      <c r="D54" s="113" t="s">
        <v>1343</v>
      </c>
      <c r="E54" s="24"/>
      <c r="F54" s="53" t="s">
        <v>56</v>
      </c>
      <c r="G54" s="189">
        <v>50</v>
      </c>
      <c r="H54" s="573"/>
      <c r="I54" s="270"/>
    </row>
    <row r="55" spans="1:15">
      <c r="E55" s="24"/>
      <c r="G55" s="189"/>
      <c r="H55" s="573"/>
      <c r="I55" s="270"/>
    </row>
    <row r="56" spans="1:15">
      <c r="E56" s="24"/>
      <c r="G56" s="189"/>
      <c r="H56" s="573"/>
      <c r="I56" s="270"/>
    </row>
    <row r="57" spans="1:15">
      <c r="E57" s="24"/>
      <c r="G57" s="189"/>
      <c r="H57" s="573"/>
      <c r="I57" s="270"/>
    </row>
    <row r="58" spans="1:15">
      <c r="E58" s="24"/>
      <c r="G58" s="189"/>
      <c r="H58" s="572"/>
      <c r="I58" s="270"/>
    </row>
    <row r="59" spans="1:15">
      <c r="E59" s="24"/>
      <c r="G59" s="189"/>
      <c r="H59" s="572"/>
      <c r="I59" s="270"/>
    </row>
    <row r="60" spans="1:15">
      <c r="E60" s="24"/>
      <c r="G60" s="189"/>
      <c r="H60" s="572"/>
      <c r="I60" s="270"/>
    </row>
    <row r="61" spans="1:15">
      <c r="E61" s="24"/>
      <c r="G61" s="189"/>
      <c r="H61" s="572"/>
      <c r="I61" s="270"/>
    </row>
    <row r="62" spans="1:15">
      <c r="E62" s="24"/>
      <c r="G62" s="189"/>
      <c r="H62" s="572"/>
      <c r="I62" s="270"/>
      <c r="J62" s="62"/>
    </row>
    <row r="63" spans="1:15">
      <c r="E63" s="24"/>
      <c r="G63" s="189"/>
      <c r="H63" s="572"/>
      <c r="I63" s="270"/>
      <c r="J63" s="62"/>
    </row>
    <row r="64" spans="1:15">
      <c r="E64" s="24"/>
      <c r="G64" s="189"/>
      <c r="H64" s="572"/>
      <c r="I64" s="270"/>
      <c r="J64" s="62"/>
    </row>
    <row r="65" spans="5:10">
      <c r="E65" s="24"/>
      <c r="G65" s="189"/>
      <c r="H65" s="572"/>
      <c r="I65" s="270"/>
      <c r="J65" s="62"/>
    </row>
    <row r="66" spans="5:10">
      <c r="E66" s="24"/>
      <c r="G66" s="189"/>
      <c r="H66" s="572"/>
      <c r="I66" s="270"/>
      <c r="J66" s="62"/>
    </row>
    <row r="67" spans="5:10">
      <c r="E67" s="24"/>
      <c r="G67" s="189"/>
      <c r="H67" s="572"/>
      <c r="I67" s="270"/>
      <c r="J67" s="62"/>
    </row>
    <row r="68" spans="5:10">
      <c r="E68" s="24"/>
      <c r="G68" s="189"/>
      <c r="H68" s="572"/>
      <c r="I68" s="270"/>
      <c r="J68" s="62"/>
    </row>
    <row r="69" spans="5:10">
      <c r="E69" s="24"/>
      <c r="G69" s="189"/>
      <c r="H69" s="572"/>
      <c r="I69" s="270"/>
      <c r="J69" s="62"/>
    </row>
    <row r="70" spans="5:10">
      <c r="E70" s="24"/>
      <c r="G70" s="189"/>
      <c r="H70" s="572"/>
      <c r="I70" s="270"/>
      <c r="J70" s="62"/>
    </row>
    <row r="71" spans="5:10">
      <c r="G71" s="189"/>
      <c r="H71" s="572"/>
      <c r="I71" s="270"/>
      <c r="J71" s="62"/>
    </row>
    <row r="72" spans="5:10">
      <c r="G72" s="189"/>
      <c r="H72" s="572"/>
      <c r="I72" s="270"/>
      <c r="J72" s="62"/>
    </row>
    <row r="73" spans="5:10">
      <c r="G73" s="189"/>
      <c r="H73" s="572"/>
      <c r="I73" s="270"/>
      <c r="J73" s="62"/>
    </row>
    <row r="74" spans="5:10">
      <c r="G74" s="189"/>
      <c r="H74" s="572"/>
      <c r="I74" s="270"/>
      <c r="J74" s="62"/>
    </row>
    <row r="75" spans="5:10">
      <c r="G75" s="189"/>
      <c r="H75" s="572"/>
      <c r="I75" s="270"/>
      <c r="J75" s="62"/>
    </row>
    <row r="76" spans="5:10">
      <c r="G76" s="189"/>
      <c r="H76" s="572"/>
      <c r="I76" s="270"/>
      <c r="J76" s="62"/>
    </row>
    <row r="77" spans="5:10">
      <c r="G77" s="189"/>
      <c r="H77" s="572"/>
      <c r="I77" s="270"/>
      <c r="J77" s="62"/>
    </row>
    <row r="78" spans="5:10">
      <c r="G78" s="189"/>
      <c r="H78" s="572"/>
      <c r="I78" s="270"/>
      <c r="J78" s="62"/>
    </row>
    <row r="79" spans="5:10">
      <c r="G79" s="189"/>
      <c r="H79" s="572"/>
      <c r="I79" s="270"/>
      <c r="J79" s="62"/>
    </row>
    <row r="80" spans="5:10">
      <c r="G80" s="189"/>
      <c r="H80" s="572"/>
      <c r="I80" s="270"/>
      <c r="J80" s="62"/>
    </row>
    <row r="81" spans="7:10">
      <c r="G81" s="189"/>
      <c r="H81" s="572"/>
      <c r="I81" s="270"/>
      <c r="J81" s="62"/>
    </row>
    <row r="82" spans="7:10">
      <c r="G82" s="189"/>
      <c r="H82" s="572"/>
      <c r="I82" s="270"/>
      <c r="J82" s="62"/>
    </row>
    <row r="83" spans="7:10">
      <c r="G83" s="189"/>
      <c r="H83" s="572"/>
      <c r="I83" s="270"/>
      <c r="J83" s="62"/>
    </row>
    <row r="84" spans="7:10">
      <c r="G84" s="189"/>
      <c r="H84" s="572"/>
      <c r="I84" s="270"/>
      <c r="J84" s="62"/>
    </row>
    <row r="85" spans="7:10">
      <c r="G85" s="189"/>
      <c r="H85" s="572"/>
      <c r="I85" s="270"/>
      <c r="J85" s="62"/>
    </row>
    <row r="86" spans="7:10">
      <c r="G86" s="189"/>
      <c r="H86" s="572"/>
      <c r="I86" s="270"/>
      <c r="J86" s="62"/>
    </row>
    <row r="87" spans="7:10">
      <c r="G87" s="189"/>
      <c r="H87" s="572"/>
      <c r="I87" s="270"/>
      <c r="J87" s="62"/>
    </row>
    <row r="88" spans="7:10">
      <c r="G88" s="189"/>
      <c r="H88" s="572"/>
      <c r="I88" s="270"/>
      <c r="J88" s="62"/>
    </row>
    <row r="89" spans="7:10">
      <c r="G89" s="189"/>
      <c r="H89" s="572"/>
      <c r="I89" s="270"/>
      <c r="J89" s="62"/>
    </row>
    <row r="90" spans="7:10">
      <c r="G90" s="189"/>
      <c r="H90" s="572"/>
      <c r="I90" s="270"/>
      <c r="J90" s="62"/>
    </row>
    <row r="91" spans="7:10">
      <c r="G91" s="189"/>
      <c r="H91" s="572"/>
      <c r="I91" s="270"/>
      <c r="J91" s="62"/>
    </row>
    <row r="92" spans="7:10">
      <c r="G92" s="189"/>
      <c r="H92" s="572"/>
      <c r="I92" s="270"/>
      <c r="J92" s="62"/>
    </row>
    <row r="93" spans="7:10">
      <c r="G93" s="189"/>
      <c r="H93" s="572"/>
      <c r="I93" s="270"/>
      <c r="J93" s="62"/>
    </row>
    <row r="94" spans="7:10">
      <c r="G94" s="189"/>
      <c r="H94" s="572"/>
      <c r="I94" s="270"/>
      <c r="J94" s="62"/>
    </row>
    <row r="95" spans="7:10">
      <c r="G95" s="189"/>
      <c r="H95" s="572"/>
      <c r="I95" s="270"/>
      <c r="J95" s="62"/>
    </row>
    <row r="96" spans="7:10">
      <c r="G96" s="189"/>
      <c r="H96" s="572"/>
      <c r="I96" s="270"/>
      <c r="J96" s="62"/>
    </row>
    <row r="97" spans="7:10">
      <c r="G97" s="189"/>
      <c r="H97" s="572"/>
      <c r="I97" s="270"/>
      <c r="J97" s="62"/>
    </row>
    <row r="98" spans="7:10">
      <c r="G98" s="189"/>
      <c r="H98" s="572"/>
      <c r="I98" s="270"/>
      <c r="J98" s="62"/>
    </row>
    <row r="99" spans="7:10">
      <c r="G99" s="189"/>
      <c r="H99" s="572"/>
      <c r="I99" s="270"/>
      <c r="J99" s="62"/>
    </row>
    <row r="100" spans="7:10">
      <c r="G100" s="189"/>
      <c r="H100" s="572"/>
      <c r="I100" s="270"/>
      <c r="J100" s="62"/>
    </row>
    <row r="101" spans="7:10">
      <c r="G101" s="189"/>
      <c r="H101" s="572"/>
      <c r="I101" s="270"/>
      <c r="J101" s="62"/>
    </row>
    <row r="102" spans="7:10">
      <c r="G102" s="189"/>
      <c r="H102" s="572"/>
      <c r="I102" s="270"/>
      <c r="J102" s="62"/>
    </row>
    <row r="103" spans="7:10">
      <c r="G103" s="189"/>
      <c r="H103" s="572"/>
      <c r="I103" s="270"/>
      <c r="J103" s="62"/>
    </row>
    <row r="104" spans="7:10">
      <c r="G104" s="189"/>
      <c r="H104" s="572"/>
      <c r="I104" s="270"/>
      <c r="J104" s="62"/>
    </row>
    <row r="105" spans="7:10">
      <c r="G105" s="189"/>
      <c r="H105" s="572"/>
      <c r="I105" s="270"/>
      <c r="J105" s="62"/>
    </row>
    <row r="106" spans="7:10">
      <c r="G106" s="189"/>
      <c r="H106" s="572"/>
      <c r="I106" s="270"/>
      <c r="J106" s="62"/>
    </row>
    <row r="107" spans="7:10">
      <c r="G107" s="189"/>
      <c r="H107" s="572"/>
      <c r="I107" s="270"/>
      <c r="J107" s="62"/>
    </row>
    <row r="108" spans="7:10">
      <c r="G108" s="189"/>
      <c r="H108" s="572"/>
      <c r="I108" s="270"/>
      <c r="J108" s="62"/>
    </row>
    <row r="109" spans="7:10">
      <c r="G109" s="189"/>
      <c r="H109" s="572"/>
      <c r="I109" s="270"/>
      <c r="J109" s="62"/>
    </row>
    <row r="110" spans="7:10">
      <c r="G110" s="189"/>
      <c r="H110" s="572"/>
      <c r="I110" s="270"/>
      <c r="J110" s="62"/>
    </row>
    <row r="111" spans="7:10">
      <c r="G111" s="189"/>
      <c r="H111" s="572"/>
      <c r="I111" s="270"/>
      <c r="J111" s="62"/>
    </row>
    <row r="112" spans="7:10">
      <c r="G112" s="189"/>
      <c r="H112" s="572"/>
      <c r="I112" s="270"/>
      <c r="J112" s="62"/>
    </row>
    <row r="113" spans="7:10">
      <c r="G113" s="189"/>
      <c r="H113" s="572"/>
      <c r="I113" s="270"/>
      <c r="J113" s="62"/>
    </row>
    <row r="114" spans="7:10">
      <c r="G114" s="189"/>
      <c r="H114" s="572"/>
      <c r="I114" s="270"/>
      <c r="J114" s="62"/>
    </row>
    <row r="115" spans="7:10">
      <c r="G115" s="189"/>
      <c r="H115" s="572"/>
      <c r="I115" s="270"/>
      <c r="J115" s="62"/>
    </row>
    <row r="116" spans="7:10">
      <c r="G116" s="189"/>
      <c r="H116" s="572"/>
      <c r="I116" s="270"/>
      <c r="J116" s="62"/>
    </row>
    <row r="117" spans="7:10">
      <c r="G117" s="189"/>
      <c r="H117" s="572"/>
      <c r="I117" s="270"/>
      <c r="J117" s="62"/>
    </row>
    <row r="118" spans="7:10">
      <c r="G118" s="189"/>
      <c r="H118" s="572"/>
      <c r="I118" s="270"/>
      <c r="J118" s="62"/>
    </row>
    <row r="119" spans="7:10">
      <c r="G119" s="189"/>
      <c r="H119" s="572"/>
      <c r="I119" s="270"/>
      <c r="J119" s="62"/>
    </row>
    <row r="120" spans="7:10">
      <c r="G120" s="189"/>
      <c r="H120" s="572"/>
      <c r="I120" s="270"/>
      <c r="J120" s="62"/>
    </row>
    <row r="121" spans="7:10">
      <c r="G121" s="189"/>
      <c r="H121" s="572"/>
      <c r="I121" s="270"/>
      <c r="J121" s="62"/>
    </row>
    <row r="122" spans="7:10">
      <c r="G122" s="189"/>
      <c r="H122" s="572"/>
      <c r="I122" s="270"/>
      <c r="J122" s="62"/>
    </row>
    <row r="123" spans="7:10">
      <c r="G123" s="189"/>
      <c r="H123" s="572"/>
      <c r="I123" s="270"/>
      <c r="J123" s="62"/>
    </row>
    <row r="124" spans="7:10">
      <c r="G124" s="189"/>
      <c r="H124" s="572"/>
      <c r="I124" s="270"/>
      <c r="J124" s="62"/>
    </row>
    <row r="125" spans="7:10">
      <c r="G125" s="189"/>
      <c r="H125" s="572"/>
      <c r="I125" s="270"/>
      <c r="J125" s="62"/>
    </row>
    <row r="126" spans="7:10">
      <c r="G126" s="189"/>
      <c r="H126" s="572"/>
      <c r="I126" s="270"/>
      <c r="J126" s="62"/>
    </row>
    <row r="127" spans="7:10">
      <c r="G127" s="189"/>
      <c r="H127" s="572"/>
      <c r="I127" s="270"/>
      <c r="J127" s="62"/>
    </row>
    <row r="128" spans="7:10">
      <c r="G128" s="189"/>
      <c r="H128" s="572"/>
      <c r="I128" s="270"/>
      <c r="J128" s="62"/>
    </row>
    <row r="129" spans="7:10">
      <c r="G129" s="189"/>
      <c r="H129" s="572"/>
      <c r="I129" s="270"/>
      <c r="J129" s="62"/>
    </row>
    <row r="130" spans="7:10">
      <c r="G130" s="189"/>
      <c r="H130" s="572"/>
      <c r="I130" s="270"/>
      <c r="J130" s="62"/>
    </row>
    <row r="131" spans="7:10">
      <c r="G131" s="189"/>
      <c r="H131" s="572"/>
      <c r="I131" s="270"/>
      <c r="J131" s="62"/>
    </row>
    <row r="132" spans="7:10">
      <c r="G132" s="189"/>
      <c r="H132" s="572"/>
      <c r="I132" s="270"/>
      <c r="J132" s="62"/>
    </row>
    <row r="133" spans="7:10">
      <c r="G133" s="189"/>
      <c r="H133" s="572"/>
      <c r="I133" s="270"/>
      <c r="J133" s="62"/>
    </row>
    <row r="134" spans="7:10">
      <c r="G134" s="189"/>
      <c r="H134" s="572"/>
      <c r="I134" s="270"/>
      <c r="J134" s="62"/>
    </row>
    <row r="135" spans="7:10">
      <c r="G135" s="189"/>
      <c r="H135" s="572"/>
      <c r="I135" s="270"/>
      <c r="J135" s="62"/>
    </row>
    <row r="136" spans="7:10">
      <c r="G136" s="189"/>
      <c r="H136" s="572"/>
      <c r="I136" s="270"/>
      <c r="J136" s="62"/>
    </row>
    <row r="137" spans="7:10">
      <c r="G137" s="189"/>
      <c r="H137" s="572"/>
      <c r="I137" s="270"/>
      <c r="J137" s="62"/>
    </row>
    <row r="138" spans="7:10">
      <c r="G138" s="189"/>
      <c r="H138" s="572"/>
      <c r="I138" s="270"/>
      <c r="J138" s="62"/>
    </row>
    <row r="139" spans="7:10">
      <c r="G139" s="189"/>
      <c r="H139" s="572"/>
      <c r="I139" s="270"/>
      <c r="J139" s="62"/>
    </row>
    <row r="140" spans="7:10">
      <c r="G140" s="189"/>
      <c r="H140" s="572"/>
      <c r="I140" s="270"/>
      <c r="J140" s="62"/>
    </row>
    <row r="141" spans="7:10">
      <c r="G141" s="189"/>
      <c r="H141" s="572"/>
      <c r="I141" s="270"/>
      <c r="J141" s="62"/>
    </row>
    <row r="142" spans="7:10">
      <c r="G142" s="189"/>
      <c r="H142" s="572"/>
      <c r="I142" s="270"/>
      <c r="J142" s="62"/>
    </row>
    <row r="143" spans="7:10">
      <c r="G143" s="189"/>
      <c r="H143" s="572"/>
      <c r="I143" s="270"/>
      <c r="J143" s="62"/>
    </row>
    <row r="144" spans="7:10">
      <c r="G144" s="189"/>
      <c r="H144" s="572"/>
      <c r="I144" s="270"/>
      <c r="J144" s="62"/>
    </row>
    <row r="145" spans="7:10">
      <c r="G145" s="189"/>
      <c r="H145" s="572"/>
      <c r="I145" s="270"/>
      <c r="J145" s="62"/>
    </row>
    <row r="146" spans="7:10">
      <c r="G146" s="189"/>
      <c r="H146" s="572"/>
      <c r="I146" s="270"/>
      <c r="J146" s="62"/>
    </row>
    <row r="147" spans="7:10">
      <c r="G147" s="189"/>
      <c r="H147" s="572"/>
      <c r="I147" s="270"/>
      <c r="J147" s="62"/>
    </row>
    <row r="148" spans="7:10">
      <c r="G148" s="189"/>
      <c r="H148" s="572"/>
      <c r="I148" s="270"/>
      <c r="J148" s="62"/>
    </row>
    <row r="149" spans="7:10">
      <c r="G149" s="189"/>
      <c r="H149" s="572"/>
      <c r="I149" s="270"/>
      <c r="J149" s="62"/>
    </row>
    <row r="150" spans="7:10">
      <c r="G150" s="189"/>
      <c r="H150" s="572"/>
      <c r="I150" s="270"/>
      <c r="J150" s="62"/>
    </row>
    <row r="151" spans="7:10">
      <c r="G151" s="189"/>
      <c r="H151" s="572"/>
      <c r="I151" s="270"/>
      <c r="J151" s="62"/>
    </row>
    <row r="152" spans="7:10">
      <c r="G152" s="189"/>
      <c r="H152" s="572"/>
      <c r="I152" s="270"/>
      <c r="J152" s="62"/>
    </row>
    <row r="153" spans="7:10">
      <c r="G153" s="189"/>
      <c r="H153" s="572"/>
      <c r="I153" s="270"/>
      <c r="J153" s="62"/>
    </row>
    <row r="154" spans="7:10">
      <c r="G154" s="189"/>
      <c r="H154" s="572"/>
      <c r="I154" s="270"/>
      <c r="J154" s="62"/>
    </row>
    <row r="155" spans="7:10">
      <c r="G155" s="189"/>
      <c r="H155" s="572"/>
      <c r="I155" s="270"/>
      <c r="J155" s="62"/>
    </row>
    <row r="156" spans="7:10">
      <c r="G156" s="189"/>
      <c r="H156" s="572"/>
      <c r="I156" s="270"/>
      <c r="J156" s="62"/>
    </row>
    <row r="157" spans="7:10">
      <c r="G157" s="189"/>
      <c r="H157" s="572"/>
      <c r="I157" s="270"/>
      <c r="J157" s="62"/>
    </row>
    <row r="158" spans="7:10">
      <c r="G158" s="189"/>
      <c r="H158" s="572"/>
      <c r="I158" s="270"/>
      <c r="J158" s="62"/>
    </row>
    <row r="159" spans="7:10">
      <c r="G159" s="189"/>
      <c r="H159" s="572"/>
      <c r="I159" s="270"/>
      <c r="J159" s="62"/>
    </row>
    <row r="160" spans="7:10">
      <c r="G160" s="189"/>
      <c r="H160" s="572"/>
      <c r="I160" s="270"/>
      <c r="J160" s="62"/>
    </row>
    <row r="161" spans="7:10">
      <c r="G161" s="189"/>
      <c r="H161" s="572"/>
      <c r="I161" s="270"/>
      <c r="J161" s="62"/>
    </row>
    <row r="162" spans="7:10">
      <c r="G162" s="189"/>
      <c r="H162" s="572"/>
      <c r="I162" s="270"/>
      <c r="J162" s="62"/>
    </row>
    <row r="163" spans="7:10">
      <c r="G163" s="189"/>
      <c r="H163" s="572"/>
      <c r="I163" s="270"/>
      <c r="J163" s="62"/>
    </row>
    <row r="164" spans="7:10">
      <c r="G164" s="189"/>
      <c r="H164" s="572"/>
      <c r="I164" s="270"/>
      <c r="J164" s="62"/>
    </row>
    <row r="165" spans="7:10">
      <c r="G165" s="189"/>
      <c r="H165" s="572"/>
      <c r="I165" s="270"/>
      <c r="J165" s="62"/>
    </row>
    <row r="166" spans="7:10">
      <c r="G166" s="189"/>
      <c r="H166" s="572"/>
      <c r="I166" s="270"/>
      <c r="J166" s="62"/>
    </row>
    <row r="167" spans="7:10">
      <c r="G167" s="189"/>
      <c r="H167" s="572"/>
      <c r="I167" s="270"/>
      <c r="J167" s="62"/>
    </row>
    <row r="168" spans="7:10">
      <c r="G168" s="189"/>
      <c r="H168" s="572"/>
      <c r="I168" s="270"/>
      <c r="J168" s="62"/>
    </row>
    <row r="169" spans="7:10">
      <c r="G169" s="189"/>
      <c r="H169" s="572"/>
      <c r="I169" s="270"/>
      <c r="J169" s="62"/>
    </row>
    <row r="170" spans="7:10">
      <c r="G170" s="189"/>
      <c r="H170" s="572"/>
      <c r="I170" s="270"/>
      <c r="J170" s="62"/>
    </row>
    <row r="171" spans="7:10">
      <c r="G171" s="189"/>
      <c r="H171" s="567"/>
    </row>
    <row r="172" spans="7:10">
      <c r="G172" s="189"/>
      <c r="H172" s="567"/>
    </row>
    <row r="173" spans="7:10">
      <c r="G173" s="189"/>
      <c r="H173" s="567"/>
    </row>
    <row r="174" spans="7:10">
      <c r="G174" s="189"/>
      <c r="H174" s="567"/>
    </row>
    <row r="175" spans="7:10">
      <c r="G175" s="189"/>
      <c r="H175" s="567"/>
    </row>
    <row r="176" spans="7:10">
      <c r="G176" s="189"/>
      <c r="H176" s="567"/>
    </row>
    <row r="177" spans="7:8">
      <c r="G177" s="189"/>
      <c r="H177" s="567"/>
    </row>
    <row r="178" spans="7:8">
      <c r="G178" s="189"/>
      <c r="H178" s="567"/>
    </row>
    <row r="179" spans="7:8">
      <c r="G179" s="189"/>
      <c r="H179" s="567"/>
    </row>
    <row r="180" spans="7:8">
      <c r="G180" s="189"/>
      <c r="H180" s="567"/>
    </row>
    <row r="181" spans="7:8">
      <c r="G181" s="189"/>
      <c r="H181" s="567"/>
    </row>
    <row r="182" spans="7:8">
      <c r="G182" s="189"/>
      <c r="H182" s="567"/>
    </row>
    <row r="183" spans="7:8">
      <c r="G183" s="189"/>
      <c r="H183" s="567"/>
    </row>
    <row r="184" spans="7:8">
      <c r="G184" s="189"/>
      <c r="H184" s="567"/>
    </row>
    <row r="185" spans="7:8">
      <c r="G185" s="189"/>
      <c r="H185" s="567"/>
    </row>
    <row r="186" spans="7:8">
      <c r="G186" s="189"/>
      <c r="H186" s="567"/>
    </row>
    <row r="187" spans="7:8">
      <c r="G187" s="189"/>
      <c r="H187" s="567"/>
    </row>
    <row r="188" spans="7:8">
      <c r="G188" s="189"/>
      <c r="H188" s="567"/>
    </row>
    <row r="189" spans="7:8">
      <c r="G189" s="189"/>
      <c r="H189" s="567"/>
    </row>
    <row r="190" spans="7:8">
      <c r="G190" s="189"/>
      <c r="H190" s="567"/>
    </row>
    <row r="191" spans="7:8">
      <c r="G191" s="189"/>
      <c r="H191" s="567"/>
    </row>
    <row r="192" spans="7:8">
      <c r="G192" s="189"/>
      <c r="H192" s="567"/>
    </row>
    <row r="193" spans="7:8">
      <c r="G193" s="189"/>
      <c r="H193" s="567"/>
    </row>
    <row r="194" spans="7:8">
      <c r="G194" s="189"/>
      <c r="H194" s="567"/>
    </row>
    <row r="195" spans="7:8">
      <c r="G195" s="189"/>
      <c r="H195" s="567"/>
    </row>
    <row r="196" spans="7:8">
      <c r="G196" s="189"/>
      <c r="H196" s="567"/>
    </row>
    <row r="197" spans="7:8">
      <c r="G197" s="189"/>
      <c r="H197" s="567"/>
    </row>
    <row r="198" spans="7:8">
      <c r="G198" s="189"/>
      <c r="H198" s="567"/>
    </row>
    <row r="199" spans="7:8">
      <c r="G199" s="189"/>
      <c r="H199" s="567"/>
    </row>
    <row r="200" spans="7:8">
      <c r="G200" s="189"/>
      <c r="H200" s="567"/>
    </row>
    <row r="201" spans="7:8">
      <c r="G201" s="189"/>
      <c r="H201" s="567"/>
    </row>
    <row r="202" spans="7:8">
      <c r="G202" s="189"/>
      <c r="H202" s="567"/>
    </row>
    <row r="203" spans="7:8">
      <c r="G203" s="189"/>
      <c r="H203" s="567"/>
    </row>
    <row r="204" spans="7:8">
      <c r="G204" s="189"/>
      <c r="H204" s="567"/>
    </row>
    <row r="205" spans="7:8">
      <c r="G205" s="189"/>
      <c r="H205" s="567"/>
    </row>
    <row r="206" spans="7:8">
      <c r="G206" s="189"/>
      <c r="H206" s="567"/>
    </row>
    <row r="207" spans="7:8">
      <c r="G207" s="189"/>
      <c r="H207" s="567"/>
    </row>
    <row r="208" spans="7:8">
      <c r="G208" s="189"/>
      <c r="H208" s="567"/>
    </row>
    <row r="209" spans="7:8">
      <c r="G209" s="189"/>
      <c r="H209" s="567"/>
    </row>
    <row r="210" spans="7:8">
      <c r="G210" s="189"/>
      <c r="H210" s="567"/>
    </row>
    <row r="211" spans="7:8">
      <c r="G211" s="189"/>
      <c r="H211" s="567"/>
    </row>
    <row r="212" spans="7:8">
      <c r="G212" s="189"/>
      <c r="H212" s="567"/>
    </row>
    <row r="213" spans="7:8">
      <c r="G213" s="189"/>
      <c r="H213" s="567"/>
    </row>
    <row r="214" spans="7:8">
      <c r="G214" s="189"/>
      <c r="H214" s="567"/>
    </row>
    <row r="215" spans="7:8">
      <c r="G215" s="189"/>
      <c r="H215" s="567"/>
    </row>
    <row r="216" spans="7:8">
      <c r="G216" s="189"/>
      <c r="H216" s="567"/>
    </row>
    <row r="217" spans="7:8">
      <c r="G217" s="189"/>
      <c r="H217" s="567"/>
    </row>
    <row r="218" spans="7:8">
      <c r="G218" s="189"/>
      <c r="H218" s="567"/>
    </row>
    <row r="219" spans="7:8">
      <c r="G219" s="189"/>
      <c r="H219" s="567"/>
    </row>
    <row r="220" spans="7:8">
      <c r="G220" s="189"/>
      <c r="H220" s="567"/>
    </row>
    <row r="221" spans="7:8">
      <c r="G221" s="189"/>
      <c r="H221" s="567"/>
    </row>
    <row r="222" spans="7:8">
      <c r="G222" s="189"/>
      <c r="H222" s="567"/>
    </row>
    <row r="223" spans="7:8">
      <c r="G223" s="189"/>
      <c r="H223" s="567"/>
    </row>
    <row r="224" spans="7:8">
      <c r="G224" s="189"/>
      <c r="H224" s="567"/>
    </row>
    <row r="225" spans="7:8">
      <c r="G225" s="189"/>
      <c r="H225" s="567"/>
    </row>
    <row r="226" spans="7:8">
      <c r="G226" s="189"/>
      <c r="H226" s="567"/>
    </row>
    <row r="227" spans="7:8">
      <c r="G227" s="189"/>
      <c r="H227" s="567"/>
    </row>
    <row r="228" spans="7:8">
      <c r="G228" s="189"/>
      <c r="H228" s="567"/>
    </row>
    <row r="229" spans="7:8">
      <c r="G229" s="189"/>
      <c r="H229" s="567"/>
    </row>
    <row r="230" spans="7:8">
      <c r="G230" s="189"/>
      <c r="H230" s="567"/>
    </row>
    <row r="231" spans="7:8">
      <c r="G231" s="189"/>
      <c r="H231" s="567"/>
    </row>
    <row r="232" spans="7:8">
      <c r="G232" s="189"/>
      <c r="H232" s="567"/>
    </row>
    <row r="233" spans="7:8">
      <c r="G233" s="189"/>
      <c r="H233" s="567"/>
    </row>
    <row r="234" spans="7:8">
      <c r="G234" s="189"/>
      <c r="H234" s="567"/>
    </row>
    <row r="235" spans="7:8">
      <c r="G235" s="189"/>
      <c r="H235" s="567"/>
    </row>
    <row r="236" spans="7:8">
      <c r="G236" s="189"/>
      <c r="H236" s="567"/>
    </row>
    <row r="237" spans="7:8">
      <c r="G237" s="189"/>
      <c r="H237" s="567"/>
    </row>
    <row r="238" spans="7:8">
      <c r="G238" s="189"/>
      <c r="H238" s="567"/>
    </row>
    <row r="239" spans="7:8">
      <c r="G239" s="189"/>
      <c r="H239" s="567"/>
    </row>
    <row r="240" spans="7:8">
      <c r="G240" s="189"/>
      <c r="H240" s="567"/>
    </row>
    <row r="241" spans="7:8">
      <c r="G241" s="189"/>
      <c r="H241" s="567"/>
    </row>
    <row r="242" spans="7:8">
      <c r="G242" s="189"/>
      <c r="H242" s="567"/>
    </row>
    <row r="243" spans="7:8">
      <c r="G243" s="189"/>
      <c r="H243" s="567"/>
    </row>
    <row r="244" spans="7:8">
      <c r="G244" s="189"/>
      <c r="H244" s="567"/>
    </row>
    <row r="245" spans="7:8">
      <c r="G245" s="189"/>
      <c r="H245" s="567"/>
    </row>
    <row r="246" spans="7:8">
      <c r="G246" s="189"/>
      <c r="H246" s="567"/>
    </row>
    <row r="247" spans="7:8">
      <c r="G247" s="189"/>
      <c r="H247" s="567"/>
    </row>
    <row r="248" spans="7:8">
      <c r="G248" s="189"/>
      <c r="H248" s="567"/>
    </row>
    <row r="249" spans="7:8">
      <c r="G249" s="189"/>
      <c r="H249" s="567"/>
    </row>
    <row r="250" spans="7:8">
      <c r="G250" s="189"/>
      <c r="H250" s="567"/>
    </row>
    <row r="251" spans="7:8">
      <c r="G251" s="189"/>
      <c r="H251" s="567"/>
    </row>
    <row r="252" spans="7:8">
      <c r="G252" s="189"/>
      <c r="H252" s="567"/>
    </row>
    <row r="253" spans="7:8">
      <c r="G253" s="189"/>
      <c r="H253" s="567"/>
    </row>
    <row r="254" spans="7:8">
      <c r="G254" s="189"/>
      <c r="H254" s="567"/>
    </row>
    <row r="255" spans="7:8">
      <c r="G255" s="189"/>
      <c r="H255" s="567"/>
    </row>
    <row r="256" spans="7:8">
      <c r="G256" s="189"/>
      <c r="H256" s="567"/>
    </row>
    <row r="257" spans="7:8">
      <c r="G257" s="189"/>
      <c r="H257" s="567"/>
    </row>
    <row r="258" spans="7:8">
      <c r="G258" s="189"/>
      <c r="H258" s="567"/>
    </row>
    <row r="259" spans="7:8">
      <c r="G259" s="189"/>
      <c r="H259" s="567"/>
    </row>
    <row r="260" spans="7:8">
      <c r="G260" s="189"/>
      <c r="H260" s="567"/>
    </row>
    <row r="261" spans="7:8">
      <c r="G261" s="189"/>
      <c r="H261" s="567"/>
    </row>
    <row r="262" spans="7:8">
      <c r="G262" s="189"/>
      <c r="H262" s="567"/>
    </row>
    <row r="263" spans="7:8">
      <c r="G263" s="189"/>
      <c r="H263" s="567"/>
    </row>
    <row r="264" spans="7:8">
      <c r="G264" s="189"/>
      <c r="H264" s="567"/>
    </row>
    <row r="265" spans="7:8">
      <c r="G265" s="189"/>
      <c r="H265" s="567"/>
    </row>
    <row r="266" spans="7:8">
      <c r="G266" s="189"/>
      <c r="H266" s="567"/>
    </row>
    <row r="267" spans="7:8">
      <c r="G267" s="189"/>
      <c r="H267" s="567"/>
    </row>
    <row r="268" spans="7:8">
      <c r="G268" s="189"/>
      <c r="H268" s="567"/>
    </row>
    <row r="269" spans="7:8">
      <c r="G269" s="189"/>
      <c r="H269" s="567"/>
    </row>
    <row r="270" spans="7:8">
      <c r="G270" s="189"/>
      <c r="H270" s="567"/>
    </row>
    <row r="271" spans="7:8">
      <c r="G271" s="189"/>
      <c r="H271" s="567"/>
    </row>
    <row r="272" spans="7:8">
      <c r="G272" s="189"/>
      <c r="H272" s="567"/>
    </row>
    <row r="273" spans="7:8">
      <c r="G273" s="189"/>
      <c r="H273" s="567"/>
    </row>
    <row r="274" spans="7:8">
      <c r="G274" s="189"/>
      <c r="H274" s="567"/>
    </row>
    <row r="275" spans="7:8">
      <c r="G275" s="189"/>
      <c r="H275" s="567"/>
    </row>
    <row r="276" spans="7:8">
      <c r="G276" s="189"/>
      <c r="H276" s="567"/>
    </row>
    <row r="277" spans="7:8">
      <c r="G277" s="189"/>
      <c r="H277" s="567"/>
    </row>
    <row r="278" spans="7:8">
      <c r="G278" s="189"/>
      <c r="H278" s="567"/>
    </row>
    <row r="279" spans="7:8">
      <c r="G279" s="189"/>
      <c r="H279" s="567"/>
    </row>
    <row r="280" spans="7:8">
      <c r="G280" s="189"/>
      <c r="H280" s="567"/>
    </row>
    <row r="281" spans="7:8">
      <c r="G281" s="189"/>
      <c r="H281" s="567"/>
    </row>
    <row r="282" spans="7:8">
      <c r="G282" s="189"/>
      <c r="H282" s="567"/>
    </row>
    <row r="283" spans="7:8">
      <c r="G283" s="189"/>
      <c r="H283" s="567"/>
    </row>
    <row r="284" spans="7:8">
      <c r="G284" s="189"/>
      <c r="H284" s="567"/>
    </row>
    <row r="285" spans="7:8">
      <c r="G285" s="189"/>
      <c r="H285" s="567"/>
    </row>
    <row r="286" spans="7:8">
      <c r="G286" s="189"/>
      <c r="H286" s="567"/>
    </row>
    <row r="287" spans="7:8">
      <c r="G287" s="189"/>
      <c r="H287" s="567"/>
    </row>
    <row r="288" spans="7:8">
      <c r="G288" s="189"/>
      <c r="H288" s="567"/>
    </row>
    <row r="289" spans="7:8">
      <c r="G289" s="189"/>
      <c r="H289" s="567"/>
    </row>
    <row r="290" spans="7:8">
      <c r="G290" s="189"/>
      <c r="H290" s="567"/>
    </row>
    <row r="291" spans="7:8">
      <c r="G291" s="189"/>
      <c r="H291" s="567"/>
    </row>
    <row r="292" spans="7:8">
      <c r="G292" s="189"/>
      <c r="H292" s="567"/>
    </row>
    <row r="293" spans="7:8">
      <c r="G293" s="189"/>
      <c r="H293" s="567"/>
    </row>
    <row r="294" spans="7:8">
      <c r="G294" s="189"/>
      <c r="H294" s="567"/>
    </row>
    <row r="295" spans="7:8">
      <c r="G295" s="189"/>
      <c r="H295" s="567"/>
    </row>
    <row r="296" spans="7:8">
      <c r="G296" s="189"/>
      <c r="H296" s="567"/>
    </row>
    <row r="297" spans="7:8">
      <c r="G297" s="189"/>
      <c r="H297" s="567"/>
    </row>
    <row r="298" spans="7:8">
      <c r="G298" s="189"/>
      <c r="H298" s="567"/>
    </row>
    <row r="299" spans="7:8">
      <c r="G299" s="189"/>
      <c r="H299" s="567"/>
    </row>
    <row r="300" spans="7:8">
      <c r="G300" s="189"/>
      <c r="H300" s="567"/>
    </row>
    <row r="301" spans="7:8">
      <c r="G301" s="189"/>
      <c r="H301" s="567"/>
    </row>
    <row r="302" spans="7:8">
      <c r="G302" s="189"/>
      <c r="H302" s="567"/>
    </row>
    <row r="303" spans="7:8">
      <c r="G303" s="189"/>
      <c r="H303" s="567"/>
    </row>
    <row r="304" spans="7:8">
      <c r="G304" s="189"/>
      <c r="H304" s="567"/>
    </row>
    <row r="305" spans="7:8">
      <c r="G305" s="189"/>
      <c r="H305" s="567"/>
    </row>
    <row r="306" spans="7:8">
      <c r="G306" s="189"/>
      <c r="H306" s="567"/>
    </row>
    <row r="307" spans="7:8">
      <c r="G307" s="189"/>
      <c r="H307" s="567"/>
    </row>
    <row r="308" spans="7:8">
      <c r="G308" s="189"/>
      <c r="H308" s="567"/>
    </row>
    <row r="309" spans="7:8">
      <c r="G309" s="189"/>
      <c r="H309" s="567"/>
    </row>
    <row r="310" spans="7:8">
      <c r="G310" s="189"/>
      <c r="H310" s="567"/>
    </row>
    <row r="311" spans="7:8">
      <c r="G311" s="189"/>
      <c r="H311" s="567"/>
    </row>
    <row r="312" spans="7:8">
      <c r="G312" s="189"/>
      <c r="H312" s="567"/>
    </row>
    <row r="313" spans="7:8">
      <c r="G313" s="189"/>
      <c r="H313" s="567"/>
    </row>
    <row r="314" spans="7:8">
      <c r="G314" s="189"/>
      <c r="H314" s="567"/>
    </row>
    <row r="315" spans="7:8">
      <c r="G315" s="189"/>
      <c r="H315" s="567"/>
    </row>
    <row r="316" spans="7:8">
      <c r="G316" s="189"/>
      <c r="H316" s="567"/>
    </row>
    <row r="317" spans="7:8">
      <c r="G317" s="189"/>
      <c r="H317" s="567"/>
    </row>
    <row r="318" spans="7:8">
      <c r="G318" s="189"/>
      <c r="H318" s="567"/>
    </row>
    <row r="319" spans="7:8">
      <c r="G319" s="189"/>
      <c r="H319" s="567"/>
    </row>
    <row r="320" spans="7:8">
      <c r="G320" s="189"/>
      <c r="H320" s="567"/>
    </row>
    <row r="321" spans="7:8">
      <c r="G321" s="189"/>
      <c r="H321" s="567"/>
    </row>
    <row r="322" spans="7:8">
      <c r="G322" s="189"/>
      <c r="H322" s="567"/>
    </row>
    <row r="323" spans="7:8">
      <c r="G323" s="189"/>
      <c r="H323" s="567"/>
    </row>
    <row r="324" spans="7:8">
      <c r="G324" s="189"/>
      <c r="H324" s="567"/>
    </row>
    <row r="325" spans="7:8">
      <c r="G325" s="189"/>
      <c r="H325" s="567"/>
    </row>
    <row r="326" spans="7:8">
      <c r="G326" s="189"/>
      <c r="H326" s="567"/>
    </row>
    <row r="327" spans="7:8">
      <c r="G327" s="189"/>
      <c r="H327" s="567"/>
    </row>
    <row r="328" spans="7:8">
      <c r="G328" s="189"/>
      <c r="H328" s="567"/>
    </row>
    <row r="329" spans="7:8">
      <c r="G329" s="189"/>
      <c r="H329" s="567"/>
    </row>
    <row r="330" spans="7:8">
      <c r="G330" s="189"/>
      <c r="H330" s="567"/>
    </row>
    <row r="331" spans="7:8">
      <c r="G331" s="189"/>
      <c r="H331" s="567"/>
    </row>
    <row r="332" spans="7:8">
      <c r="G332" s="189"/>
      <c r="H332" s="567"/>
    </row>
    <row r="333" spans="7:8">
      <c r="G333" s="189"/>
      <c r="H333" s="567"/>
    </row>
    <row r="334" spans="7:8">
      <c r="G334" s="189"/>
      <c r="H334" s="567"/>
    </row>
    <row r="335" spans="7:8">
      <c r="G335" s="189"/>
      <c r="H335" s="567"/>
    </row>
    <row r="336" spans="7:8">
      <c r="G336" s="189"/>
      <c r="H336" s="567"/>
    </row>
    <row r="337" spans="7:8">
      <c r="G337" s="189"/>
      <c r="H337" s="567"/>
    </row>
    <row r="338" spans="7:8">
      <c r="G338" s="189"/>
      <c r="H338" s="567"/>
    </row>
    <row r="339" spans="7:8">
      <c r="G339" s="189"/>
      <c r="H339" s="567"/>
    </row>
    <row r="340" spans="7:8">
      <c r="G340" s="189"/>
      <c r="H340" s="567"/>
    </row>
    <row r="341" spans="7:8">
      <c r="G341" s="189"/>
      <c r="H341" s="567"/>
    </row>
    <row r="342" spans="7:8">
      <c r="G342" s="189"/>
      <c r="H342" s="567"/>
    </row>
    <row r="343" spans="7:8">
      <c r="G343" s="189"/>
      <c r="H343" s="567"/>
    </row>
    <row r="344" spans="7:8">
      <c r="G344" s="189"/>
      <c r="H344" s="567"/>
    </row>
    <row r="345" spans="7:8">
      <c r="G345" s="189"/>
      <c r="H345" s="567"/>
    </row>
    <row r="346" spans="7:8">
      <c r="G346" s="189"/>
      <c r="H346" s="567"/>
    </row>
    <row r="347" spans="7:8">
      <c r="G347" s="189"/>
      <c r="H347" s="567"/>
    </row>
    <row r="348" spans="7:8">
      <c r="G348" s="189"/>
      <c r="H348" s="567"/>
    </row>
    <row r="349" spans="7:8">
      <c r="G349" s="189"/>
      <c r="H349" s="567"/>
    </row>
    <row r="350" spans="7:8">
      <c r="G350" s="189"/>
      <c r="H350" s="567"/>
    </row>
    <row r="351" spans="7:8">
      <c r="G351" s="189"/>
      <c r="H351" s="567"/>
    </row>
    <row r="352" spans="7:8">
      <c r="G352" s="189"/>
      <c r="H352" s="567"/>
    </row>
    <row r="353" spans="7:8">
      <c r="G353" s="189"/>
      <c r="H353" s="567"/>
    </row>
    <row r="354" spans="7:8">
      <c r="G354" s="189"/>
      <c r="H354" s="567"/>
    </row>
    <row r="355" spans="7:8">
      <c r="G355" s="189"/>
      <c r="H355" s="567"/>
    </row>
    <row r="356" spans="7:8">
      <c r="G356" s="189"/>
      <c r="H356" s="567"/>
    </row>
    <row r="357" spans="7:8">
      <c r="G357" s="189"/>
      <c r="H357" s="567"/>
    </row>
    <row r="358" spans="7:8">
      <c r="G358" s="189"/>
      <c r="H358" s="567"/>
    </row>
    <row r="359" spans="7:8">
      <c r="G359" s="189"/>
      <c r="H359" s="567"/>
    </row>
  </sheetData>
  <mergeCells count="8">
    <mergeCell ref="E1:G1"/>
    <mergeCell ref="E52:G52"/>
    <mergeCell ref="E11:G11"/>
    <mergeCell ref="E19:G19"/>
    <mergeCell ref="E25:G25"/>
    <mergeCell ref="E29:G29"/>
    <mergeCell ref="E41:G41"/>
    <mergeCell ref="E47:G47"/>
  </mergeCells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H361"/>
  <sheetViews>
    <sheetView workbookViewId="0">
      <pane ySplit="1" topLeftCell="A2" activePane="bottomLeft" state="frozen"/>
      <selection pane="bottomLeft" activeCell="D14" sqref="D14"/>
    </sheetView>
  </sheetViews>
  <sheetFormatPr defaultRowHeight="14.5"/>
  <cols>
    <col min="1" max="1" width="10" style="67" bestFit="1" customWidth="1"/>
    <col min="2" max="2" width="16.81640625" style="3" bestFit="1" customWidth="1"/>
    <col min="3" max="3" width="10.7265625" style="3" bestFit="1" customWidth="1"/>
    <col min="4" max="4" width="38.453125" style="316" customWidth="1"/>
    <col min="5" max="5" width="4.1796875" style="582" customWidth="1"/>
    <col min="6" max="6" width="10.7265625" style="43" bestFit="1" customWidth="1"/>
    <col min="7" max="7" width="7.1796875" bestFit="1" customWidth="1"/>
    <col min="8" max="8" width="9.1796875" style="26"/>
    <col min="9" max="9" width="10.7265625" bestFit="1" customWidth="1"/>
  </cols>
  <sheetData>
    <row r="1" spans="1:8" s="6" customFormat="1">
      <c r="A1" s="116" t="s">
        <v>52</v>
      </c>
      <c r="B1" s="1007" t="s">
        <v>233</v>
      </c>
      <c r="C1" s="1008" t="s">
        <v>402</v>
      </c>
      <c r="D1" s="1008" t="s">
        <v>138</v>
      </c>
      <c r="E1" s="1065"/>
      <c r="F1" s="1006" t="s">
        <v>1272</v>
      </c>
      <c r="G1" s="583" t="s">
        <v>776</v>
      </c>
      <c r="H1" s="585" t="s">
        <v>464</v>
      </c>
    </row>
    <row r="2" spans="1:8">
      <c r="A2" s="67">
        <v>45314</v>
      </c>
      <c r="B2" s="62" t="s">
        <v>238</v>
      </c>
      <c r="C2" s="62">
        <v>138.97999999999999</v>
      </c>
      <c r="D2" s="316" t="s">
        <v>403</v>
      </c>
      <c r="F2" s="26"/>
      <c r="G2" s="1062" t="s">
        <v>30</v>
      </c>
      <c r="H2" s="534">
        <v>0</v>
      </c>
    </row>
    <row r="3" spans="1:8">
      <c r="B3" s="62" t="s">
        <v>234</v>
      </c>
      <c r="C3" s="62">
        <v>194</v>
      </c>
      <c r="D3" s="316" t="s">
        <v>404</v>
      </c>
      <c r="F3" s="189"/>
      <c r="G3" s="1062" t="s">
        <v>183</v>
      </c>
      <c r="H3" s="534">
        <v>29733</v>
      </c>
    </row>
    <row r="4" spans="1:8">
      <c r="A4" s="577">
        <v>45352</v>
      </c>
      <c r="B4" s="111" t="s">
        <v>59</v>
      </c>
      <c r="C4" s="111">
        <f>SUM(C2:C3)</f>
        <v>332.98</v>
      </c>
      <c r="D4" s="1060" t="s">
        <v>589</v>
      </c>
      <c r="F4" s="418"/>
      <c r="G4" s="1062" t="s">
        <v>420</v>
      </c>
      <c r="H4" s="534">
        <v>0</v>
      </c>
    </row>
    <row r="5" spans="1:8">
      <c r="A5" s="116" t="s">
        <v>52</v>
      </c>
      <c r="B5" s="1007" t="s">
        <v>233</v>
      </c>
      <c r="C5" s="1008" t="s">
        <v>402</v>
      </c>
      <c r="D5" s="1008" t="s">
        <v>138</v>
      </c>
      <c r="F5" s="116" t="s">
        <v>1272</v>
      </c>
      <c r="G5" s="1062" t="s">
        <v>596</v>
      </c>
      <c r="H5" s="534">
        <v>0</v>
      </c>
    </row>
    <row r="6" spans="1:8">
      <c r="A6" s="67">
        <v>45401</v>
      </c>
      <c r="B6" s="62" t="s">
        <v>238</v>
      </c>
      <c r="C6" s="62">
        <v>282.45</v>
      </c>
      <c r="D6" s="316" t="s">
        <v>748</v>
      </c>
      <c r="F6" s="190"/>
      <c r="G6" s="1062" t="s">
        <v>701</v>
      </c>
      <c r="H6" s="534">
        <v>0</v>
      </c>
    </row>
    <row r="7" spans="1:8">
      <c r="B7" s="62" t="s">
        <v>234</v>
      </c>
      <c r="C7" s="62">
        <v>136</v>
      </c>
      <c r="D7" s="316" t="s">
        <v>749</v>
      </c>
      <c r="F7" s="189"/>
      <c r="H7" s="534"/>
    </row>
    <row r="8" spans="1:8">
      <c r="B8" s="62" t="s">
        <v>718</v>
      </c>
      <c r="C8" s="62">
        <v>5340</v>
      </c>
      <c r="D8" s="316" t="s">
        <v>770</v>
      </c>
      <c r="F8" s="189"/>
      <c r="G8" s="6" t="s">
        <v>8</v>
      </c>
      <c r="H8" s="587">
        <f>SUM(H2:H7)</f>
        <v>29733</v>
      </c>
    </row>
    <row r="9" spans="1:8" s="6" customFormat="1">
      <c r="A9" s="577">
        <v>45383</v>
      </c>
      <c r="B9" s="111" t="s">
        <v>59</v>
      </c>
      <c r="C9" s="111">
        <f>SUM(C6:C8)</f>
        <v>5758.45</v>
      </c>
      <c r="D9" s="1060" t="s">
        <v>585</v>
      </c>
      <c r="E9" s="582"/>
      <c r="F9" s="1070"/>
      <c r="G9"/>
      <c r="H9" s="534"/>
    </row>
    <row r="10" spans="1:8">
      <c r="A10" s="116" t="s">
        <v>52</v>
      </c>
      <c r="B10" s="1007" t="s">
        <v>233</v>
      </c>
      <c r="C10" s="1008" t="s">
        <v>402</v>
      </c>
      <c r="D10" s="1008" t="s">
        <v>138</v>
      </c>
      <c r="F10" s="116" t="s">
        <v>1272</v>
      </c>
      <c r="H10" s="534"/>
    </row>
    <row r="11" spans="1:8">
      <c r="A11" s="67">
        <v>45469</v>
      </c>
      <c r="B11" s="62" t="s">
        <v>1003</v>
      </c>
      <c r="C11" s="47">
        <v>75.099999999999994</v>
      </c>
      <c r="D11" s="316" t="s">
        <v>1005</v>
      </c>
      <c r="F11" s="1063"/>
      <c r="H11" s="534"/>
    </row>
    <row r="12" spans="1:8">
      <c r="B12" s="62" t="s">
        <v>429</v>
      </c>
      <c r="C12" s="175">
        <v>1000</v>
      </c>
      <c r="D12" s="316" t="s">
        <v>1263</v>
      </c>
      <c r="F12" s="534">
        <v>1000</v>
      </c>
      <c r="H12" s="534"/>
    </row>
    <row r="13" spans="1:8">
      <c r="A13" s="577">
        <v>45505</v>
      </c>
      <c r="B13" s="111" t="s">
        <v>59</v>
      </c>
      <c r="C13" s="111">
        <f>SUM(C11:C12)</f>
        <v>1075.0999999999999</v>
      </c>
      <c r="D13" s="1060" t="s">
        <v>585</v>
      </c>
      <c r="E13" s="1066"/>
      <c r="F13" s="1064">
        <f>F12</f>
        <v>1000</v>
      </c>
      <c r="H13" s="534"/>
    </row>
    <row r="14" spans="1:8">
      <c r="A14" s="116" t="s">
        <v>52</v>
      </c>
      <c r="B14" s="1007" t="s">
        <v>233</v>
      </c>
      <c r="C14" s="1008" t="s">
        <v>402</v>
      </c>
      <c r="D14" s="1008" t="s">
        <v>138</v>
      </c>
      <c r="E14" s="1067"/>
      <c r="F14" s="116" t="s">
        <v>1272</v>
      </c>
      <c r="H14" s="534"/>
    </row>
    <row r="15" spans="1:8">
      <c r="E15" s="1067"/>
      <c r="F15" s="53"/>
      <c r="G15" s="1062"/>
      <c r="H15" s="534"/>
    </row>
    <row r="16" spans="1:8">
      <c r="E16" s="581"/>
      <c r="F16" s="53"/>
      <c r="H16" s="534"/>
    </row>
    <row r="17" spans="5:8">
      <c r="E17" s="581"/>
      <c r="F17" s="62"/>
      <c r="H17" s="534"/>
    </row>
    <row r="18" spans="5:8">
      <c r="E18" s="1068"/>
      <c r="F18" s="62"/>
      <c r="H18" s="534"/>
    </row>
    <row r="19" spans="5:8">
      <c r="F19" s="53"/>
      <c r="H19" s="534"/>
    </row>
    <row r="20" spans="5:8">
      <c r="F20" s="53"/>
      <c r="H20" s="534"/>
    </row>
    <row r="21" spans="5:8">
      <c r="E21" s="1066"/>
      <c r="F21" s="53"/>
      <c r="H21" s="534"/>
    </row>
    <row r="22" spans="5:8">
      <c r="E22" s="581"/>
      <c r="F22" s="62"/>
      <c r="H22" s="534"/>
    </row>
    <row r="23" spans="5:8">
      <c r="E23" s="1067"/>
      <c r="F23" s="62"/>
      <c r="H23" s="534"/>
    </row>
    <row r="24" spans="5:8">
      <c r="E24" s="1067"/>
      <c r="F24" s="53"/>
      <c r="H24" s="534"/>
    </row>
    <row r="25" spans="5:8">
      <c r="E25" s="1067"/>
      <c r="F25" s="53"/>
      <c r="H25" s="534"/>
    </row>
    <row r="26" spans="5:8">
      <c r="E26" s="1068"/>
      <c r="F26" s="78"/>
      <c r="H26" s="534"/>
    </row>
    <row r="27" spans="5:8">
      <c r="E27" s="1066"/>
      <c r="F27" s="53"/>
      <c r="H27" s="534"/>
    </row>
    <row r="28" spans="5:8">
      <c r="E28" s="581"/>
      <c r="F28" s="53"/>
      <c r="H28" s="534"/>
    </row>
    <row r="29" spans="5:8">
      <c r="E29" s="1067"/>
      <c r="F29" s="53"/>
      <c r="H29" s="534"/>
    </row>
    <row r="30" spans="5:8">
      <c r="E30" s="1068"/>
      <c r="H30" s="534"/>
    </row>
    <row r="31" spans="5:8">
      <c r="E31" s="1066"/>
      <c r="F31" s="62"/>
      <c r="H31" s="534"/>
    </row>
    <row r="32" spans="5:8">
      <c r="E32" s="581"/>
      <c r="F32" s="62"/>
    </row>
    <row r="33" spans="5:6">
      <c r="E33" s="1067"/>
      <c r="F33" s="62"/>
    </row>
    <row r="34" spans="5:6">
      <c r="E34" s="1067"/>
      <c r="F34" s="62"/>
    </row>
    <row r="35" spans="5:6">
      <c r="E35" s="1067"/>
      <c r="F35" s="62"/>
    </row>
    <row r="36" spans="5:6">
      <c r="E36" s="1067"/>
    </row>
    <row r="37" spans="5:6">
      <c r="E37" s="1067"/>
    </row>
    <row r="38" spans="5:6">
      <c r="E38" s="1069"/>
    </row>
    <row r="39" spans="5:6">
      <c r="E39" s="1069"/>
    </row>
    <row r="40" spans="5:6">
      <c r="E40" s="1069"/>
    </row>
    <row r="41" spans="5:6">
      <c r="E41" s="1069"/>
    </row>
    <row r="42" spans="5:6">
      <c r="E42" s="1068"/>
    </row>
    <row r="43" spans="5:6">
      <c r="E43" s="1066"/>
    </row>
    <row r="44" spans="5:6">
      <c r="E44" s="581"/>
    </row>
    <row r="45" spans="5:6">
      <c r="E45" s="1069"/>
    </row>
    <row r="46" spans="5:6">
      <c r="E46" s="581"/>
    </row>
    <row r="47" spans="5:6">
      <c r="E47" s="1069"/>
    </row>
    <row r="48" spans="5:6">
      <c r="E48" s="581"/>
    </row>
    <row r="49" spans="5:5">
      <c r="E49" s="1066"/>
    </row>
    <row r="50" spans="5:5">
      <c r="E50" s="581"/>
    </row>
    <row r="51" spans="5:5">
      <c r="E51" s="581"/>
    </row>
    <row r="52" spans="5:5">
      <c r="E52" s="581"/>
    </row>
    <row r="53" spans="5:5">
      <c r="E53" s="581"/>
    </row>
    <row r="54" spans="5:5">
      <c r="E54" s="1066"/>
    </row>
    <row r="55" spans="5:5">
      <c r="E55" s="581"/>
    </row>
    <row r="56" spans="5:5">
      <c r="E56" s="581"/>
    </row>
    <row r="57" spans="5:5">
      <c r="E57" s="581"/>
    </row>
    <row r="58" spans="5:5">
      <c r="E58" s="581"/>
    </row>
    <row r="59" spans="5:5">
      <c r="E59" s="581"/>
    </row>
    <row r="60" spans="5:5">
      <c r="E60" s="581"/>
    </row>
    <row r="61" spans="5:5">
      <c r="E61" s="581"/>
    </row>
    <row r="62" spans="5:5">
      <c r="E62" s="581"/>
    </row>
    <row r="63" spans="5:5">
      <c r="E63" s="581"/>
    </row>
    <row r="64" spans="5:5">
      <c r="E64" s="581"/>
    </row>
    <row r="65" spans="5:5">
      <c r="E65" s="581"/>
    </row>
    <row r="66" spans="5:5">
      <c r="E66" s="581"/>
    </row>
    <row r="67" spans="5:5">
      <c r="E67" s="581"/>
    </row>
    <row r="68" spans="5:5">
      <c r="E68" s="581"/>
    </row>
    <row r="69" spans="5:5">
      <c r="E69" s="581"/>
    </row>
    <row r="70" spans="5:5">
      <c r="E70" s="581"/>
    </row>
    <row r="71" spans="5:5">
      <c r="E71" s="581"/>
    </row>
    <row r="72" spans="5:5">
      <c r="E72" s="581"/>
    </row>
    <row r="73" spans="5:5">
      <c r="E73" s="581"/>
    </row>
    <row r="74" spans="5:5">
      <c r="E74" s="581"/>
    </row>
    <row r="75" spans="5:5">
      <c r="E75" s="581"/>
    </row>
    <row r="76" spans="5:5">
      <c r="E76" s="581"/>
    </row>
    <row r="77" spans="5:5">
      <c r="E77" s="581"/>
    </row>
    <row r="78" spans="5:5">
      <c r="E78" s="581"/>
    </row>
    <row r="79" spans="5:5">
      <c r="E79" s="581"/>
    </row>
    <row r="80" spans="5:5">
      <c r="E80" s="581"/>
    </row>
    <row r="81" spans="5:5">
      <c r="E81" s="581"/>
    </row>
    <row r="82" spans="5:5">
      <c r="E82" s="581"/>
    </row>
    <row r="83" spans="5:5">
      <c r="E83" s="581"/>
    </row>
    <row r="84" spans="5:5">
      <c r="E84" s="581"/>
    </row>
    <row r="85" spans="5:5">
      <c r="E85" s="581"/>
    </row>
    <row r="86" spans="5:5">
      <c r="E86" s="581"/>
    </row>
    <row r="87" spans="5:5">
      <c r="E87" s="581"/>
    </row>
    <row r="88" spans="5:5">
      <c r="E88" s="581"/>
    </row>
    <row r="89" spans="5:5">
      <c r="E89" s="581"/>
    </row>
    <row r="90" spans="5:5">
      <c r="E90" s="581"/>
    </row>
    <row r="91" spans="5:5">
      <c r="E91" s="581"/>
    </row>
    <row r="92" spans="5:5">
      <c r="E92" s="581"/>
    </row>
    <row r="93" spans="5:5">
      <c r="E93" s="581"/>
    </row>
    <row r="94" spans="5:5">
      <c r="E94" s="581"/>
    </row>
    <row r="95" spans="5:5">
      <c r="E95" s="581"/>
    </row>
    <row r="96" spans="5:5">
      <c r="E96" s="581"/>
    </row>
    <row r="97" spans="5:5">
      <c r="E97" s="581"/>
    </row>
    <row r="98" spans="5:5">
      <c r="E98" s="581"/>
    </row>
    <row r="99" spans="5:5">
      <c r="E99" s="581"/>
    </row>
    <row r="100" spans="5:5">
      <c r="E100" s="581"/>
    </row>
    <row r="101" spans="5:5">
      <c r="E101" s="581"/>
    </row>
    <row r="102" spans="5:5">
      <c r="E102" s="581"/>
    </row>
    <row r="103" spans="5:5">
      <c r="E103" s="581"/>
    </row>
    <row r="104" spans="5:5">
      <c r="E104" s="581"/>
    </row>
    <row r="105" spans="5:5">
      <c r="E105" s="581"/>
    </row>
    <row r="106" spans="5:5">
      <c r="E106" s="581"/>
    </row>
    <row r="107" spans="5:5">
      <c r="E107" s="581"/>
    </row>
    <row r="108" spans="5:5">
      <c r="E108" s="581"/>
    </row>
    <row r="109" spans="5:5">
      <c r="E109" s="581"/>
    </row>
    <row r="110" spans="5:5">
      <c r="E110" s="581"/>
    </row>
    <row r="111" spans="5:5">
      <c r="E111" s="581"/>
    </row>
    <row r="112" spans="5:5">
      <c r="E112" s="581"/>
    </row>
    <row r="113" spans="5:5">
      <c r="E113" s="581"/>
    </row>
    <row r="114" spans="5:5">
      <c r="E114" s="581"/>
    </row>
    <row r="115" spans="5:5">
      <c r="E115" s="581"/>
    </row>
    <row r="116" spans="5:5">
      <c r="E116" s="581"/>
    </row>
    <row r="117" spans="5:5">
      <c r="E117" s="581"/>
    </row>
    <row r="118" spans="5:5">
      <c r="E118" s="581"/>
    </row>
    <row r="119" spans="5:5">
      <c r="E119" s="581"/>
    </row>
    <row r="120" spans="5:5">
      <c r="E120" s="581"/>
    </row>
    <row r="121" spans="5:5">
      <c r="E121" s="581"/>
    </row>
    <row r="122" spans="5:5">
      <c r="E122" s="581"/>
    </row>
    <row r="123" spans="5:5">
      <c r="E123" s="581"/>
    </row>
    <row r="124" spans="5:5">
      <c r="E124" s="581"/>
    </row>
    <row r="125" spans="5:5">
      <c r="E125" s="581"/>
    </row>
    <row r="126" spans="5:5">
      <c r="E126" s="581"/>
    </row>
    <row r="127" spans="5:5">
      <c r="E127" s="581"/>
    </row>
    <row r="128" spans="5:5">
      <c r="E128" s="581"/>
    </row>
    <row r="129" spans="5:5">
      <c r="E129" s="581"/>
    </row>
    <row r="130" spans="5:5">
      <c r="E130" s="581"/>
    </row>
    <row r="131" spans="5:5">
      <c r="E131" s="581"/>
    </row>
    <row r="132" spans="5:5">
      <c r="E132" s="581"/>
    </row>
    <row r="133" spans="5:5">
      <c r="E133" s="581"/>
    </row>
    <row r="134" spans="5:5">
      <c r="E134" s="581"/>
    </row>
    <row r="135" spans="5:5">
      <c r="E135" s="581"/>
    </row>
    <row r="136" spans="5:5">
      <c r="E136" s="581"/>
    </row>
    <row r="137" spans="5:5">
      <c r="E137" s="581"/>
    </row>
    <row r="138" spans="5:5">
      <c r="E138" s="581"/>
    </row>
    <row r="139" spans="5:5">
      <c r="E139" s="581"/>
    </row>
    <row r="140" spans="5:5">
      <c r="E140" s="581"/>
    </row>
    <row r="141" spans="5:5">
      <c r="E141" s="581"/>
    </row>
    <row r="142" spans="5:5">
      <c r="E142" s="581"/>
    </row>
    <row r="143" spans="5:5">
      <c r="E143" s="581"/>
    </row>
    <row r="144" spans="5:5">
      <c r="E144" s="581"/>
    </row>
    <row r="145" spans="5:5">
      <c r="E145" s="581"/>
    </row>
    <row r="146" spans="5:5">
      <c r="E146" s="581"/>
    </row>
    <row r="147" spans="5:5">
      <c r="E147" s="581"/>
    </row>
    <row r="148" spans="5:5">
      <c r="E148" s="581"/>
    </row>
    <row r="149" spans="5:5">
      <c r="E149" s="581"/>
    </row>
    <row r="150" spans="5:5">
      <c r="E150" s="581"/>
    </row>
    <row r="151" spans="5:5">
      <c r="E151" s="581"/>
    </row>
    <row r="152" spans="5:5">
      <c r="E152" s="581"/>
    </row>
    <row r="153" spans="5:5">
      <c r="E153" s="581"/>
    </row>
    <row r="154" spans="5:5">
      <c r="E154" s="581"/>
    </row>
    <row r="155" spans="5:5">
      <c r="E155" s="581"/>
    </row>
    <row r="156" spans="5:5">
      <c r="E156" s="581"/>
    </row>
    <row r="157" spans="5:5">
      <c r="E157" s="581"/>
    </row>
    <row r="158" spans="5:5">
      <c r="E158" s="581"/>
    </row>
    <row r="159" spans="5:5">
      <c r="E159" s="581"/>
    </row>
    <row r="160" spans="5:5">
      <c r="E160" s="581"/>
    </row>
    <row r="161" spans="5:5">
      <c r="E161" s="581"/>
    </row>
    <row r="162" spans="5:5">
      <c r="E162" s="581"/>
    </row>
    <row r="163" spans="5:5">
      <c r="E163" s="581"/>
    </row>
    <row r="164" spans="5:5">
      <c r="E164" s="581"/>
    </row>
    <row r="165" spans="5:5">
      <c r="E165" s="581"/>
    </row>
    <row r="166" spans="5:5">
      <c r="E166" s="581"/>
    </row>
    <row r="167" spans="5:5">
      <c r="E167" s="581"/>
    </row>
    <row r="168" spans="5:5">
      <c r="E168" s="581"/>
    </row>
    <row r="169" spans="5:5">
      <c r="E169" s="581"/>
    </row>
    <row r="170" spans="5:5">
      <c r="E170" s="581"/>
    </row>
    <row r="171" spans="5:5">
      <c r="E171" s="581"/>
    </row>
    <row r="172" spans="5:5">
      <c r="E172" s="581"/>
    </row>
    <row r="173" spans="5:5">
      <c r="E173" s="581"/>
    </row>
    <row r="174" spans="5:5">
      <c r="E174" s="581"/>
    </row>
    <row r="175" spans="5:5">
      <c r="E175" s="581"/>
    </row>
    <row r="176" spans="5:5">
      <c r="E176" s="581"/>
    </row>
    <row r="177" spans="5:5">
      <c r="E177" s="581"/>
    </row>
    <row r="178" spans="5:5">
      <c r="E178" s="581"/>
    </row>
    <row r="179" spans="5:5">
      <c r="E179" s="581"/>
    </row>
    <row r="180" spans="5:5">
      <c r="E180" s="581"/>
    </row>
    <row r="181" spans="5:5">
      <c r="E181" s="581"/>
    </row>
    <row r="182" spans="5:5">
      <c r="E182" s="581"/>
    </row>
    <row r="183" spans="5:5">
      <c r="E183" s="581"/>
    </row>
    <row r="184" spans="5:5">
      <c r="E184" s="581"/>
    </row>
    <row r="185" spans="5:5">
      <c r="E185" s="581"/>
    </row>
    <row r="186" spans="5:5">
      <c r="E186" s="581"/>
    </row>
    <row r="187" spans="5:5">
      <c r="E187" s="581"/>
    </row>
    <row r="188" spans="5:5">
      <c r="E188" s="581"/>
    </row>
    <row r="189" spans="5:5">
      <c r="E189" s="581"/>
    </row>
    <row r="190" spans="5:5">
      <c r="E190" s="581"/>
    </row>
    <row r="191" spans="5:5">
      <c r="E191" s="581"/>
    </row>
    <row r="192" spans="5:5">
      <c r="E192" s="581"/>
    </row>
    <row r="193" spans="5:5">
      <c r="E193" s="581"/>
    </row>
    <row r="194" spans="5:5">
      <c r="E194" s="581"/>
    </row>
    <row r="195" spans="5:5">
      <c r="E195" s="581"/>
    </row>
    <row r="196" spans="5:5">
      <c r="E196" s="581"/>
    </row>
    <row r="197" spans="5:5">
      <c r="E197" s="581"/>
    </row>
    <row r="198" spans="5:5">
      <c r="E198" s="581"/>
    </row>
    <row r="199" spans="5:5">
      <c r="E199" s="581"/>
    </row>
    <row r="200" spans="5:5">
      <c r="E200" s="581"/>
    </row>
    <row r="201" spans="5:5">
      <c r="E201" s="581"/>
    </row>
    <row r="202" spans="5:5">
      <c r="E202" s="581"/>
    </row>
    <row r="203" spans="5:5">
      <c r="E203" s="581"/>
    </row>
    <row r="204" spans="5:5">
      <c r="E204" s="581"/>
    </row>
    <row r="205" spans="5:5">
      <c r="E205" s="581"/>
    </row>
    <row r="206" spans="5:5">
      <c r="E206" s="581"/>
    </row>
    <row r="207" spans="5:5">
      <c r="E207" s="581"/>
    </row>
    <row r="208" spans="5:5">
      <c r="E208" s="581"/>
    </row>
    <row r="209" spans="5:5">
      <c r="E209" s="581"/>
    </row>
    <row r="210" spans="5:5">
      <c r="E210" s="581"/>
    </row>
    <row r="211" spans="5:5">
      <c r="E211" s="581"/>
    </row>
    <row r="212" spans="5:5">
      <c r="E212" s="581"/>
    </row>
    <row r="213" spans="5:5">
      <c r="E213" s="581"/>
    </row>
    <row r="214" spans="5:5">
      <c r="E214" s="581"/>
    </row>
    <row r="215" spans="5:5">
      <c r="E215" s="581"/>
    </row>
    <row r="216" spans="5:5">
      <c r="E216" s="581"/>
    </row>
    <row r="217" spans="5:5">
      <c r="E217" s="581"/>
    </row>
    <row r="218" spans="5:5">
      <c r="E218" s="581"/>
    </row>
    <row r="219" spans="5:5">
      <c r="E219" s="581"/>
    </row>
    <row r="220" spans="5:5">
      <c r="E220" s="581"/>
    </row>
    <row r="221" spans="5:5">
      <c r="E221" s="581"/>
    </row>
    <row r="222" spans="5:5">
      <c r="E222" s="581"/>
    </row>
    <row r="223" spans="5:5">
      <c r="E223" s="581"/>
    </row>
    <row r="224" spans="5:5">
      <c r="E224" s="581"/>
    </row>
    <row r="225" spans="5:5">
      <c r="E225" s="581"/>
    </row>
    <row r="226" spans="5:5">
      <c r="E226" s="581"/>
    </row>
    <row r="227" spans="5:5">
      <c r="E227" s="581"/>
    </row>
    <row r="228" spans="5:5">
      <c r="E228" s="581"/>
    </row>
    <row r="229" spans="5:5">
      <c r="E229" s="581"/>
    </row>
    <row r="230" spans="5:5">
      <c r="E230" s="581"/>
    </row>
    <row r="231" spans="5:5">
      <c r="E231" s="581"/>
    </row>
    <row r="232" spans="5:5">
      <c r="E232" s="581"/>
    </row>
    <row r="233" spans="5:5">
      <c r="E233" s="581"/>
    </row>
    <row r="234" spans="5:5">
      <c r="E234" s="581"/>
    </row>
    <row r="235" spans="5:5">
      <c r="E235" s="581"/>
    </row>
    <row r="236" spans="5:5">
      <c r="E236" s="581"/>
    </row>
    <row r="237" spans="5:5">
      <c r="E237" s="581"/>
    </row>
    <row r="238" spans="5:5">
      <c r="E238" s="581"/>
    </row>
    <row r="239" spans="5:5">
      <c r="E239" s="581"/>
    </row>
    <row r="240" spans="5:5">
      <c r="E240" s="581"/>
    </row>
    <row r="241" spans="5:5">
      <c r="E241" s="581"/>
    </row>
    <row r="242" spans="5:5">
      <c r="E242" s="581"/>
    </row>
    <row r="243" spans="5:5">
      <c r="E243" s="581"/>
    </row>
    <row r="244" spans="5:5">
      <c r="E244" s="581"/>
    </row>
    <row r="245" spans="5:5">
      <c r="E245" s="581"/>
    </row>
    <row r="246" spans="5:5">
      <c r="E246" s="581"/>
    </row>
    <row r="247" spans="5:5">
      <c r="E247" s="581"/>
    </row>
    <row r="248" spans="5:5">
      <c r="E248" s="581"/>
    </row>
    <row r="249" spans="5:5">
      <c r="E249" s="581"/>
    </row>
    <row r="250" spans="5:5">
      <c r="E250" s="581"/>
    </row>
    <row r="251" spans="5:5">
      <c r="E251" s="581"/>
    </row>
    <row r="252" spans="5:5">
      <c r="E252" s="581"/>
    </row>
    <row r="253" spans="5:5">
      <c r="E253" s="581"/>
    </row>
    <row r="254" spans="5:5">
      <c r="E254" s="581"/>
    </row>
    <row r="255" spans="5:5">
      <c r="E255" s="581"/>
    </row>
    <row r="256" spans="5:5">
      <c r="E256" s="581"/>
    </row>
    <row r="257" spans="5:5">
      <c r="E257" s="581"/>
    </row>
    <row r="258" spans="5:5">
      <c r="E258" s="581"/>
    </row>
    <row r="259" spans="5:5">
      <c r="E259" s="581"/>
    </row>
    <row r="260" spans="5:5">
      <c r="E260" s="581"/>
    </row>
    <row r="261" spans="5:5">
      <c r="E261" s="581"/>
    </row>
    <row r="262" spans="5:5">
      <c r="E262" s="581"/>
    </row>
    <row r="263" spans="5:5">
      <c r="E263" s="581"/>
    </row>
    <row r="264" spans="5:5">
      <c r="E264" s="581"/>
    </row>
    <row r="265" spans="5:5">
      <c r="E265" s="581"/>
    </row>
    <row r="266" spans="5:5">
      <c r="E266" s="581"/>
    </row>
    <row r="267" spans="5:5">
      <c r="E267" s="581"/>
    </row>
    <row r="268" spans="5:5">
      <c r="E268" s="581"/>
    </row>
    <row r="269" spans="5:5">
      <c r="E269" s="581"/>
    </row>
    <row r="270" spans="5:5">
      <c r="E270" s="581"/>
    </row>
    <row r="271" spans="5:5">
      <c r="E271" s="581"/>
    </row>
    <row r="272" spans="5:5">
      <c r="E272" s="581"/>
    </row>
    <row r="273" spans="5:5">
      <c r="E273" s="581"/>
    </row>
    <row r="274" spans="5:5">
      <c r="E274" s="581"/>
    </row>
    <row r="275" spans="5:5">
      <c r="E275" s="581"/>
    </row>
    <row r="276" spans="5:5">
      <c r="E276" s="581"/>
    </row>
    <row r="277" spans="5:5">
      <c r="E277" s="581"/>
    </row>
    <row r="278" spans="5:5">
      <c r="E278" s="581"/>
    </row>
    <row r="279" spans="5:5">
      <c r="E279" s="581"/>
    </row>
    <row r="280" spans="5:5">
      <c r="E280" s="581"/>
    </row>
    <row r="281" spans="5:5">
      <c r="E281" s="581"/>
    </row>
    <row r="282" spans="5:5">
      <c r="E282" s="581"/>
    </row>
    <row r="283" spans="5:5">
      <c r="E283" s="581"/>
    </row>
    <row r="284" spans="5:5">
      <c r="E284" s="581"/>
    </row>
    <row r="285" spans="5:5">
      <c r="E285" s="581"/>
    </row>
    <row r="286" spans="5:5">
      <c r="E286" s="581"/>
    </row>
    <row r="287" spans="5:5">
      <c r="E287" s="581"/>
    </row>
    <row r="288" spans="5:5">
      <c r="E288" s="581"/>
    </row>
    <row r="289" spans="5:5">
      <c r="E289" s="581"/>
    </row>
    <row r="290" spans="5:5">
      <c r="E290" s="581"/>
    </row>
    <row r="291" spans="5:5">
      <c r="E291" s="581"/>
    </row>
    <row r="292" spans="5:5">
      <c r="E292" s="581"/>
    </row>
    <row r="293" spans="5:5">
      <c r="E293" s="581"/>
    </row>
    <row r="294" spans="5:5">
      <c r="E294" s="581"/>
    </row>
    <row r="295" spans="5:5">
      <c r="E295" s="581"/>
    </row>
    <row r="296" spans="5:5">
      <c r="E296" s="581"/>
    </row>
    <row r="297" spans="5:5">
      <c r="E297" s="581"/>
    </row>
    <row r="298" spans="5:5">
      <c r="E298" s="581"/>
    </row>
    <row r="299" spans="5:5">
      <c r="E299" s="581"/>
    </row>
    <row r="300" spans="5:5">
      <c r="E300" s="581"/>
    </row>
    <row r="301" spans="5:5">
      <c r="E301" s="581"/>
    </row>
    <row r="302" spans="5:5">
      <c r="E302" s="581"/>
    </row>
    <row r="303" spans="5:5">
      <c r="E303" s="581"/>
    </row>
    <row r="304" spans="5:5">
      <c r="E304" s="581"/>
    </row>
    <row r="305" spans="5:5">
      <c r="E305" s="581"/>
    </row>
    <row r="306" spans="5:5">
      <c r="E306" s="581"/>
    </row>
    <row r="307" spans="5:5">
      <c r="E307" s="581"/>
    </row>
    <row r="308" spans="5:5">
      <c r="E308" s="581"/>
    </row>
    <row r="309" spans="5:5">
      <c r="E309" s="581"/>
    </row>
    <row r="310" spans="5:5">
      <c r="E310" s="581"/>
    </row>
    <row r="311" spans="5:5">
      <c r="E311" s="581"/>
    </row>
    <row r="312" spans="5:5">
      <c r="E312" s="581"/>
    </row>
    <row r="313" spans="5:5">
      <c r="E313" s="581"/>
    </row>
    <row r="314" spans="5:5">
      <c r="E314" s="581"/>
    </row>
    <row r="315" spans="5:5">
      <c r="E315" s="581"/>
    </row>
    <row r="316" spans="5:5">
      <c r="E316" s="581"/>
    </row>
    <row r="317" spans="5:5">
      <c r="E317" s="581"/>
    </row>
    <row r="318" spans="5:5">
      <c r="E318" s="581"/>
    </row>
    <row r="319" spans="5:5">
      <c r="E319" s="581"/>
    </row>
    <row r="320" spans="5:5">
      <c r="E320" s="581"/>
    </row>
    <row r="321" spans="5:5">
      <c r="E321" s="581"/>
    </row>
    <row r="322" spans="5:5">
      <c r="E322" s="581"/>
    </row>
    <row r="323" spans="5:5">
      <c r="E323" s="581"/>
    </row>
    <row r="324" spans="5:5">
      <c r="E324" s="581"/>
    </row>
    <row r="325" spans="5:5">
      <c r="E325" s="581"/>
    </row>
    <row r="326" spans="5:5">
      <c r="E326" s="581"/>
    </row>
    <row r="327" spans="5:5">
      <c r="E327" s="581"/>
    </row>
    <row r="328" spans="5:5">
      <c r="E328" s="581"/>
    </row>
    <row r="329" spans="5:5">
      <c r="E329" s="581"/>
    </row>
    <row r="330" spans="5:5">
      <c r="E330" s="581"/>
    </row>
    <row r="331" spans="5:5">
      <c r="E331" s="581"/>
    </row>
    <row r="332" spans="5:5">
      <c r="E332" s="581"/>
    </row>
    <row r="333" spans="5:5">
      <c r="E333" s="581"/>
    </row>
    <row r="334" spans="5:5">
      <c r="E334" s="581"/>
    </row>
    <row r="335" spans="5:5">
      <c r="E335" s="581"/>
    </row>
    <row r="336" spans="5:5">
      <c r="E336" s="581"/>
    </row>
    <row r="337" spans="5:5">
      <c r="E337" s="581"/>
    </row>
    <row r="338" spans="5:5">
      <c r="E338" s="581"/>
    </row>
    <row r="339" spans="5:5">
      <c r="E339" s="581"/>
    </row>
    <row r="340" spans="5:5">
      <c r="E340" s="581"/>
    </row>
    <row r="341" spans="5:5">
      <c r="E341" s="581"/>
    </row>
    <row r="342" spans="5:5">
      <c r="E342" s="581"/>
    </row>
    <row r="343" spans="5:5">
      <c r="E343" s="581"/>
    </row>
    <row r="344" spans="5:5">
      <c r="E344" s="581"/>
    </row>
    <row r="345" spans="5:5">
      <c r="E345" s="581"/>
    </row>
    <row r="346" spans="5:5">
      <c r="E346" s="581"/>
    </row>
    <row r="347" spans="5:5">
      <c r="E347" s="581"/>
    </row>
    <row r="348" spans="5:5">
      <c r="E348" s="581"/>
    </row>
    <row r="349" spans="5:5">
      <c r="E349" s="581"/>
    </row>
    <row r="350" spans="5:5">
      <c r="E350" s="581"/>
    </row>
    <row r="351" spans="5:5">
      <c r="E351" s="581"/>
    </row>
    <row r="352" spans="5:5">
      <c r="E352" s="581"/>
    </row>
    <row r="353" spans="5:5">
      <c r="E353" s="581"/>
    </row>
    <row r="354" spans="5:5">
      <c r="E354" s="581"/>
    </row>
    <row r="355" spans="5:5">
      <c r="E355" s="581"/>
    </row>
    <row r="356" spans="5:5">
      <c r="E356" s="581"/>
    </row>
    <row r="357" spans="5:5">
      <c r="E357" s="581"/>
    </row>
    <row r="358" spans="5:5">
      <c r="E358" s="581"/>
    </row>
    <row r="359" spans="5:5">
      <c r="E359" s="581"/>
    </row>
    <row r="360" spans="5:5">
      <c r="E360" s="581"/>
    </row>
    <row r="361" spans="5:5">
      <c r="E361" s="581"/>
    </row>
  </sheetData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66FF"/>
    <pageSetUpPr fitToPage="1"/>
  </sheetPr>
  <dimension ref="A1:L249"/>
  <sheetViews>
    <sheetView workbookViewId="0">
      <pane ySplit="1" topLeftCell="A56" activePane="bottomLeft" state="frozen"/>
      <selection pane="bottomLeft" activeCell="D84" sqref="D84"/>
    </sheetView>
  </sheetViews>
  <sheetFormatPr defaultRowHeight="14.5"/>
  <cols>
    <col min="1" max="1" width="10.1796875" style="67" bestFit="1" customWidth="1"/>
    <col min="2" max="2" width="23.1796875" style="3" bestFit="1" customWidth="1"/>
    <col min="3" max="3" width="10.7265625" style="3" bestFit="1" customWidth="1"/>
    <col min="4" max="4" width="25.7265625" style="113" bestFit="1" customWidth="1"/>
    <col min="5" max="5" width="10.7265625" customWidth="1"/>
    <col min="7" max="7" width="10.7265625" style="26" bestFit="1" customWidth="1"/>
    <col min="8" max="8" width="3.453125" style="574" customWidth="1"/>
    <col min="10" max="10" width="10.7265625" bestFit="1" customWidth="1"/>
    <col min="11" max="11" width="6.7265625" bestFit="1" customWidth="1"/>
    <col min="12" max="12" width="9.1796875" style="26"/>
  </cols>
  <sheetData>
    <row r="1" spans="1:12" s="6" customFormat="1">
      <c r="A1" s="116" t="s">
        <v>52</v>
      </c>
      <c r="B1" s="115" t="s">
        <v>233</v>
      </c>
      <c r="C1" s="65" t="s">
        <v>402</v>
      </c>
      <c r="D1" s="112" t="s">
        <v>138</v>
      </c>
      <c r="E1" s="1108" t="s">
        <v>427</v>
      </c>
      <c r="F1" s="1109"/>
      <c r="G1" s="1110"/>
      <c r="H1" s="580"/>
      <c r="I1" s="116" t="s">
        <v>470</v>
      </c>
      <c r="J1" s="116" t="s">
        <v>464</v>
      </c>
      <c r="K1" s="583" t="s">
        <v>776</v>
      </c>
      <c r="L1" s="585" t="s">
        <v>464</v>
      </c>
    </row>
    <row r="2" spans="1:12">
      <c r="A2" s="67">
        <v>45323</v>
      </c>
      <c r="B2" s="62" t="s">
        <v>427</v>
      </c>
      <c r="C2" s="62">
        <v>750</v>
      </c>
      <c r="D2" s="113" t="s">
        <v>428</v>
      </c>
      <c r="E2" s="184">
        <v>45303</v>
      </c>
      <c r="F2" t="s">
        <v>325</v>
      </c>
      <c r="G2" s="189">
        <v>300</v>
      </c>
      <c r="H2" s="581"/>
      <c r="I2" s="269">
        <v>50</v>
      </c>
      <c r="J2" s="271"/>
      <c r="K2" t="s">
        <v>596</v>
      </c>
      <c r="L2" s="534">
        <v>9268</v>
      </c>
    </row>
    <row r="3" spans="1:12">
      <c r="B3" s="62" t="s">
        <v>429</v>
      </c>
      <c r="C3" s="175">
        <v>1500</v>
      </c>
      <c r="D3" s="113" t="s">
        <v>434</v>
      </c>
      <c r="E3" s="184"/>
      <c r="F3" t="s">
        <v>343</v>
      </c>
      <c r="G3" s="189">
        <v>300</v>
      </c>
      <c r="H3" s="581"/>
      <c r="I3" s="270">
        <v>50</v>
      </c>
      <c r="J3" s="270">
        <v>1500</v>
      </c>
      <c r="K3" t="s">
        <v>701</v>
      </c>
      <c r="L3" s="534">
        <v>26480</v>
      </c>
    </row>
    <row r="4" spans="1:12">
      <c r="E4" s="184">
        <v>45313</v>
      </c>
      <c r="F4" t="s">
        <v>325</v>
      </c>
      <c r="G4" s="189">
        <v>150</v>
      </c>
      <c r="H4" s="581"/>
      <c r="I4" s="271"/>
      <c r="J4" s="270">
        <v>100</v>
      </c>
      <c r="L4" s="534"/>
    </row>
    <row r="5" spans="1:12">
      <c r="A5" s="70"/>
      <c r="B5" s="330" t="s">
        <v>59</v>
      </c>
      <c r="C5" s="111">
        <f>SUM(C2:C3)</f>
        <v>2250</v>
      </c>
      <c r="D5" s="326" t="s">
        <v>585</v>
      </c>
      <c r="E5" s="257"/>
      <c r="F5" s="31"/>
      <c r="G5" s="256">
        <f>SUM(G2:G4)</f>
        <v>750</v>
      </c>
      <c r="H5" s="581"/>
      <c r="I5" s="273">
        <f>SUM(I2:I4)</f>
        <v>100</v>
      </c>
      <c r="J5" s="272">
        <f>SUM(J3:J4)</f>
        <v>1600</v>
      </c>
      <c r="L5" s="534"/>
    </row>
    <row r="6" spans="1:12">
      <c r="A6" s="116" t="s">
        <v>52</v>
      </c>
      <c r="B6" s="1007" t="s">
        <v>233</v>
      </c>
      <c r="C6" s="1008" t="s">
        <v>402</v>
      </c>
      <c r="D6" s="1009" t="s">
        <v>138</v>
      </c>
      <c r="E6" s="1105" t="s">
        <v>427</v>
      </c>
      <c r="F6" s="1106"/>
      <c r="G6" s="1107"/>
      <c r="H6" s="581"/>
      <c r="I6" s="116" t="s">
        <v>470</v>
      </c>
      <c r="J6" s="116" t="s">
        <v>464</v>
      </c>
    </row>
    <row r="7" spans="1:12">
      <c r="A7" s="67">
        <v>45352</v>
      </c>
      <c r="B7" s="62" t="s">
        <v>427</v>
      </c>
      <c r="C7" s="62">
        <v>300</v>
      </c>
      <c r="E7" s="184">
        <v>45327</v>
      </c>
      <c r="F7" t="s">
        <v>325</v>
      </c>
      <c r="G7" s="255">
        <v>300</v>
      </c>
      <c r="H7" s="581"/>
      <c r="I7" s="270">
        <v>50</v>
      </c>
      <c r="J7" s="270">
        <v>50</v>
      </c>
      <c r="K7" s="25"/>
      <c r="L7" s="534"/>
    </row>
    <row r="8" spans="1:12">
      <c r="B8" s="62" t="s">
        <v>429</v>
      </c>
      <c r="C8" s="175">
        <v>1500</v>
      </c>
      <c r="D8" s="316" t="s">
        <v>579</v>
      </c>
      <c r="E8" s="254"/>
      <c r="G8" s="189"/>
      <c r="H8" s="581"/>
      <c r="I8" s="270"/>
      <c r="J8" s="270">
        <v>1500</v>
      </c>
      <c r="L8" s="534"/>
    </row>
    <row r="9" spans="1:12">
      <c r="A9" s="70"/>
      <c r="B9" s="110" t="s">
        <v>59</v>
      </c>
      <c r="C9" s="111">
        <f>SUM(C7:C8)</f>
        <v>1800</v>
      </c>
      <c r="D9" s="326" t="s">
        <v>585</v>
      </c>
      <c r="E9" s="218"/>
      <c r="F9" s="31"/>
      <c r="G9" s="256">
        <f>G7</f>
        <v>300</v>
      </c>
      <c r="H9" s="581"/>
      <c r="I9" s="273">
        <v>50</v>
      </c>
      <c r="J9" s="272">
        <f>SUM(J7:J8)</f>
        <v>1550</v>
      </c>
      <c r="K9" s="6" t="s">
        <v>8</v>
      </c>
      <c r="L9" s="587">
        <f>SUM(L2:L8)</f>
        <v>35748</v>
      </c>
    </row>
    <row r="10" spans="1:12">
      <c r="A10" s="116" t="s">
        <v>52</v>
      </c>
      <c r="B10" s="1007" t="s">
        <v>233</v>
      </c>
      <c r="C10" s="1008" t="s">
        <v>402</v>
      </c>
      <c r="D10" s="1009" t="s">
        <v>138</v>
      </c>
      <c r="E10" s="1105" t="s">
        <v>427</v>
      </c>
      <c r="F10" s="1106"/>
      <c r="G10" s="1107"/>
      <c r="H10" s="581"/>
      <c r="I10" s="116" t="s">
        <v>470</v>
      </c>
      <c r="J10" s="116" t="s">
        <v>464</v>
      </c>
    </row>
    <row r="11" spans="1:12">
      <c r="A11" s="67">
        <v>45363</v>
      </c>
      <c r="B11" s="3" t="s">
        <v>602</v>
      </c>
      <c r="C11" s="3">
        <v>150</v>
      </c>
      <c r="D11" s="113" t="s">
        <v>603</v>
      </c>
      <c r="E11" s="24">
        <v>45355</v>
      </c>
      <c r="F11" t="s">
        <v>325</v>
      </c>
      <c r="G11" s="189">
        <v>300</v>
      </c>
      <c r="H11" s="581"/>
      <c r="I11" s="270">
        <v>50</v>
      </c>
      <c r="J11" s="317"/>
      <c r="L11" s="534"/>
    </row>
    <row r="12" spans="1:12">
      <c r="A12" s="67">
        <v>45369</v>
      </c>
      <c r="B12" s="3" t="s">
        <v>620</v>
      </c>
      <c r="C12" s="3">
        <v>611.58000000000004</v>
      </c>
      <c r="D12" s="113" t="s">
        <v>621</v>
      </c>
      <c r="E12" s="24">
        <v>45362</v>
      </c>
      <c r="F12" t="s">
        <v>325</v>
      </c>
      <c r="G12" s="189">
        <v>300</v>
      </c>
      <c r="H12" s="581"/>
      <c r="I12" s="270">
        <v>50</v>
      </c>
      <c r="J12" s="271"/>
    </row>
    <row r="13" spans="1:12">
      <c r="A13" s="67">
        <v>45369</v>
      </c>
      <c r="B13" s="3" t="s">
        <v>618</v>
      </c>
      <c r="C13" s="3">
        <v>380</v>
      </c>
      <c r="D13" s="113" t="s">
        <v>622</v>
      </c>
      <c r="F13" t="s">
        <v>450</v>
      </c>
      <c r="G13" s="189">
        <v>300</v>
      </c>
      <c r="H13" s="581"/>
      <c r="I13" s="270">
        <v>50</v>
      </c>
      <c r="J13" s="271"/>
    </row>
    <row r="14" spans="1:12">
      <c r="A14" s="67">
        <v>45377</v>
      </c>
      <c r="B14" s="3" t="s">
        <v>646</v>
      </c>
      <c r="C14" s="3">
        <v>46.3</v>
      </c>
      <c r="D14" s="113" t="s">
        <v>647</v>
      </c>
      <c r="E14" s="24">
        <v>45365</v>
      </c>
      <c r="F14" t="s">
        <v>325</v>
      </c>
      <c r="G14" s="189">
        <v>150</v>
      </c>
      <c r="H14" s="581"/>
      <c r="I14" s="270">
        <v>25</v>
      </c>
      <c r="J14" s="271"/>
    </row>
    <row r="15" spans="1:12">
      <c r="C15" s="7">
        <f>SUM(C11:C14)</f>
        <v>1187.8799999999999</v>
      </c>
      <c r="E15" s="24">
        <v>45376</v>
      </c>
      <c r="F15" t="s">
        <v>325</v>
      </c>
      <c r="G15" s="189">
        <v>300</v>
      </c>
      <c r="H15" s="581"/>
      <c r="I15" s="270">
        <v>50</v>
      </c>
      <c r="J15" s="271"/>
    </row>
    <row r="16" spans="1:12">
      <c r="A16" s="67">
        <v>45383</v>
      </c>
      <c r="B16" s="3" t="s">
        <v>55</v>
      </c>
      <c r="C16" s="3">
        <v>2750</v>
      </c>
      <c r="D16" s="113" t="s">
        <v>682</v>
      </c>
      <c r="E16" s="24"/>
      <c r="F16" t="s">
        <v>450</v>
      </c>
      <c r="G16" s="189">
        <v>300</v>
      </c>
      <c r="H16" s="581"/>
      <c r="I16" s="270">
        <v>50</v>
      </c>
      <c r="J16" s="271"/>
    </row>
    <row r="17" spans="1:10">
      <c r="A17" s="67">
        <v>45383</v>
      </c>
      <c r="B17" s="3" t="s">
        <v>683</v>
      </c>
      <c r="C17" s="3">
        <v>500</v>
      </c>
      <c r="D17" s="113" t="s">
        <v>682</v>
      </c>
      <c r="E17" s="24"/>
      <c r="F17" t="s">
        <v>640</v>
      </c>
      <c r="G17" s="189">
        <v>300</v>
      </c>
      <c r="H17" s="581"/>
      <c r="I17" s="270">
        <v>50</v>
      </c>
      <c r="J17" s="270"/>
    </row>
    <row r="18" spans="1:10">
      <c r="A18" s="67">
        <v>45383</v>
      </c>
      <c r="B18" s="62" t="s">
        <v>429</v>
      </c>
      <c r="C18" s="175">
        <v>1500</v>
      </c>
      <c r="D18" s="113" t="s">
        <v>685</v>
      </c>
      <c r="E18" s="24">
        <v>45378</v>
      </c>
      <c r="F18" t="s">
        <v>325</v>
      </c>
      <c r="G18" s="189">
        <v>300</v>
      </c>
      <c r="H18" s="581"/>
      <c r="I18" s="270">
        <v>50</v>
      </c>
      <c r="J18" s="270">
        <v>1500</v>
      </c>
    </row>
    <row r="19" spans="1:10">
      <c r="B19" s="416" t="s">
        <v>59</v>
      </c>
      <c r="C19" s="7">
        <f>SUM(C15:C18)</f>
        <v>5937.88</v>
      </c>
      <c r="D19" s="436" t="s">
        <v>585</v>
      </c>
      <c r="F19" t="s">
        <v>450</v>
      </c>
      <c r="G19" s="189">
        <v>300</v>
      </c>
      <c r="H19" s="581"/>
      <c r="I19" s="270">
        <v>50</v>
      </c>
      <c r="J19" s="271"/>
    </row>
    <row r="20" spans="1:10">
      <c r="F20" t="s">
        <v>325</v>
      </c>
      <c r="G20" s="189">
        <v>100</v>
      </c>
      <c r="H20" s="581"/>
      <c r="I20" s="270"/>
      <c r="J20" s="271"/>
    </row>
    <row r="21" spans="1:10">
      <c r="F21" t="s">
        <v>450</v>
      </c>
      <c r="G21" s="189">
        <v>100</v>
      </c>
      <c r="H21" s="581"/>
      <c r="I21" s="270"/>
      <c r="J21" s="271"/>
    </row>
    <row r="22" spans="1:10">
      <c r="E22" s="415"/>
      <c r="F22" s="31"/>
      <c r="G22" s="256">
        <f>SUM(G11:G21)</f>
        <v>2750</v>
      </c>
      <c r="H22" s="581"/>
      <c r="I22" s="273">
        <f>SUM(I11:I21)</f>
        <v>425</v>
      </c>
      <c r="J22" s="418">
        <v>425</v>
      </c>
    </row>
    <row r="23" spans="1:10">
      <c r="E23" s="101"/>
      <c r="F23" s="43"/>
      <c r="G23" s="190"/>
      <c r="H23" s="581"/>
      <c r="I23" s="579"/>
      <c r="J23" s="270"/>
    </row>
    <row r="24" spans="1:10">
      <c r="E24" s="24">
        <v>45355</v>
      </c>
      <c r="F24" t="s">
        <v>605</v>
      </c>
      <c r="G24" s="189">
        <v>250</v>
      </c>
      <c r="H24" s="581"/>
      <c r="I24" s="270"/>
      <c r="J24" s="271"/>
    </row>
    <row r="25" spans="1:10">
      <c r="E25" s="24">
        <v>45364</v>
      </c>
      <c r="F25" t="s">
        <v>605</v>
      </c>
      <c r="G25" s="189">
        <v>250</v>
      </c>
      <c r="H25" s="581"/>
      <c r="I25" s="270"/>
      <c r="J25" s="271"/>
    </row>
    <row r="26" spans="1:10">
      <c r="A26" s="70"/>
      <c r="B26" s="32"/>
      <c r="C26" s="32"/>
      <c r="D26" s="375"/>
      <c r="E26" s="31"/>
      <c r="F26" s="417" t="s">
        <v>684</v>
      </c>
      <c r="G26" s="256">
        <f>SUM(G24:G25)</f>
        <v>500</v>
      </c>
      <c r="H26" s="581"/>
      <c r="I26" s="418"/>
      <c r="J26" s="272">
        <f>SUM(J17:J25)</f>
        <v>1925</v>
      </c>
    </row>
    <row r="27" spans="1:10">
      <c r="A27" s="116" t="s">
        <v>52</v>
      </c>
      <c r="B27" s="1007" t="s">
        <v>233</v>
      </c>
      <c r="C27" s="1008" t="s">
        <v>402</v>
      </c>
      <c r="D27" s="1009" t="s">
        <v>138</v>
      </c>
      <c r="E27" s="1105" t="s">
        <v>427</v>
      </c>
      <c r="F27" s="1106"/>
      <c r="G27" s="1107"/>
      <c r="H27" s="581"/>
      <c r="I27" s="116" t="s">
        <v>470</v>
      </c>
      <c r="J27" s="116" t="s">
        <v>464</v>
      </c>
    </row>
    <row r="28" spans="1:10">
      <c r="A28" s="67">
        <v>45387</v>
      </c>
      <c r="B28" s="3" t="s">
        <v>602</v>
      </c>
      <c r="C28" s="3">
        <v>150</v>
      </c>
      <c r="D28" s="113" t="s">
        <v>696</v>
      </c>
      <c r="E28" s="24">
        <v>45390</v>
      </c>
      <c r="F28" t="s">
        <v>325</v>
      </c>
      <c r="G28" s="189">
        <v>300</v>
      </c>
      <c r="H28" s="581"/>
      <c r="I28" s="270">
        <v>50</v>
      </c>
      <c r="J28" s="317"/>
    </row>
    <row r="29" spans="1:10">
      <c r="A29" s="67">
        <v>45398</v>
      </c>
      <c r="B29" s="3" t="s">
        <v>602</v>
      </c>
      <c r="C29" s="3">
        <v>475</v>
      </c>
      <c r="D29" s="113" t="s">
        <v>779</v>
      </c>
      <c r="E29" s="24">
        <v>45397</v>
      </c>
      <c r="F29" t="s">
        <v>325</v>
      </c>
      <c r="G29" s="189">
        <v>300</v>
      </c>
      <c r="H29" s="581"/>
      <c r="I29" s="270">
        <v>50</v>
      </c>
      <c r="J29" s="271"/>
    </row>
    <row r="30" spans="1:10">
      <c r="A30" s="67">
        <v>45399</v>
      </c>
      <c r="B30" s="3" t="s">
        <v>239</v>
      </c>
      <c r="C30" s="3">
        <v>165</v>
      </c>
      <c r="D30" s="113" t="s">
        <v>742</v>
      </c>
      <c r="E30" s="24">
        <v>45404</v>
      </c>
      <c r="F30" t="s">
        <v>325</v>
      </c>
      <c r="G30" s="189">
        <v>300</v>
      </c>
      <c r="H30" s="581"/>
      <c r="I30" s="270">
        <v>50</v>
      </c>
      <c r="J30" s="271"/>
    </row>
    <row r="31" spans="1:10">
      <c r="B31" s="419" t="s">
        <v>771</v>
      </c>
      <c r="C31" s="7">
        <f>SUM(C28:C30)</f>
        <v>790</v>
      </c>
      <c r="E31" s="24">
        <v>45411</v>
      </c>
      <c r="F31" t="s">
        <v>325</v>
      </c>
      <c r="G31" s="189">
        <v>300</v>
      </c>
      <c r="H31" s="581"/>
      <c r="I31" s="270">
        <v>50</v>
      </c>
      <c r="J31" s="271"/>
    </row>
    <row r="32" spans="1:10">
      <c r="B32" s="419"/>
      <c r="C32" s="7"/>
      <c r="E32" s="415"/>
      <c r="F32" s="9" t="s">
        <v>771</v>
      </c>
      <c r="G32" s="256">
        <f>SUM(G28:G31)</f>
        <v>1200</v>
      </c>
      <c r="H32" s="581"/>
      <c r="I32" s="273">
        <f>SUM(I28:I31)</f>
        <v>200</v>
      </c>
      <c r="J32" s="418">
        <v>200</v>
      </c>
    </row>
    <row r="33" spans="1:10">
      <c r="A33" s="67">
        <v>45406</v>
      </c>
      <c r="B33" s="3" t="s">
        <v>753</v>
      </c>
      <c r="C33" s="3">
        <v>500</v>
      </c>
      <c r="D33" s="113" t="s">
        <v>772</v>
      </c>
      <c r="E33" s="24">
        <v>45392</v>
      </c>
      <c r="F33" t="s">
        <v>605</v>
      </c>
      <c r="G33" s="189">
        <v>250</v>
      </c>
      <c r="H33" s="581"/>
      <c r="I33" s="270"/>
      <c r="J33" s="270">
        <v>500</v>
      </c>
    </row>
    <row r="34" spans="1:10">
      <c r="A34" s="67">
        <v>45413</v>
      </c>
      <c r="B34" s="3" t="s">
        <v>777</v>
      </c>
      <c r="C34" s="3">
        <v>1200</v>
      </c>
      <c r="D34" s="113" t="s">
        <v>682</v>
      </c>
      <c r="E34" s="24">
        <v>45397</v>
      </c>
      <c r="F34" t="s">
        <v>605</v>
      </c>
      <c r="G34" s="189">
        <v>250</v>
      </c>
      <c r="H34" s="581"/>
      <c r="I34" s="270"/>
      <c r="J34" s="270"/>
    </row>
    <row r="35" spans="1:10">
      <c r="A35" s="67">
        <v>45413</v>
      </c>
      <c r="B35" s="3" t="s">
        <v>778</v>
      </c>
      <c r="C35" s="3">
        <v>1000</v>
      </c>
      <c r="D35" s="113" t="s">
        <v>682</v>
      </c>
      <c r="E35" s="24">
        <v>45399</v>
      </c>
      <c r="F35" t="s">
        <v>605</v>
      </c>
      <c r="G35" s="189">
        <v>250</v>
      </c>
      <c r="H35" s="581"/>
      <c r="I35" s="270"/>
      <c r="J35" s="270"/>
    </row>
    <row r="36" spans="1:10">
      <c r="A36" s="67">
        <v>45413</v>
      </c>
      <c r="B36" s="62" t="s">
        <v>429</v>
      </c>
      <c r="C36" s="175">
        <v>2000</v>
      </c>
      <c r="D36" s="113" t="s">
        <v>773</v>
      </c>
      <c r="E36" s="24">
        <v>45411</v>
      </c>
      <c r="F36" t="s">
        <v>605</v>
      </c>
      <c r="G36" s="189">
        <v>250</v>
      </c>
      <c r="H36" s="581"/>
      <c r="I36" s="270"/>
      <c r="J36" s="270">
        <v>2000</v>
      </c>
    </row>
    <row r="37" spans="1:10">
      <c r="A37" s="577">
        <v>45413</v>
      </c>
      <c r="B37" s="110" t="s">
        <v>59</v>
      </c>
      <c r="C37" s="11">
        <f>SUM(C31:C36)</f>
        <v>5490</v>
      </c>
      <c r="D37" s="326" t="s">
        <v>585</v>
      </c>
      <c r="E37" s="31"/>
      <c r="F37" s="417" t="s">
        <v>751</v>
      </c>
      <c r="G37" s="256">
        <f>SUM(G33:G36)</f>
        <v>1000</v>
      </c>
      <c r="H37" s="581"/>
      <c r="I37" s="418"/>
      <c r="J37" s="272">
        <f>SUM(J28:J36)</f>
        <v>2700</v>
      </c>
    </row>
    <row r="38" spans="1:10">
      <c r="A38" s="116" t="s">
        <v>52</v>
      </c>
      <c r="B38" s="1007" t="s">
        <v>233</v>
      </c>
      <c r="C38" s="1008" t="s">
        <v>402</v>
      </c>
      <c r="D38" s="1009" t="s">
        <v>138</v>
      </c>
      <c r="E38" s="1105" t="s">
        <v>427</v>
      </c>
      <c r="F38" s="1106"/>
      <c r="G38" s="1107"/>
      <c r="H38" s="581"/>
      <c r="I38" s="116" t="s">
        <v>470</v>
      </c>
      <c r="J38" s="116" t="s">
        <v>464</v>
      </c>
    </row>
    <row r="39" spans="1:10">
      <c r="A39" s="67">
        <v>45415</v>
      </c>
      <c r="B39" s="3" t="s">
        <v>254</v>
      </c>
      <c r="C39" s="3">
        <v>591.91</v>
      </c>
      <c r="D39" s="113" t="s">
        <v>784</v>
      </c>
      <c r="E39" s="24">
        <v>45414</v>
      </c>
      <c r="F39" t="s">
        <v>325</v>
      </c>
      <c r="G39" s="189">
        <v>300</v>
      </c>
      <c r="H39" s="581"/>
      <c r="I39" s="270">
        <v>50</v>
      </c>
      <c r="J39" s="317"/>
    </row>
    <row r="40" spans="1:10">
      <c r="A40" s="67">
        <v>45415</v>
      </c>
      <c r="B40" s="3" t="s">
        <v>788</v>
      </c>
      <c r="C40" s="3">
        <v>80</v>
      </c>
      <c r="D40" s="113" t="s">
        <v>789</v>
      </c>
      <c r="E40" s="24">
        <v>45420</v>
      </c>
      <c r="F40" t="s">
        <v>325</v>
      </c>
      <c r="G40" s="189">
        <v>300</v>
      </c>
      <c r="H40" s="581"/>
      <c r="I40" s="270">
        <v>50</v>
      </c>
      <c r="J40" s="271"/>
    </row>
    <row r="41" spans="1:10">
      <c r="A41" s="67">
        <v>45432</v>
      </c>
      <c r="B41" s="3" t="s">
        <v>642</v>
      </c>
      <c r="C41" s="3">
        <f>189.99+156.99</f>
        <v>346.98</v>
      </c>
      <c r="D41" s="113" t="s">
        <v>828</v>
      </c>
      <c r="E41" s="24">
        <v>45425</v>
      </c>
      <c r="F41" t="s">
        <v>325</v>
      </c>
      <c r="G41" s="189">
        <v>300</v>
      </c>
      <c r="H41" s="581"/>
      <c r="I41" s="270">
        <v>50</v>
      </c>
      <c r="J41" s="271"/>
    </row>
    <row r="42" spans="1:10">
      <c r="A42" s="67">
        <v>45439</v>
      </c>
      <c r="B42" s="3" t="s">
        <v>852</v>
      </c>
      <c r="C42" s="3">
        <v>166</v>
      </c>
      <c r="D42" s="113" t="s">
        <v>854</v>
      </c>
      <c r="E42" s="24">
        <v>45432</v>
      </c>
      <c r="F42" t="s">
        <v>325</v>
      </c>
      <c r="G42" s="189">
        <v>300</v>
      </c>
      <c r="H42" s="581"/>
      <c r="I42" s="270">
        <v>50</v>
      </c>
      <c r="J42" s="271"/>
    </row>
    <row r="43" spans="1:10">
      <c r="B43" s="3" t="s">
        <v>777</v>
      </c>
      <c r="C43" s="3">
        <v>1500</v>
      </c>
      <c r="D43" s="113" t="s">
        <v>682</v>
      </c>
      <c r="E43" s="24">
        <v>45439</v>
      </c>
      <c r="F43" t="s">
        <v>450</v>
      </c>
      <c r="G43" s="189">
        <v>300</v>
      </c>
      <c r="H43" s="581"/>
      <c r="I43" s="270">
        <v>50</v>
      </c>
      <c r="J43" s="271"/>
    </row>
    <row r="44" spans="1:10">
      <c r="B44" s="3" t="s">
        <v>778</v>
      </c>
      <c r="C44" s="3">
        <v>500</v>
      </c>
      <c r="D44" s="113" t="s">
        <v>682</v>
      </c>
      <c r="E44" s="415"/>
      <c r="F44" s="9" t="s">
        <v>771</v>
      </c>
      <c r="G44" s="256">
        <f>SUM(G39:G43)</f>
        <v>1500</v>
      </c>
      <c r="H44" s="581"/>
      <c r="I44" s="273">
        <f>SUM(I39:I43)</f>
        <v>250</v>
      </c>
      <c r="J44" s="270">
        <v>250</v>
      </c>
    </row>
    <row r="45" spans="1:10">
      <c r="B45" s="62" t="s">
        <v>429</v>
      </c>
      <c r="C45" s="175">
        <v>2000</v>
      </c>
      <c r="D45" s="113" t="s">
        <v>862</v>
      </c>
      <c r="E45" s="24">
        <v>45425</v>
      </c>
      <c r="F45" t="s">
        <v>605</v>
      </c>
      <c r="G45" s="189">
        <v>250</v>
      </c>
      <c r="H45" s="581"/>
      <c r="I45" s="270"/>
      <c r="J45" s="271"/>
    </row>
    <row r="46" spans="1:10">
      <c r="E46" s="24">
        <v>45439</v>
      </c>
      <c r="F46" t="s">
        <v>605</v>
      </c>
      <c r="G46" s="189">
        <v>250</v>
      </c>
      <c r="H46" s="581"/>
      <c r="I46" s="270"/>
      <c r="J46" s="270">
        <v>2000</v>
      </c>
    </row>
    <row r="47" spans="1:10">
      <c r="A47" s="577">
        <v>45444</v>
      </c>
      <c r="B47" s="110" t="s">
        <v>59</v>
      </c>
      <c r="C47" s="11">
        <f>SUM(C39:C46)</f>
        <v>5184.8899999999994</v>
      </c>
      <c r="D47" s="326" t="s">
        <v>585</v>
      </c>
      <c r="E47" s="31"/>
      <c r="F47" s="417" t="s">
        <v>861</v>
      </c>
      <c r="G47" s="256">
        <f>SUM(G45:G46)</f>
        <v>500</v>
      </c>
      <c r="H47" s="581"/>
      <c r="I47" s="418"/>
      <c r="J47" s="272">
        <f>SUM(J44:J46)</f>
        <v>2250</v>
      </c>
    </row>
    <row r="48" spans="1:10">
      <c r="A48" s="116" t="s">
        <v>52</v>
      </c>
      <c r="B48" s="1007" t="s">
        <v>233</v>
      </c>
      <c r="C48" s="1008" t="s">
        <v>402</v>
      </c>
      <c r="D48" s="1009" t="s">
        <v>138</v>
      </c>
      <c r="E48" s="1105" t="s">
        <v>427</v>
      </c>
      <c r="F48" s="1106"/>
      <c r="G48" s="1107"/>
      <c r="H48" s="581"/>
      <c r="I48" s="116" t="s">
        <v>470</v>
      </c>
      <c r="J48" s="116" t="s">
        <v>464</v>
      </c>
    </row>
    <row r="49" spans="1:10">
      <c r="A49" s="67">
        <v>45453</v>
      </c>
      <c r="B49" s="47" t="s">
        <v>623</v>
      </c>
      <c r="C49" s="47">
        <v>69.16</v>
      </c>
      <c r="D49" s="113" t="s">
        <v>879</v>
      </c>
      <c r="E49" s="101">
        <v>45446</v>
      </c>
      <c r="F49" s="43" t="s">
        <v>450</v>
      </c>
      <c r="G49" s="189">
        <v>300</v>
      </c>
      <c r="H49" s="581"/>
      <c r="I49" s="270">
        <v>50</v>
      </c>
      <c r="J49" s="317"/>
    </row>
    <row r="50" spans="1:10">
      <c r="A50" s="67">
        <v>45453</v>
      </c>
      <c r="B50" s="47" t="s">
        <v>880</v>
      </c>
      <c r="C50" s="47">
        <v>399.95</v>
      </c>
      <c r="D50" s="113" t="s">
        <v>881</v>
      </c>
      <c r="E50" s="101">
        <v>45453</v>
      </c>
      <c r="F50" s="43" t="s">
        <v>325</v>
      </c>
      <c r="G50" s="189">
        <v>300</v>
      </c>
      <c r="H50" s="581"/>
      <c r="I50" s="270">
        <v>50</v>
      </c>
      <c r="J50" s="271"/>
    </row>
    <row r="51" spans="1:10">
      <c r="A51" s="67">
        <v>45453</v>
      </c>
      <c r="B51" s="47" t="s">
        <v>602</v>
      </c>
      <c r="C51" s="47">
        <v>175</v>
      </c>
      <c r="D51" s="113" t="s">
        <v>882</v>
      </c>
      <c r="E51" s="101">
        <v>45461</v>
      </c>
      <c r="F51" s="43" t="s">
        <v>325</v>
      </c>
      <c r="G51" s="189">
        <v>300</v>
      </c>
      <c r="H51" s="581"/>
      <c r="I51" s="270">
        <v>50</v>
      </c>
      <c r="J51" s="271"/>
    </row>
    <row r="52" spans="1:10">
      <c r="A52" s="67">
        <v>45461</v>
      </c>
      <c r="B52" s="47" t="s">
        <v>602</v>
      </c>
      <c r="C52" s="47">
        <v>55</v>
      </c>
      <c r="D52" s="113" t="s">
        <v>897</v>
      </c>
      <c r="E52" s="101">
        <v>45467</v>
      </c>
      <c r="F52" s="43" t="s">
        <v>325</v>
      </c>
      <c r="G52" s="189">
        <v>300</v>
      </c>
      <c r="H52" s="581"/>
      <c r="I52" s="270">
        <v>50</v>
      </c>
      <c r="J52" s="271"/>
    </row>
    <row r="53" spans="1:10">
      <c r="A53" s="67">
        <v>45469</v>
      </c>
      <c r="B53" s="47" t="s">
        <v>1003</v>
      </c>
      <c r="C53" s="47">
        <v>368.58</v>
      </c>
      <c r="D53" s="113" t="s">
        <v>1004</v>
      </c>
      <c r="E53" s="101">
        <v>45470</v>
      </c>
      <c r="F53" s="43" t="s">
        <v>450</v>
      </c>
      <c r="G53" s="189">
        <v>300</v>
      </c>
      <c r="H53" s="581"/>
      <c r="I53" s="270">
        <v>50</v>
      </c>
      <c r="J53" s="271"/>
    </row>
    <row r="54" spans="1:10">
      <c r="A54" s="67">
        <v>45470</v>
      </c>
      <c r="B54" s="47" t="s">
        <v>623</v>
      </c>
      <c r="C54" s="47">
        <v>21.99</v>
      </c>
      <c r="D54" s="113" t="s">
        <v>997</v>
      </c>
      <c r="E54" s="101">
        <v>45470</v>
      </c>
      <c r="F54" s="43" t="s">
        <v>325</v>
      </c>
      <c r="G54" s="189">
        <v>300</v>
      </c>
      <c r="H54" s="581"/>
      <c r="I54" s="270">
        <v>50</v>
      </c>
      <c r="J54" s="271"/>
    </row>
    <row r="55" spans="1:10">
      <c r="A55" s="67">
        <v>45470</v>
      </c>
      <c r="B55" s="47" t="s">
        <v>998</v>
      </c>
      <c r="C55" s="47">
        <v>154.99</v>
      </c>
      <c r="D55" s="113" t="s">
        <v>999</v>
      </c>
      <c r="E55" s="415"/>
      <c r="F55" s="9" t="s">
        <v>771</v>
      </c>
      <c r="G55" s="256">
        <f>SUM(G49:G54)</f>
        <v>1800</v>
      </c>
      <c r="H55" s="581"/>
      <c r="I55" s="273">
        <f>SUM(I49:I54)</f>
        <v>300</v>
      </c>
      <c r="J55" s="270">
        <v>300</v>
      </c>
    </row>
    <row r="56" spans="1:10">
      <c r="A56" s="67">
        <v>45470</v>
      </c>
      <c r="B56" s="47" t="s">
        <v>254</v>
      </c>
      <c r="C56" s="47">
        <v>442</v>
      </c>
      <c r="D56" s="113" t="s">
        <v>1002</v>
      </c>
      <c r="E56" s="1105" t="s">
        <v>683</v>
      </c>
      <c r="F56" s="1106"/>
      <c r="G56" s="1107"/>
      <c r="H56" s="581"/>
      <c r="I56" s="270"/>
      <c r="J56" s="271"/>
    </row>
    <row r="57" spans="1:10">
      <c r="A57" s="67">
        <v>45471</v>
      </c>
      <c r="B57" s="47" t="s">
        <v>642</v>
      </c>
      <c r="C57" s="47">
        <v>18.989999999999998</v>
      </c>
      <c r="D57" s="113" t="s">
        <v>997</v>
      </c>
      <c r="E57" s="101">
        <v>45453</v>
      </c>
      <c r="F57" s="43" t="s">
        <v>605</v>
      </c>
      <c r="G57" s="189">
        <v>250</v>
      </c>
      <c r="H57" s="581"/>
      <c r="I57" s="270"/>
      <c r="J57" s="271"/>
    </row>
    <row r="58" spans="1:10">
      <c r="B58" s="1047" t="s">
        <v>777</v>
      </c>
      <c r="C58" s="47">
        <v>1800</v>
      </c>
      <c r="D58" s="113" t="s">
        <v>682</v>
      </c>
      <c r="E58" s="101">
        <v>45467</v>
      </c>
      <c r="F58" s="43" t="s">
        <v>605</v>
      </c>
      <c r="G58" s="189">
        <v>250</v>
      </c>
      <c r="H58" s="581"/>
      <c r="I58" s="270"/>
      <c r="J58" s="271"/>
    </row>
    <row r="59" spans="1:10">
      <c r="B59" s="1047" t="s">
        <v>778</v>
      </c>
      <c r="C59" s="47">
        <v>500</v>
      </c>
      <c r="D59" s="113" t="s">
        <v>682</v>
      </c>
      <c r="E59" s="43"/>
      <c r="F59" s="741" t="s">
        <v>985</v>
      </c>
      <c r="G59" s="190">
        <f>SUM(G57:G58)</f>
        <v>500</v>
      </c>
      <c r="H59" s="581"/>
      <c r="I59" s="270"/>
      <c r="J59" s="271"/>
    </row>
    <row r="60" spans="1:10">
      <c r="B60" s="1048" t="s">
        <v>429</v>
      </c>
      <c r="C60" s="175">
        <v>2000</v>
      </c>
      <c r="D60" s="113" t="s">
        <v>1014</v>
      </c>
      <c r="E60" s="43"/>
      <c r="F60" s="43"/>
      <c r="H60" s="581"/>
      <c r="I60" s="270"/>
      <c r="J60" s="270">
        <v>2000</v>
      </c>
    </row>
    <row r="61" spans="1:10">
      <c r="A61" s="577">
        <v>45474</v>
      </c>
      <c r="B61" s="110" t="s">
        <v>59</v>
      </c>
      <c r="C61" s="11">
        <f>SUM(C49:C60)</f>
        <v>6005.66</v>
      </c>
      <c r="D61" s="326" t="s">
        <v>589</v>
      </c>
      <c r="E61" s="415"/>
      <c r="F61" s="31"/>
      <c r="G61" s="261"/>
      <c r="H61" s="581"/>
      <c r="I61" s="418"/>
      <c r="J61" s="272">
        <f>SUM(J55:J60)</f>
        <v>2300</v>
      </c>
    </row>
    <row r="62" spans="1:10">
      <c r="A62" s="116" t="s">
        <v>52</v>
      </c>
      <c r="B62" s="1007" t="s">
        <v>233</v>
      </c>
      <c r="C62" s="1008" t="s">
        <v>402</v>
      </c>
      <c r="D62" s="1009" t="s">
        <v>138</v>
      </c>
      <c r="E62" s="1105" t="s">
        <v>427</v>
      </c>
      <c r="F62" s="1106"/>
      <c r="G62" s="1107"/>
      <c r="H62" s="581"/>
      <c r="I62" s="116" t="s">
        <v>470</v>
      </c>
      <c r="J62" s="116" t="s">
        <v>464</v>
      </c>
    </row>
    <row r="63" spans="1:10">
      <c r="A63" s="1056"/>
      <c r="B63" s="1057"/>
      <c r="C63" s="1057"/>
      <c r="D63" s="1058"/>
      <c r="E63" s="1059">
        <v>45474</v>
      </c>
      <c r="F63" s="319" t="s">
        <v>325</v>
      </c>
      <c r="G63" s="255">
        <v>300</v>
      </c>
      <c r="H63" s="581"/>
      <c r="I63" s="270">
        <v>50</v>
      </c>
      <c r="J63" s="317"/>
    </row>
    <row r="64" spans="1:10">
      <c r="A64" s="1050"/>
      <c r="B64" s="1051"/>
      <c r="C64" s="1051"/>
      <c r="D64" s="1052"/>
      <c r="E64" s="101">
        <v>45475</v>
      </c>
      <c r="F64" s="43" t="s">
        <v>325</v>
      </c>
      <c r="G64" s="189">
        <v>300</v>
      </c>
      <c r="H64" s="581"/>
      <c r="I64" s="270">
        <v>50</v>
      </c>
      <c r="J64" s="271"/>
    </row>
    <row r="65" spans="1:10">
      <c r="A65" s="67">
        <v>45497</v>
      </c>
      <c r="B65" s="47" t="s">
        <v>254</v>
      </c>
      <c r="C65" s="47">
        <v>41.98</v>
      </c>
      <c r="D65" s="113" t="s">
        <v>879</v>
      </c>
      <c r="E65" s="101">
        <v>45481</v>
      </c>
      <c r="F65" s="43" t="s">
        <v>325</v>
      </c>
      <c r="G65" s="189">
        <v>300</v>
      </c>
      <c r="H65" s="581"/>
      <c r="I65" s="270">
        <v>50</v>
      </c>
      <c r="J65" s="271"/>
    </row>
    <row r="66" spans="1:10">
      <c r="A66" s="67">
        <v>45502</v>
      </c>
      <c r="B66" s="47" t="s">
        <v>1251</v>
      </c>
      <c r="C66" s="47">
        <v>975.48</v>
      </c>
      <c r="D66" s="113" t="s">
        <v>1252</v>
      </c>
      <c r="E66" s="101">
        <v>45488</v>
      </c>
      <c r="F66" s="43" t="s">
        <v>325</v>
      </c>
      <c r="G66" s="189">
        <v>300</v>
      </c>
      <c r="H66" s="581"/>
      <c r="I66" s="270">
        <v>50</v>
      </c>
      <c r="J66" s="271"/>
    </row>
    <row r="67" spans="1:10">
      <c r="A67" s="70">
        <v>45504</v>
      </c>
      <c r="B67" s="32" t="s">
        <v>1068</v>
      </c>
      <c r="C67" s="32">
        <v>240</v>
      </c>
      <c r="D67" s="375" t="s">
        <v>1250</v>
      </c>
      <c r="E67" s="101">
        <v>45495</v>
      </c>
      <c r="F67" s="43" t="s">
        <v>325</v>
      </c>
      <c r="G67" s="189">
        <v>300</v>
      </c>
      <c r="H67" s="581"/>
      <c r="I67" s="270">
        <v>50</v>
      </c>
      <c r="J67" s="271"/>
    </row>
    <row r="68" spans="1:10">
      <c r="B68" s="1047" t="s">
        <v>777</v>
      </c>
      <c r="C68" s="47">
        <v>2400</v>
      </c>
      <c r="D68" s="113" t="s">
        <v>682</v>
      </c>
      <c r="E68" s="101">
        <v>45497</v>
      </c>
      <c r="F68" s="43" t="s">
        <v>325</v>
      </c>
      <c r="G68" s="189">
        <v>300</v>
      </c>
      <c r="H68" s="581"/>
      <c r="I68" s="270">
        <v>50</v>
      </c>
      <c r="J68" s="271"/>
    </row>
    <row r="69" spans="1:10">
      <c r="B69" s="1047" t="s">
        <v>778</v>
      </c>
      <c r="C69" s="47">
        <v>1000</v>
      </c>
      <c r="D69" s="113" t="s">
        <v>682</v>
      </c>
      <c r="E69" s="101">
        <v>45502</v>
      </c>
      <c r="F69" s="43" t="s">
        <v>450</v>
      </c>
      <c r="G69" s="189">
        <v>300</v>
      </c>
      <c r="H69" s="581"/>
      <c r="I69" s="270">
        <v>50</v>
      </c>
      <c r="J69" s="271"/>
    </row>
    <row r="70" spans="1:10">
      <c r="B70" s="1048" t="s">
        <v>429</v>
      </c>
      <c r="C70" s="175">
        <v>2000</v>
      </c>
      <c r="D70" s="113" t="s">
        <v>1266</v>
      </c>
      <c r="E70" s="101">
        <v>45503</v>
      </c>
      <c r="F70" s="43" t="s">
        <v>450</v>
      </c>
      <c r="G70" s="189">
        <v>300</v>
      </c>
      <c r="H70" s="581"/>
      <c r="I70" s="270">
        <v>50</v>
      </c>
      <c r="J70" s="270">
        <v>2000</v>
      </c>
    </row>
    <row r="71" spans="1:10">
      <c r="A71" s="70"/>
      <c r="B71" s="11" t="s">
        <v>1269</v>
      </c>
      <c r="C71" s="11">
        <f>SUM(C65:C70)</f>
        <v>6657.46</v>
      </c>
      <c r="D71" s="375"/>
      <c r="E71" s="415"/>
      <c r="F71" s="9" t="s">
        <v>771</v>
      </c>
      <c r="G71" s="256">
        <f>SUM(G63:G70)</f>
        <v>2400</v>
      </c>
      <c r="H71" s="581"/>
      <c r="I71" s="1071">
        <f>SUM(I63:I70)</f>
        <v>400</v>
      </c>
      <c r="J71" s="270">
        <v>400</v>
      </c>
    </row>
    <row r="72" spans="1:10">
      <c r="A72" s="67">
        <v>45474</v>
      </c>
      <c r="B72" s="1047" t="s">
        <v>1271</v>
      </c>
      <c r="C72" s="47">
        <v>1120</v>
      </c>
      <c r="D72" s="113" t="s">
        <v>993</v>
      </c>
      <c r="E72" s="1105" t="s">
        <v>683</v>
      </c>
      <c r="F72" s="1106"/>
      <c r="G72" s="1107"/>
      <c r="H72" s="581"/>
      <c r="I72" s="270"/>
      <c r="J72" s="271"/>
    </row>
    <row r="73" spans="1:10">
      <c r="A73" s="67">
        <v>45504</v>
      </c>
      <c r="B73" s="47" t="s">
        <v>1264</v>
      </c>
      <c r="C73" s="47">
        <v>3200</v>
      </c>
      <c r="D73" s="113" t="s">
        <v>1265</v>
      </c>
      <c r="E73" s="101">
        <v>45481</v>
      </c>
      <c r="F73" s="43" t="s">
        <v>605</v>
      </c>
      <c r="G73" s="189">
        <v>250</v>
      </c>
      <c r="H73" s="581"/>
      <c r="I73" s="270"/>
      <c r="J73" s="271"/>
    </row>
    <row r="74" spans="1:10">
      <c r="B74" s="1054" t="s">
        <v>771</v>
      </c>
      <c r="C74" s="169">
        <f>SUM(C72:C73)</f>
        <v>4320</v>
      </c>
      <c r="E74" s="101">
        <v>45495</v>
      </c>
      <c r="F74" s="43" t="s">
        <v>605</v>
      </c>
      <c r="G74" s="189">
        <v>250</v>
      </c>
      <c r="H74" s="581"/>
      <c r="I74" s="270"/>
      <c r="J74" s="271"/>
    </row>
    <row r="75" spans="1:10">
      <c r="B75" s="47" t="s">
        <v>1267</v>
      </c>
      <c r="C75" s="47">
        <v>-2000</v>
      </c>
      <c r="E75" s="101">
        <v>45497</v>
      </c>
      <c r="F75" s="43" t="s">
        <v>605</v>
      </c>
      <c r="G75" s="189">
        <v>250</v>
      </c>
      <c r="H75" s="581"/>
      <c r="I75" s="270"/>
      <c r="J75" s="270"/>
    </row>
    <row r="76" spans="1:10">
      <c r="A76" s="70"/>
      <c r="B76" s="1055" t="s">
        <v>1268</v>
      </c>
      <c r="C76" s="11">
        <f>SUM(C74:C75)</f>
        <v>2320</v>
      </c>
      <c r="D76" s="375"/>
      <c r="E76" s="101">
        <v>45504</v>
      </c>
      <c r="F76" s="43" t="s">
        <v>605</v>
      </c>
      <c r="G76" s="189">
        <v>250</v>
      </c>
      <c r="H76" s="581"/>
      <c r="I76" s="270"/>
      <c r="J76" s="271"/>
    </row>
    <row r="77" spans="1:10">
      <c r="A77" s="577">
        <v>45505</v>
      </c>
      <c r="B77" s="1049" t="s">
        <v>1270</v>
      </c>
      <c r="C77" s="11">
        <f>+C76+C71</f>
        <v>8977.4599999999991</v>
      </c>
      <c r="D77" s="326" t="s">
        <v>585</v>
      </c>
      <c r="E77" s="415"/>
      <c r="F77" s="417" t="s">
        <v>1204</v>
      </c>
      <c r="G77" s="256">
        <f>SUM(G73:G76)</f>
        <v>1000</v>
      </c>
      <c r="H77" s="581"/>
      <c r="I77" s="270"/>
      <c r="J77" s="272">
        <f>SUM(J63:J76)</f>
        <v>2400</v>
      </c>
    </row>
    <row r="78" spans="1:10">
      <c r="A78" s="116" t="s">
        <v>52</v>
      </c>
      <c r="B78" s="1007" t="s">
        <v>233</v>
      </c>
      <c r="C78" s="1008" t="s">
        <v>402</v>
      </c>
      <c r="D78" s="1009" t="s">
        <v>138</v>
      </c>
      <c r="E78" s="1105" t="s">
        <v>427</v>
      </c>
      <c r="F78" s="1106"/>
      <c r="G78" s="1107"/>
      <c r="H78" s="581"/>
      <c r="I78" s="116" t="s">
        <v>470</v>
      </c>
      <c r="J78" s="116" t="s">
        <v>464</v>
      </c>
    </row>
    <row r="79" spans="1:10">
      <c r="A79" s="67">
        <v>45509</v>
      </c>
      <c r="B79" s="3" t="s">
        <v>254</v>
      </c>
      <c r="C79" s="3">
        <v>219.98</v>
      </c>
      <c r="D79" s="113" t="s">
        <v>1296</v>
      </c>
      <c r="E79" s="24">
        <v>45509</v>
      </c>
      <c r="F79" s="53" t="s">
        <v>325</v>
      </c>
      <c r="G79" s="189">
        <v>300</v>
      </c>
      <c r="H79" s="581"/>
      <c r="I79" s="270">
        <v>50</v>
      </c>
    </row>
    <row r="80" spans="1:10">
      <c r="B80" s="3" t="s">
        <v>602</v>
      </c>
      <c r="C80" s="3">
        <v>375</v>
      </c>
      <c r="D80" s="113" t="s">
        <v>1297</v>
      </c>
      <c r="E80" s="24">
        <v>45511</v>
      </c>
      <c r="F80" s="53" t="s">
        <v>325</v>
      </c>
      <c r="G80" s="189">
        <v>300</v>
      </c>
      <c r="H80" s="581"/>
      <c r="I80" s="270">
        <v>50</v>
      </c>
    </row>
    <row r="81" spans="1:9">
      <c r="A81" s="67">
        <v>45516</v>
      </c>
      <c r="B81" s="3" t="s">
        <v>602</v>
      </c>
      <c r="C81" s="3">
        <v>667</v>
      </c>
      <c r="D81" s="113" t="s">
        <v>1333</v>
      </c>
      <c r="E81" s="24">
        <v>45516</v>
      </c>
      <c r="F81" s="53" t="s">
        <v>325</v>
      </c>
      <c r="G81" s="189">
        <v>300</v>
      </c>
      <c r="H81" s="581"/>
      <c r="I81" s="270">
        <v>50</v>
      </c>
    </row>
    <row r="82" spans="1:9">
      <c r="A82" s="67">
        <v>45516</v>
      </c>
      <c r="B82" s="3" t="s">
        <v>1251</v>
      </c>
      <c r="C82" s="3">
        <v>378</v>
      </c>
      <c r="D82" s="113" t="s">
        <v>1252</v>
      </c>
      <c r="E82" s="206">
        <v>45517</v>
      </c>
      <c r="F82" s="53" t="s">
        <v>325</v>
      </c>
      <c r="G82" s="189">
        <v>300</v>
      </c>
      <c r="H82" s="581"/>
      <c r="I82" s="270">
        <v>50</v>
      </c>
    </row>
    <row r="83" spans="1:9">
      <c r="A83" s="67">
        <v>45517</v>
      </c>
      <c r="B83" s="3" t="s">
        <v>1344</v>
      </c>
      <c r="C83" s="3">
        <v>693</v>
      </c>
      <c r="D83" s="113" t="s">
        <v>1345</v>
      </c>
      <c r="G83" s="189"/>
      <c r="H83" s="581"/>
      <c r="I83" s="270"/>
    </row>
    <row r="84" spans="1:9">
      <c r="G84" s="189"/>
      <c r="H84" s="581"/>
      <c r="I84" s="270"/>
    </row>
    <row r="85" spans="1:9">
      <c r="G85" s="189"/>
      <c r="H85" s="581"/>
      <c r="I85" s="270"/>
    </row>
    <row r="86" spans="1:9">
      <c r="E86" s="1105" t="s">
        <v>683</v>
      </c>
      <c r="F86" s="1106"/>
      <c r="G86" s="1107"/>
      <c r="H86" s="581"/>
      <c r="I86" s="270"/>
    </row>
    <row r="87" spans="1:9">
      <c r="E87" s="101">
        <v>45516</v>
      </c>
      <c r="F87" s="43" t="s">
        <v>605</v>
      </c>
      <c r="G87" s="189">
        <v>250</v>
      </c>
      <c r="H87" s="581"/>
      <c r="I87" s="270"/>
    </row>
    <row r="88" spans="1:9">
      <c r="G88" s="189"/>
      <c r="H88" s="567"/>
      <c r="I88" s="270"/>
    </row>
    <row r="89" spans="1:9">
      <c r="G89" s="189"/>
      <c r="H89" s="567"/>
      <c r="I89" s="270"/>
    </row>
    <row r="90" spans="1:9">
      <c r="G90" s="189"/>
      <c r="H90" s="567"/>
      <c r="I90" s="270"/>
    </row>
    <row r="91" spans="1:9">
      <c r="G91" s="189"/>
      <c r="H91" s="567"/>
      <c r="I91" s="270"/>
    </row>
    <row r="92" spans="1:9">
      <c r="G92" s="189"/>
      <c r="H92" s="567"/>
      <c r="I92" s="270"/>
    </row>
    <row r="93" spans="1:9">
      <c r="G93" s="189"/>
      <c r="H93" s="567"/>
      <c r="I93" s="270"/>
    </row>
    <row r="94" spans="1:9">
      <c r="G94" s="189"/>
      <c r="H94" s="567"/>
      <c r="I94" s="270"/>
    </row>
    <row r="95" spans="1:9">
      <c r="G95" s="189"/>
      <c r="H95" s="567"/>
      <c r="I95" s="270"/>
    </row>
    <row r="96" spans="1:9">
      <c r="G96" s="189"/>
      <c r="H96" s="567"/>
      <c r="I96" s="270"/>
    </row>
    <row r="97" spans="7:9">
      <c r="G97" s="189"/>
      <c r="H97" s="567"/>
      <c r="I97" s="270"/>
    </row>
    <row r="98" spans="7:9">
      <c r="G98" s="189"/>
      <c r="H98" s="567"/>
      <c r="I98" s="270"/>
    </row>
    <row r="99" spans="7:9">
      <c r="G99" s="189"/>
      <c r="H99" s="567"/>
      <c r="I99" s="270"/>
    </row>
    <row r="100" spans="7:9">
      <c r="G100" s="189"/>
      <c r="H100" s="567"/>
      <c r="I100" s="270"/>
    </row>
    <row r="101" spans="7:9">
      <c r="G101" s="189"/>
      <c r="H101" s="567"/>
      <c r="I101" s="270"/>
    </row>
    <row r="102" spans="7:9">
      <c r="G102" s="189"/>
      <c r="H102" s="567"/>
      <c r="I102" s="270"/>
    </row>
    <row r="103" spans="7:9">
      <c r="G103" s="189"/>
      <c r="H103" s="567"/>
      <c r="I103" s="270"/>
    </row>
    <row r="104" spans="7:9">
      <c r="G104" s="189"/>
      <c r="H104" s="567"/>
      <c r="I104" s="270"/>
    </row>
    <row r="105" spans="7:9">
      <c r="G105" s="189"/>
      <c r="H105" s="567"/>
      <c r="I105" s="270"/>
    </row>
    <row r="106" spans="7:9">
      <c r="G106" s="189"/>
      <c r="H106" s="567"/>
      <c r="I106" s="270"/>
    </row>
    <row r="107" spans="7:9">
      <c r="G107" s="189"/>
      <c r="H107" s="567"/>
      <c r="I107" s="270"/>
    </row>
    <row r="108" spans="7:9">
      <c r="G108" s="189"/>
      <c r="H108" s="567"/>
      <c r="I108" s="270"/>
    </row>
    <row r="109" spans="7:9">
      <c r="G109" s="189"/>
      <c r="H109" s="567"/>
      <c r="I109" s="270"/>
    </row>
    <row r="110" spans="7:9">
      <c r="G110" s="189"/>
      <c r="H110" s="567"/>
      <c r="I110" s="270"/>
    </row>
    <row r="111" spans="7:9">
      <c r="G111" s="189"/>
      <c r="H111" s="567"/>
      <c r="I111" s="270"/>
    </row>
    <row r="112" spans="7:9">
      <c r="G112" s="189"/>
      <c r="H112" s="567"/>
      <c r="I112" s="270"/>
    </row>
    <row r="113" spans="7:9">
      <c r="G113" s="189"/>
      <c r="H113" s="567"/>
      <c r="I113" s="270"/>
    </row>
    <row r="114" spans="7:9">
      <c r="G114" s="189"/>
      <c r="H114" s="567"/>
      <c r="I114" s="270"/>
    </row>
    <row r="115" spans="7:9">
      <c r="G115" s="189"/>
      <c r="H115" s="567"/>
      <c r="I115" s="270"/>
    </row>
    <row r="116" spans="7:9">
      <c r="G116" s="189"/>
      <c r="H116" s="567"/>
      <c r="I116" s="270"/>
    </row>
    <row r="117" spans="7:9">
      <c r="G117" s="189"/>
      <c r="H117" s="567"/>
      <c r="I117" s="270"/>
    </row>
    <row r="118" spans="7:9">
      <c r="G118" s="189"/>
      <c r="H118" s="567"/>
      <c r="I118" s="270"/>
    </row>
    <row r="119" spans="7:9">
      <c r="G119" s="189"/>
      <c r="H119" s="567"/>
      <c r="I119" s="270"/>
    </row>
    <row r="120" spans="7:9">
      <c r="G120" s="189"/>
      <c r="H120" s="567"/>
      <c r="I120" s="270"/>
    </row>
    <row r="121" spans="7:9">
      <c r="G121" s="189"/>
      <c r="H121" s="567"/>
      <c r="I121" s="270"/>
    </row>
    <row r="122" spans="7:9">
      <c r="G122" s="189"/>
      <c r="H122" s="567"/>
      <c r="I122" s="270"/>
    </row>
    <row r="123" spans="7:9">
      <c r="G123" s="189"/>
      <c r="H123" s="567"/>
      <c r="I123" s="270"/>
    </row>
    <row r="124" spans="7:9">
      <c r="G124" s="189"/>
      <c r="H124" s="567"/>
      <c r="I124" s="270"/>
    </row>
    <row r="125" spans="7:9">
      <c r="G125" s="189"/>
      <c r="H125" s="567"/>
      <c r="I125" s="270"/>
    </row>
    <row r="126" spans="7:9">
      <c r="G126" s="189"/>
      <c r="H126" s="567"/>
      <c r="I126" s="270"/>
    </row>
    <row r="127" spans="7:9">
      <c r="G127" s="189"/>
      <c r="H127" s="567"/>
      <c r="I127" s="270"/>
    </row>
    <row r="128" spans="7:9">
      <c r="G128" s="189"/>
      <c r="H128" s="567"/>
      <c r="I128" s="270"/>
    </row>
    <row r="129" spans="7:9">
      <c r="G129" s="189"/>
      <c r="H129" s="567"/>
      <c r="I129" s="270"/>
    </row>
    <row r="130" spans="7:9">
      <c r="G130" s="189"/>
      <c r="H130" s="567"/>
      <c r="I130" s="270"/>
    </row>
    <row r="131" spans="7:9">
      <c r="G131" s="189"/>
      <c r="H131" s="567"/>
      <c r="I131" s="270"/>
    </row>
    <row r="132" spans="7:9">
      <c r="G132" s="189"/>
      <c r="H132" s="567"/>
      <c r="I132" s="270"/>
    </row>
    <row r="133" spans="7:9">
      <c r="G133" s="189"/>
      <c r="H133" s="567"/>
      <c r="I133" s="270"/>
    </row>
    <row r="134" spans="7:9">
      <c r="G134" s="189"/>
      <c r="H134" s="567"/>
      <c r="I134" s="270"/>
    </row>
    <row r="135" spans="7:9">
      <c r="G135" s="189"/>
      <c r="H135" s="567"/>
      <c r="I135" s="270"/>
    </row>
    <row r="136" spans="7:9">
      <c r="G136" s="189"/>
      <c r="H136" s="567"/>
      <c r="I136" s="270"/>
    </row>
    <row r="137" spans="7:9">
      <c r="G137" s="189"/>
      <c r="H137" s="567"/>
      <c r="I137" s="270"/>
    </row>
    <row r="138" spans="7:9">
      <c r="G138" s="189"/>
      <c r="H138" s="567"/>
      <c r="I138" s="270"/>
    </row>
    <row r="139" spans="7:9">
      <c r="G139" s="189"/>
      <c r="H139" s="567"/>
      <c r="I139" s="270"/>
    </row>
    <row r="140" spans="7:9">
      <c r="G140" s="189"/>
      <c r="H140" s="567"/>
      <c r="I140" s="270"/>
    </row>
    <row r="141" spans="7:9">
      <c r="G141" s="189"/>
      <c r="H141" s="567"/>
      <c r="I141" s="270"/>
    </row>
    <row r="142" spans="7:9">
      <c r="G142" s="189"/>
      <c r="H142" s="567"/>
      <c r="I142" s="270"/>
    </row>
    <row r="143" spans="7:9">
      <c r="G143" s="189"/>
      <c r="H143" s="567"/>
      <c r="I143" s="270"/>
    </row>
    <row r="144" spans="7:9">
      <c r="G144" s="189"/>
      <c r="H144" s="567"/>
      <c r="I144" s="270"/>
    </row>
    <row r="145" spans="7:9">
      <c r="G145" s="189"/>
      <c r="H145" s="567"/>
      <c r="I145" s="270"/>
    </row>
    <row r="146" spans="7:9">
      <c r="G146" s="189"/>
      <c r="H146" s="567"/>
      <c r="I146" s="270"/>
    </row>
    <row r="147" spans="7:9">
      <c r="G147" s="189"/>
      <c r="H147" s="567"/>
      <c r="I147" s="270"/>
    </row>
    <row r="148" spans="7:9">
      <c r="G148" s="189"/>
      <c r="H148" s="567"/>
      <c r="I148" s="270"/>
    </row>
    <row r="149" spans="7:9">
      <c r="G149" s="189"/>
      <c r="H149" s="567"/>
      <c r="I149" s="270"/>
    </row>
    <row r="150" spans="7:9">
      <c r="G150" s="189"/>
      <c r="H150" s="567"/>
      <c r="I150" s="270"/>
    </row>
    <row r="151" spans="7:9">
      <c r="G151" s="189"/>
      <c r="H151" s="567"/>
      <c r="I151" s="270"/>
    </row>
    <row r="152" spans="7:9">
      <c r="G152" s="189"/>
      <c r="H152" s="567"/>
      <c r="I152" s="270"/>
    </row>
    <row r="153" spans="7:9">
      <c r="G153" s="189"/>
      <c r="H153" s="567"/>
      <c r="I153" s="270"/>
    </row>
    <row r="154" spans="7:9">
      <c r="G154" s="189"/>
      <c r="H154" s="567"/>
      <c r="I154" s="270"/>
    </row>
    <row r="155" spans="7:9">
      <c r="G155" s="189"/>
      <c r="H155" s="567"/>
      <c r="I155" s="270"/>
    </row>
    <row r="156" spans="7:9">
      <c r="G156" s="189"/>
      <c r="H156" s="567"/>
      <c r="I156" s="270"/>
    </row>
    <row r="157" spans="7:9">
      <c r="G157" s="189"/>
      <c r="H157" s="567"/>
      <c r="I157" s="270"/>
    </row>
    <row r="158" spans="7:9">
      <c r="G158" s="189"/>
      <c r="H158" s="567"/>
      <c r="I158" s="270"/>
    </row>
    <row r="159" spans="7:9">
      <c r="G159" s="189"/>
      <c r="H159" s="567"/>
      <c r="I159" s="270"/>
    </row>
    <row r="160" spans="7:9">
      <c r="G160" s="189"/>
      <c r="H160" s="567"/>
      <c r="I160" s="270"/>
    </row>
    <row r="161" spans="7:9">
      <c r="G161" s="189"/>
      <c r="H161" s="567"/>
      <c r="I161" s="270"/>
    </row>
    <row r="162" spans="7:9">
      <c r="G162" s="189"/>
      <c r="H162" s="567"/>
      <c r="I162" s="270"/>
    </row>
    <row r="163" spans="7:9">
      <c r="G163" s="189"/>
      <c r="H163" s="567"/>
      <c r="I163" s="270"/>
    </row>
    <row r="164" spans="7:9">
      <c r="G164" s="189"/>
      <c r="H164" s="567"/>
      <c r="I164" s="270"/>
    </row>
    <row r="165" spans="7:9">
      <c r="G165" s="189"/>
      <c r="H165" s="567"/>
      <c r="I165" s="270"/>
    </row>
    <row r="166" spans="7:9">
      <c r="G166" s="189"/>
      <c r="H166" s="567"/>
      <c r="I166" s="270"/>
    </row>
    <row r="167" spans="7:9">
      <c r="G167" s="189"/>
      <c r="H167" s="567"/>
      <c r="I167" s="270"/>
    </row>
    <row r="168" spans="7:9">
      <c r="G168" s="189"/>
      <c r="H168" s="567"/>
      <c r="I168" s="270"/>
    </row>
    <row r="169" spans="7:9">
      <c r="G169" s="189"/>
      <c r="H169" s="567"/>
      <c r="I169" s="270"/>
    </row>
    <row r="170" spans="7:9">
      <c r="G170" s="189"/>
      <c r="H170" s="567"/>
      <c r="I170" s="270"/>
    </row>
    <row r="171" spans="7:9">
      <c r="G171" s="189"/>
      <c r="H171" s="567"/>
      <c r="I171" s="270"/>
    </row>
    <row r="172" spans="7:9">
      <c r="G172" s="189"/>
      <c r="H172" s="567"/>
      <c r="I172" s="270"/>
    </row>
    <row r="173" spans="7:9">
      <c r="G173" s="189"/>
      <c r="H173" s="567"/>
      <c r="I173" s="270"/>
    </row>
    <row r="174" spans="7:9">
      <c r="G174" s="189"/>
      <c r="H174" s="567"/>
      <c r="I174" s="270"/>
    </row>
    <row r="175" spans="7:9">
      <c r="G175" s="189"/>
      <c r="H175" s="567"/>
      <c r="I175" s="270"/>
    </row>
    <row r="176" spans="7:9">
      <c r="G176" s="189"/>
      <c r="H176" s="567"/>
      <c r="I176" s="270"/>
    </row>
    <row r="177" spans="7:9">
      <c r="G177" s="189"/>
      <c r="H177" s="567"/>
      <c r="I177" s="270"/>
    </row>
    <row r="178" spans="7:9">
      <c r="G178" s="189"/>
      <c r="H178" s="567"/>
      <c r="I178" s="270"/>
    </row>
    <row r="179" spans="7:9">
      <c r="G179" s="189"/>
      <c r="H179" s="567"/>
      <c r="I179" s="270"/>
    </row>
    <row r="180" spans="7:9">
      <c r="G180" s="189"/>
      <c r="H180" s="567"/>
      <c r="I180" s="270"/>
    </row>
    <row r="181" spans="7:9">
      <c r="G181" s="189"/>
      <c r="H181" s="567"/>
      <c r="I181" s="270"/>
    </row>
    <row r="182" spans="7:9">
      <c r="G182" s="189"/>
      <c r="H182" s="567"/>
      <c r="I182" s="270"/>
    </row>
    <row r="183" spans="7:9">
      <c r="G183" s="189"/>
      <c r="H183" s="567"/>
      <c r="I183" s="270"/>
    </row>
    <row r="184" spans="7:9">
      <c r="G184" s="189"/>
      <c r="H184" s="567"/>
      <c r="I184" s="270"/>
    </row>
    <row r="185" spans="7:9">
      <c r="G185" s="189"/>
      <c r="H185" s="567"/>
      <c r="I185" s="270"/>
    </row>
    <row r="186" spans="7:9">
      <c r="G186" s="189"/>
      <c r="H186" s="567"/>
      <c r="I186" s="270"/>
    </row>
    <row r="187" spans="7:9">
      <c r="G187" s="189"/>
      <c r="H187" s="567"/>
      <c r="I187" s="270"/>
    </row>
    <row r="188" spans="7:9">
      <c r="G188" s="189"/>
      <c r="H188" s="567"/>
      <c r="I188" s="270"/>
    </row>
    <row r="189" spans="7:9">
      <c r="G189" s="189"/>
      <c r="H189" s="567"/>
      <c r="I189" s="270"/>
    </row>
    <row r="190" spans="7:9">
      <c r="G190" s="189"/>
      <c r="H190" s="567"/>
      <c r="I190" s="270"/>
    </row>
    <row r="191" spans="7:9">
      <c r="G191" s="189"/>
      <c r="H191" s="567"/>
      <c r="I191" s="270"/>
    </row>
    <row r="192" spans="7:9">
      <c r="G192" s="189"/>
      <c r="H192" s="567"/>
      <c r="I192" s="270"/>
    </row>
    <row r="193" spans="7:9">
      <c r="G193" s="189"/>
      <c r="H193" s="567"/>
      <c r="I193" s="270"/>
    </row>
    <row r="194" spans="7:9">
      <c r="G194" s="189"/>
      <c r="H194" s="567"/>
      <c r="I194" s="270"/>
    </row>
    <row r="195" spans="7:9">
      <c r="G195" s="189"/>
      <c r="H195" s="567"/>
      <c r="I195" s="270"/>
    </row>
    <row r="196" spans="7:9">
      <c r="G196" s="189"/>
      <c r="H196" s="567"/>
      <c r="I196" s="270"/>
    </row>
    <row r="197" spans="7:9">
      <c r="G197" s="189"/>
      <c r="H197" s="567"/>
      <c r="I197" s="270"/>
    </row>
    <row r="198" spans="7:9">
      <c r="G198" s="189"/>
      <c r="H198" s="567"/>
      <c r="I198" s="270"/>
    </row>
    <row r="199" spans="7:9">
      <c r="G199" s="189"/>
      <c r="H199" s="567"/>
      <c r="I199" s="270"/>
    </row>
    <row r="200" spans="7:9">
      <c r="G200" s="189"/>
      <c r="H200" s="567"/>
      <c r="I200" s="270"/>
    </row>
    <row r="201" spans="7:9">
      <c r="G201" s="189"/>
      <c r="H201" s="567"/>
      <c r="I201" s="270"/>
    </row>
    <row r="202" spans="7:9">
      <c r="G202" s="189"/>
      <c r="H202" s="567"/>
      <c r="I202" s="270"/>
    </row>
    <row r="203" spans="7:9">
      <c r="G203" s="189"/>
      <c r="H203" s="567"/>
      <c r="I203" s="270"/>
    </row>
    <row r="204" spans="7:9">
      <c r="G204" s="189"/>
      <c r="H204" s="567"/>
      <c r="I204" s="270"/>
    </row>
    <row r="205" spans="7:9">
      <c r="G205" s="189"/>
      <c r="H205" s="567"/>
      <c r="I205" s="270"/>
    </row>
    <row r="206" spans="7:9">
      <c r="G206" s="189"/>
      <c r="H206" s="567"/>
      <c r="I206" s="270"/>
    </row>
    <row r="207" spans="7:9">
      <c r="G207" s="189"/>
      <c r="H207" s="567"/>
      <c r="I207" s="270"/>
    </row>
    <row r="208" spans="7:9">
      <c r="G208" s="189"/>
      <c r="H208" s="567"/>
      <c r="I208" s="270"/>
    </row>
    <row r="209" spans="7:9">
      <c r="G209" s="189"/>
      <c r="H209" s="567"/>
      <c r="I209" s="270"/>
    </row>
    <row r="210" spans="7:9">
      <c r="G210" s="189"/>
      <c r="H210" s="567"/>
      <c r="I210" s="270"/>
    </row>
    <row r="211" spans="7:9">
      <c r="G211" s="189"/>
      <c r="H211" s="567"/>
      <c r="I211" s="270"/>
    </row>
    <row r="212" spans="7:9">
      <c r="G212" s="189"/>
      <c r="H212" s="567"/>
      <c r="I212" s="270"/>
    </row>
    <row r="213" spans="7:9">
      <c r="G213" s="189"/>
      <c r="H213" s="567"/>
      <c r="I213" s="270"/>
    </row>
    <row r="214" spans="7:9">
      <c r="G214" s="189"/>
      <c r="H214" s="567"/>
      <c r="I214" s="270"/>
    </row>
    <row r="215" spans="7:9">
      <c r="G215" s="189"/>
      <c r="H215" s="567"/>
      <c r="I215" s="270"/>
    </row>
    <row r="216" spans="7:9">
      <c r="G216" s="189"/>
      <c r="H216" s="567"/>
      <c r="I216" s="270"/>
    </row>
    <row r="217" spans="7:9">
      <c r="G217" s="189"/>
      <c r="H217" s="567"/>
      <c r="I217" s="270"/>
    </row>
    <row r="218" spans="7:9">
      <c r="G218" s="189"/>
      <c r="H218" s="567"/>
      <c r="I218" s="270"/>
    </row>
    <row r="219" spans="7:9">
      <c r="G219" s="189"/>
      <c r="H219" s="567"/>
      <c r="I219" s="270"/>
    </row>
    <row r="220" spans="7:9">
      <c r="G220" s="189"/>
      <c r="H220" s="567"/>
      <c r="I220" s="270"/>
    </row>
    <row r="221" spans="7:9">
      <c r="G221" s="189"/>
      <c r="H221" s="567"/>
      <c r="I221" s="270"/>
    </row>
    <row r="222" spans="7:9">
      <c r="G222" s="189"/>
      <c r="H222" s="567"/>
      <c r="I222" s="270"/>
    </row>
    <row r="223" spans="7:9">
      <c r="G223" s="189"/>
      <c r="H223" s="567"/>
      <c r="I223" s="270"/>
    </row>
    <row r="224" spans="7:9">
      <c r="G224" s="189"/>
      <c r="H224" s="567"/>
      <c r="I224" s="270"/>
    </row>
    <row r="225" spans="7:9">
      <c r="G225" s="189"/>
      <c r="H225" s="567"/>
      <c r="I225" s="270"/>
    </row>
    <row r="226" spans="7:9">
      <c r="G226" s="189"/>
      <c r="H226" s="567"/>
      <c r="I226" s="270"/>
    </row>
    <row r="227" spans="7:9">
      <c r="G227" s="189"/>
      <c r="H227" s="567"/>
      <c r="I227" s="270"/>
    </row>
    <row r="228" spans="7:9">
      <c r="G228" s="189"/>
      <c r="H228" s="567"/>
      <c r="I228" s="270"/>
    </row>
    <row r="229" spans="7:9">
      <c r="G229" s="189"/>
      <c r="H229" s="567"/>
      <c r="I229" s="270"/>
    </row>
    <row r="230" spans="7:9">
      <c r="G230" s="189"/>
      <c r="H230" s="567"/>
      <c r="I230" s="270"/>
    </row>
    <row r="231" spans="7:9">
      <c r="G231" s="189"/>
      <c r="H231" s="567"/>
      <c r="I231" s="270"/>
    </row>
    <row r="232" spans="7:9">
      <c r="G232" s="189"/>
      <c r="H232" s="567"/>
      <c r="I232" s="270"/>
    </row>
    <row r="233" spans="7:9">
      <c r="G233" s="189"/>
      <c r="H233" s="567"/>
      <c r="I233" s="270"/>
    </row>
    <row r="234" spans="7:9">
      <c r="G234" s="189"/>
      <c r="H234" s="567"/>
      <c r="I234" s="270"/>
    </row>
    <row r="235" spans="7:9">
      <c r="G235" s="189"/>
      <c r="H235" s="567"/>
      <c r="I235" s="270"/>
    </row>
    <row r="236" spans="7:9">
      <c r="G236" s="189"/>
      <c r="H236" s="567"/>
      <c r="I236" s="270"/>
    </row>
    <row r="237" spans="7:9">
      <c r="G237" s="189"/>
      <c r="H237" s="567"/>
      <c r="I237" s="270"/>
    </row>
    <row r="238" spans="7:9">
      <c r="G238" s="189"/>
      <c r="H238" s="567"/>
      <c r="I238" s="270"/>
    </row>
    <row r="239" spans="7:9">
      <c r="G239" s="189"/>
    </row>
    <row r="240" spans="7:9">
      <c r="G240" s="189"/>
    </row>
    <row r="241" spans="7:7">
      <c r="G241" s="189"/>
    </row>
    <row r="242" spans="7:7">
      <c r="G242" s="189"/>
    </row>
    <row r="243" spans="7:7">
      <c r="G243" s="189"/>
    </row>
    <row r="244" spans="7:7">
      <c r="G244" s="189"/>
    </row>
    <row r="245" spans="7:7">
      <c r="G245" s="189"/>
    </row>
    <row r="246" spans="7:7">
      <c r="G246" s="189"/>
    </row>
    <row r="247" spans="7:7">
      <c r="G247" s="189"/>
    </row>
    <row r="248" spans="7:7">
      <c r="G248" s="189"/>
    </row>
    <row r="249" spans="7:7">
      <c r="G249" s="189"/>
    </row>
  </sheetData>
  <mergeCells count="11">
    <mergeCell ref="E86:G86"/>
    <mergeCell ref="E78:G78"/>
    <mergeCell ref="E1:G1"/>
    <mergeCell ref="E62:G62"/>
    <mergeCell ref="E56:G56"/>
    <mergeCell ref="E72:G72"/>
    <mergeCell ref="E48:G48"/>
    <mergeCell ref="E38:G38"/>
    <mergeCell ref="E27:G27"/>
    <mergeCell ref="E10:G10"/>
    <mergeCell ref="E6:G6"/>
  </mergeCells>
  <pageMargins left="0.70866141732283472" right="0.70866141732283472" top="0.74803149606299213" bottom="0.74803149606299213" header="0.31496062992125984" footer="0.31496062992125984"/>
  <pageSetup scale="1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66FFFF"/>
    <pageSetUpPr fitToPage="1"/>
  </sheetPr>
  <dimension ref="A1:F24"/>
  <sheetViews>
    <sheetView workbookViewId="0">
      <pane ySplit="1" topLeftCell="A2" activePane="bottomLeft" state="frozen"/>
      <selection pane="bottomLeft" activeCell="D25" sqref="D25"/>
    </sheetView>
  </sheetViews>
  <sheetFormatPr defaultRowHeight="14.5"/>
  <cols>
    <col min="1" max="1" width="10.1796875" style="67" bestFit="1" customWidth="1"/>
    <col min="2" max="2" width="16.81640625" style="3" bestFit="1" customWidth="1"/>
    <col min="3" max="3" width="10.7265625" style="3" bestFit="1" customWidth="1"/>
    <col min="4" max="4" width="32.26953125" style="113" bestFit="1" customWidth="1"/>
    <col min="5" max="5" width="6.7265625" bestFit="1" customWidth="1"/>
    <col min="6" max="6" width="9.1796875" style="26"/>
    <col min="7" max="7" width="10.7265625" bestFit="1" customWidth="1"/>
  </cols>
  <sheetData>
    <row r="1" spans="1:6" s="6" customFormat="1">
      <c r="A1" s="116" t="s">
        <v>52</v>
      </c>
      <c r="B1" s="634" t="s">
        <v>233</v>
      </c>
      <c r="C1" s="635" t="s">
        <v>402</v>
      </c>
      <c r="D1" s="636" t="s">
        <v>138</v>
      </c>
      <c r="E1" s="583" t="s">
        <v>776</v>
      </c>
      <c r="F1" s="585" t="s">
        <v>464</v>
      </c>
    </row>
    <row r="2" spans="1:6">
      <c r="A2" s="67">
        <v>45432</v>
      </c>
      <c r="B2" s="62" t="s">
        <v>833</v>
      </c>
      <c r="C2" s="62">
        <v>219</v>
      </c>
      <c r="D2" s="113" t="s">
        <v>520</v>
      </c>
      <c r="E2" t="s">
        <v>596</v>
      </c>
      <c r="F2" s="534">
        <v>13655</v>
      </c>
    </row>
    <row r="3" spans="1:6">
      <c r="A3" s="67">
        <v>45439</v>
      </c>
      <c r="B3" s="62" t="s">
        <v>850</v>
      </c>
      <c r="C3" s="62">
        <v>291</v>
      </c>
      <c r="D3" s="113" t="s">
        <v>851</v>
      </c>
      <c r="F3" s="534"/>
    </row>
    <row r="4" spans="1:6">
      <c r="A4" s="577">
        <v>45444</v>
      </c>
      <c r="B4" s="111" t="s">
        <v>59</v>
      </c>
      <c r="C4" s="111">
        <f>SUM(C2:C3)</f>
        <v>510</v>
      </c>
      <c r="D4" s="326" t="s">
        <v>585</v>
      </c>
      <c r="F4" s="534"/>
    </row>
    <row r="5" spans="1:6">
      <c r="A5" s="67">
        <v>45446</v>
      </c>
      <c r="B5" s="62" t="s">
        <v>891</v>
      </c>
      <c r="C5" s="62">
        <v>46</v>
      </c>
      <c r="D5" s="113" t="s">
        <v>518</v>
      </c>
      <c r="E5" s="25"/>
      <c r="F5" s="588"/>
    </row>
    <row r="6" spans="1:6">
      <c r="A6" s="67">
        <v>45469</v>
      </c>
      <c r="B6" s="47" t="s">
        <v>1003</v>
      </c>
      <c r="C6" s="47">
        <f>62.96+25.3</f>
        <v>88.26</v>
      </c>
      <c r="D6" s="113" t="s">
        <v>1005</v>
      </c>
    </row>
    <row r="7" spans="1:6">
      <c r="A7" s="67">
        <v>45470</v>
      </c>
      <c r="B7" s="62" t="s">
        <v>623</v>
      </c>
      <c r="C7" s="62">
        <v>85.97</v>
      </c>
      <c r="D7" s="113" t="s">
        <v>1000</v>
      </c>
      <c r="E7" s="6" t="s">
        <v>8</v>
      </c>
      <c r="F7" s="589">
        <f>SUM(F2:F6)</f>
        <v>13655</v>
      </c>
    </row>
    <row r="8" spans="1:6">
      <c r="A8" s="67">
        <v>45470</v>
      </c>
      <c r="B8" s="47" t="s">
        <v>998</v>
      </c>
      <c r="C8" s="47">
        <v>154.99</v>
      </c>
      <c r="D8" s="113" t="s">
        <v>999</v>
      </c>
    </row>
    <row r="9" spans="1:6">
      <c r="A9" s="67">
        <v>45470</v>
      </c>
      <c r="B9" s="47" t="s">
        <v>254</v>
      </c>
      <c r="C9" s="47">
        <v>390</v>
      </c>
      <c r="D9" s="113" t="s">
        <v>1001</v>
      </c>
    </row>
    <row r="10" spans="1:6">
      <c r="A10" s="67">
        <v>45472</v>
      </c>
      <c r="B10" s="47" t="s">
        <v>1007</v>
      </c>
      <c r="C10" s="47">
        <v>41.99</v>
      </c>
      <c r="D10" s="113" t="s">
        <v>1008</v>
      </c>
    </row>
    <row r="11" spans="1:6">
      <c r="A11" s="67">
        <v>45470</v>
      </c>
      <c r="B11" s="47" t="s">
        <v>1015</v>
      </c>
      <c r="C11" s="47">
        <v>1000</v>
      </c>
      <c r="D11" s="113" t="s">
        <v>1016</v>
      </c>
    </row>
    <row r="12" spans="1:6">
      <c r="A12" s="577">
        <v>45474</v>
      </c>
      <c r="B12" s="111" t="s">
        <v>59</v>
      </c>
      <c r="C12" s="111">
        <f>SUM(C5:C11)</f>
        <v>1807.21</v>
      </c>
      <c r="D12" s="326" t="s">
        <v>585</v>
      </c>
    </row>
    <row r="13" spans="1:6">
      <c r="A13" s="116" t="s">
        <v>52</v>
      </c>
      <c r="B13" s="703" t="s">
        <v>233</v>
      </c>
      <c r="C13" s="704" t="s">
        <v>402</v>
      </c>
      <c r="D13" s="705" t="s">
        <v>138</v>
      </c>
    </row>
    <row r="14" spans="1:6">
      <c r="B14" s="62" t="s">
        <v>1119</v>
      </c>
      <c r="C14" s="62">
        <v>-1000</v>
      </c>
    </row>
    <row r="15" spans="1:6">
      <c r="A15" s="67">
        <v>45485</v>
      </c>
      <c r="B15" s="3" t="s">
        <v>1120</v>
      </c>
      <c r="C15" s="3">
        <v>549</v>
      </c>
      <c r="D15" s="113" t="s">
        <v>1121</v>
      </c>
    </row>
    <row r="16" spans="1:6">
      <c r="A16" s="577">
        <v>45505</v>
      </c>
      <c r="B16" s="111" t="s">
        <v>59</v>
      </c>
      <c r="C16" s="111">
        <f>SUM(C14:C15)</f>
        <v>-451</v>
      </c>
      <c r="D16" s="1061" t="s">
        <v>1273</v>
      </c>
    </row>
    <row r="17" spans="1:4">
      <c r="A17" s="116" t="s">
        <v>52</v>
      </c>
      <c r="B17" s="1007" t="s">
        <v>233</v>
      </c>
      <c r="C17" s="1008" t="s">
        <v>402</v>
      </c>
      <c r="D17" s="1009" t="s">
        <v>138</v>
      </c>
    </row>
    <row r="18" spans="1:4">
      <c r="A18" s="1050"/>
      <c r="B18" s="1051" t="s">
        <v>1306</v>
      </c>
      <c r="C18" s="1051">
        <f>C16</f>
        <v>-451</v>
      </c>
      <c r="D18" s="1052"/>
    </row>
    <row r="19" spans="1:4">
      <c r="A19" s="67">
        <v>45506</v>
      </c>
      <c r="B19" s="3" t="s">
        <v>254</v>
      </c>
      <c r="C19" s="3">
        <v>115.46</v>
      </c>
      <c r="D19" s="113" t="s">
        <v>1283</v>
      </c>
    </row>
    <row r="20" spans="1:4">
      <c r="B20" s="1082" t="s">
        <v>1299</v>
      </c>
      <c r="C20" s="3">
        <v>90</v>
      </c>
      <c r="D20" s="113" t="s">
        <v>1300</v>
      </c>
    </row>
    <row r="21" spans="1:4">
      <c r="A21" s="67">
        <v>45512</v>
      </c>
      <c r="B21" s="3" t="s">
        <v>833</v>
      </c>
      <c r="C21" s="3">
        <v>16.989999999999998</v>
      </c>
      <c r="D21" s="113" t="s">
        <v>1309</v>
      </c>
    </row>
    <row r="22" spans="1:4">
      <c r="B22" s="3" t="s">
        <v>1310</v>
      </c>
      <c r="C22" s="3">
        <v>3047</v>
      </c>
      <c r="D22" s="113" t="s">
        <v>1311</v>
      </c>
    </row>
    <row r="23" spans="1:4">
      <c r="B23" s="3" t="s">
        <v>236</v>
      </c>
      <c r="C23" s="3">
        <f>389.97+449.97</f>
        <v>839.94</v>
      </c>
      <c r="D23" s="113" t="s">
        <v>1312</v>
      </c>
    </row>
    <row r="24" spans="1:4">
      <c r="B24" s="3" t="s">
        <v>1294</v>
      </c>
      <c r="C24" s="3">
        <v>560</v>
      </c>
      <c r="D24" s="113" t="s">
        <v>1334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F10"/>
  <sheetViews>
    <sheetView workbookViewId="0">
      <pane ySplit="1" topLeftCell="A2" activePane="bottomLeft" state="frozen"/>
      <selection pane="bottomLeft" activeCell="A12" sqref="A12"/>
    </sheetView>
  </sheetViews>
  <sheetFormatPr defaultRowHeight="14.5"/>
  <cols>
    <col min="1" max="1" width="10.1796875" style="67" bestFit="1" customWidth="1"/>
    <col min="2" max="2" width="16.81640625" style="3" bestFit="1" customWidth="1"/>
    <col min="3" max="3" width="10.7265625" style="3" bestFit="1" customWidth="1"/>
    <col min="4" max="4" width="25.81640625" style="113" customWidth="1"/>
    <col min="5" max="5" width="10.7265625" customWidth="1"/>
    <col min="6" max="6" width="9.1796875" style="26"/>
    <col min="7" max="7" width="10.7265625" bestFit="1" customWidth="1"/>
  </cols>
  <sheetData>
    <row r="1" spans="1:6" s="6" customFormat="1">
      <c r="A1" s="116" t="s">
        <v>52</v>
      </c>
      <c r="B1" s="628" t="s">
        <v>233</v>
      </c>
      <c r="C1" s="629" t="s">
        <v>402</v>
      </c>
      <c r="D1" s="630" t="s">
        <v>138</v>
      </c>
      <c r="E1" s="583" t="s">
        <v>776</v>
      </c>
      <c r="F1" s="585" t="s">
        <v>464</v>
      </c>
    </row>
    <row r="2" spans="1:6">
      <c r="A2" s="67">
        <v>45432</v>
      </c>
      <c r="B2" s="62" t="s">
        <v>833</v>
      </c>
      <c r="C2" s="62">
        <v>1277</v>
      </c>
      <c r="D2" s="113" t="s">
        <v>834</v>
      </c>
      <c r="F2" s="534"/>
    </row>
    <row r="3" spans="1:6">
      <c r="A3" s="67">
        <v>45439</v>
      </c>
      <c r="B3" s="62" t="s">
        <v>852</v>
      </c>
      <c r="C3" s="62">
        <v>32.299999999999997</v>
      </c>
      <c r="D3" s="113" t="s">
        <v>853</v>
      </c>
      <c r="F3" s="534"/>
    </row>
    <row r="4" spans="1:6">
      <c r="A4" s="67">
        <v>45440</v>
      </c>
      <c r="B4" s="62" t="s">
        <v>833</v>
      </c>
      <c r="C4" s="62">
        <f>449+38.99</f>
        <v>487.99</v>
      </c>
      <c r="D4" s="113" t="s">
        <v>849</v>
      </c>
      <c r="F4" s="534"/>
    </row>
    <row r="5" spans="1:6">
      <c r="A5" s="577">
        <v>45444</v>
      </c>
      <c r="B5" s="111" t="s">
        <v>59</v>
      </c>
      <c r="C5" s="111">
        <f>SUM(C2:C4)</f>
        <v>1797.29</v>
      </c>
      <c r="D5" s="326" t="s">
        <v>585</v>
      </c>
      <c r="F5" s="534"/>
    </row>
    <row r="6" spans="1:6">
      <c r="A6" s="116" t="s">
        <v>52</v>
      </c>
      <c r="B6" s="703" t="s">
        <v>233</v>
      </c>
      <c r="C6" s="704" t="s">
        <v>402</v>
      </c>
      <c r="D6" s="705" t="s">
        <v>138</v>
      </c>
    </row>
    <row r="7" spans="1:6">
      <c r="A7" s="67">
        <v>45446</v>
      </c>
      <c r="B7" s="62" t="s">
        <v>850</v>
      </c>
      <c r="C7" s="62">
        <v>315</v>
      </c>
      <c r="D7" s="113" t="s">
        <v>851</v>
      </c>
      <c r="E7" s="25"/>
      <c r="F7" s="588"/>
    </row>
    <row r="8" spans="1:6">
      <c r="A8" s="67">
        <v>45449</v>
      </c>
      <c r="B8" s="62" t="s">
        <v>891</v>
      </c>
      <c r="C8" s="62">
        <v>46</v>
      </c>
      <c r="D8" s="113" t="s">
        <v>518</v>
      </c>
    </row>
    <row r="9" spans="1:6">
      <c r="A9" s="577">
        <v>45474</v>
      </c>
      <c r="B9" s="111" t="s">
        <v>59</v>
      </c>
      <c r="C9" s="111">
        <f>SUM(C7:C8)</f>
        <v>361</v>
      </c>
      <c r="D9" s="326" t="s">
        <v>585</v>
      </c>
      <c r="E9" s="6" t="s">
        <v>8</v>
      </c>
      <c r="F9" s="589">
        <f>SUM(F2:F8)</f>
        <v>0</v>
      </c>
    </row>
    <row r="10" spans="1:6">
      <c r="A10" s="116" t="s">
        <v>52</v>
      </c>
      <c r="B10" s="1007" t="s">
        <v>233</v>
      </c>
      <c r="C10" s="1008" t="s">
        <v>402</v>
      </c>
      <c r="D10" s="1009" t="s">
        <v>138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8BEF4"/>
    <pageSetUpPr fitToPage="1"/>
  </sheetPr>
  <dimension ref="A1:L89"/>
  <sheetViews>
    <sheetView workbookViewId="0">
      <pane ySplit="1" topLeftCell="A2" activePane="bottomLeft" state="frozen"/>
      <selection pane="bottomLeft" activeCell="D15" sqref="D15"/>
    </sheetView>
  </sheetViews>
  <sheetFormatPr defaultRowHeight="14.5"/>
  <cols>
    <col min="1" max="1" width="10.1796875" style="67" bestFit="1" customWidth="1"/>
    <col min="2" max="2" width="18.54296875" style="3" bestFit="1" customWidth="1"/>
    <col min="3" max="3" width="10.7265625" style="3" bestFit="1" customWidth="1"/>
    <col min="4" max="4" width="30" style="113" customWidth="1"/>
    <col min="5" max="5" width="10.7265625" customWidth="1"/>
    <col min="6" max="6" width="8.1796875" customWidth="1"/>
    <col min="7" max="7" width="10.7265625" style="26" bestFit="1" customWidth="1"/>
    <col min="8" max="8" width="3.26953125" style="566" customWidth="1"/>
    <col min="10" max="10" width="10.7265625" style="26" bestFit="1" customWidth="1"/>
    <col min="11" max="11" width="10.7265625" customWidth="1"/>
    <col min="12" max="12" width="9.1796875" style="26"/>
  </cols>
  <sheetData>
    <row r="1" spans="1:12" s="6" customFormat="1">
      <c r="A1" s="116" t="s">
        <v>52</v>
      </c>
      <c r="B1" s="703" t="s">
        <v>233</v>
      </c>
      <c r="C1" s="704" t="s">
        <v>402</v>
      </c>
      <c r="D1" s="705" t="s">
        <v>138</v>
      </c>
      <c r="E1" s="1105" t="s">
        <v>427</v>
      </c>
      <c r="F1" s="1106"/>
      <c r="G1" s="1107"/>
      <c r="H1" s="571"/>
      <c r="I1" s="116" t="s">
        <v>470</v>
      </c>
      <c r="J1" s="116" t="s">
        <v>464</v>
      </c>
      <c r="K1" s="583" t="s">
        <v>776</v>
      </c>
      <c r="L1" s="585" t="s">
        <v>464</v>
      </c>
    </row>
    <row r="2" spans="1:12">
      <c r="A2" s="67">
        <v>45446</v>
      </c>
      <c r="B2" s="47" t="s">
        <v>891</v>
      </c>
      <c r="C2" s="47">
        <v>46</v>
      </c>
      <c r="D2" s="113" t="s">
        <v>518</v>
      </c>
      <c r="E2" s="252">
        <v>45444</v>
      </c>
      <c r="F2" s="319" t="s">
        <v>393</v>
      </c>
      <c r="G2" s="255">
        <v>450</v>
      </c>
      <c r="H2" s="568"/>
      <c r="I2" s="269">
        <v>75</v>
      </c>
      <c r="L2" s="534"/>
    </row>
    <row r="3" spans="1:12">
      <c r="A3" s="67">
        <v>45455</v>
      </c>
      <c r="B3" s="62" t="s">
        <v>885</v>
      </c>
      <c r="C3" s="175">
        <v>450</v>
      </c>
      <c r="D3" s="113" t="s">
        <v>886</v>
      </c>
      <c r="E3" s="254">
        <v>45455</v>
      </c>
      <c r="F3" s="43" t="s">
        <v>846</v>
      </c>
      <c r="G3" s="189">
        <v>300</v>
      </c>
      <c r="H3" s="572"/>
      <c r="I3" s="270">
        <v>50</v>
      </c>
      <c r="J3" s="189">
        <v>200</v>
      </c>
      <c r="L3" s="534"/>
    </row>
    <row r="4" spans="1:12">
      <c r="B4" s="1047" t="s">
        <v>777</v>
      </c>
      <c r="C4" s="47">
        <v>1050</v>
      </c>
      <c r="D4" s="113" t="s">
        <v>682</v>
      </c>
      <c r="E4" s="254">
        <v>45457</v>
      </c>
      <c r="F4" s="43" t="s">
        <v>393</v>
      </c>
      <c r="G4" s="658">
        <v>300</v>
      </c>
      <c r="H4" s="576"/>
      <c r="I4" s="270">
        <v>50</v>
      </c>
      <c r="J4" s="189"/>
      <c r="L4" s="534"/>
    </row>
    <row r="5" spans="1:12">
      <c r="B5" s="47"/>
      <c r="C5" s="47"/>
      <c r="E5" s="218"/>
      <c r="F5" s="31"/>
      <c r="G5" s="309">
        <f>SUM(G2:G4)</f>
        <v>1050</v>
      </c>
      <c r="H5" s="576"/>
      <c r="I5" s="271"/>
      <c r="J5" s="189"/>
      <c r="L5" s="534"/>
    </row>
    <row r="6" spans="1:12">
      <c r="B6" s="1047" t="s">
        <v>778</v>
      </c>
      <c r="C6" s="47">
        <v>400</v>
      </c>
      <c r="D6" s="113" t="s">
        <v>682</v>
      </c>
      <c r="E6" s="254">
        <v>45462</v>
      </c>
      <c r="F6" s="53" t="s">
        <v>900</v>
      </c>
      <c r="G6" s="51">
        <v>400</v>
      </c>
      <c r="H6" s="576"/>
      <c r="I6" s="270">
        <v>150</v>
      </c>
      <c r="J6" s="189"/>
    </row>
    <row r="7" spans="1:12">
      <c r="A7" s="577">
        <v>45474</v>
      </c>
      <c r="B7" s="110" t="s">
        <v>59</v>
      </c>
      <c r="C7" s="11">
        <f>SUM(C2:C6)</f>
        <v>1946</v>
      </c>
      <c r="D7" s="326" t="s">
        <v>589</v>
      </c>
      <c r="E7" s="218"/>
      <c r="F7" s="31"/>
      <c r="G7" s="261"/>
      <c r="H7" s="576"/>
      <c r="I7" s="273">
        <f>SUM(I2:I6)</f>
        <v>325</v>
      </c>
      <c r="J7" s="272">
        <f>I7</f>
        <v>325</v>
      </c>
      <c r="K7" s="25"/>
      <c r="L7" s="588"/>
    </row>
    <row r="8" spans="1:12">
      <c r="A8" s="116" t="s">
        <v>52</v>
      </c>
      <c r="B8" s="1007" t="s">
        <v>233</v>
      </c>
      <c r="C8" s="1008" t="s">
        <v>402</v>
      </c>
      <c r="D8" s="1009" t="s">
        <v>138</v>
      </c>
      <c r="E8" s="1105" t="s">
        <v>427</v>
      </c>
      <c r="F8" s="1106"/>
      <c r="G8" s="1107"/>
      <c r="H8" s="576"/>
      <c r="I8" s="116" t="s">
        <v>470</v>
      </c>
      <c r="J8" s="116" t="s">
        <v>464</v>
      </c>
    </row>
    <row r="9" spans="1:12">
      <c r="A9" s="67">
        <v>45482</v>
      </c>
      <c r="B9" s="47" t="s">
        <v>239</v>
      </c>
      <c r="C9" s="47">
        <v>175</v>
      </c>
      <c r="D9" s="113" t="s">
        <v>1067</v>
      </c>
      <c r="E9" s="254">
        <v>45482</v>
      </c>
      <c r="F9" s="53" t="s">
        <v>393</v>
      </c>
      <c r="G9" s="189">
        <v>300</v>
      </c>
      <c r="H9" s="576"/>
      <c r="I9" s="270">
        <v>50</v>
      </c>
      <c r="J9" s="189"/>
      <c r="K9" s="6" t="s">
        <v>8</v>
      </c>
      <c r="L9" s="589">
        <f>SUM(L2:L8)</f>
        <v>0</v>
      </c>
    </row>
    <row r="10" spans="1:12">
      <c r="A10" s="67">
        <v>45482</v>
      </c>
      <c r="B10" s="62" t="s">
        <v>885</v>
      </c>
      <c r="C10" s="175">
        <v>700</v>
      </c>
      <c r="D10" s="113" t="s">
        <v>886</v>
      </c>
      <c r="E10" s="254"/>
      <c r="F10" s="43"/>
      <c r="G10" s="189"/>
      <c r="H10" s="576"/>
      <c r="I10" s="270"/>
      <c r="J10" s="189">
        <v>200</v>
      </c>
    </row>
    <row r="11" spans="1:12">
      <c r="A11" s="67">
        <v>45482</v>
      </c>
      <c r="B11" s="1048" t="s">
        <v>1070</v>
      </c>
      <c r="C11" s="175">
        <v>180</v>
      </c>
      <c r="D11" s="113" t="s">
        <v>1071</v>
      </c>
      <c r="E11" s="254"/>
      <c r="F11" s="43"/>
      <c r="G11" s="189"/>
      <c r="H11" s="576"/>
      <c r="I11" s="270"/>
      <c r="J11" s="189">
        <v>180</v>
      </c>
    </row>
    <row r="12" spans="1:12">
      <c r="A12" s="67">
        <v>45485</v>
      </c>
      <c r="B12" s="1048" t="s">
        <v>1070</v>
      </c>
      <c r="C12" s="175">
        <v>180</v>
      </c>
      <c r="D12" s="113" t="s">
        <v>1128</v>
      </c>
      <c r="E12" s="254"/>
      <c r="F12" s="43"/>
      <c r="G12" s="189"/>
      <c r="H12" s="576"/>
      <c r="I12" s="270"/>
      <c r="J12" s="189">
        <v>180</v>
      </c>
    </row>
    <row r="13" spans="1:12">
      <c r="B13" s="1048" t="s">
        <v>777</v>
      </c>
      <c r="C13" s="175">
        <v>300</v>
      </c>
      <c r="D13" s="113" t="s">
        <v>682</v>
      </c>
      <c r="E13" s="254"/>
      <c r="F13" s="53"/>
      <c r="G13" s="189"/>
      <c r="I13" s="270"/>
      <c r="J13" s="189"/>
    </row>
    <row r="14" spans="1:12">
      <c r="A14" s="577">
        <v>45505</v>
      </c>
      <c r="B14" s="110" t="s">
        <v>59</v>
      </c>
      <c r="C14" s="11">
        <f>SUM(C9:C13)</f>
        <v>1535</v>
      </c>
      <c r="D14" s="326" t="s">
        <v>589</v>
      </c>
      <c r="E14" s="218"/>
      <c r="F14" s="56"/>
      <c r="G14" s="261"/>
      <c r="H14" s="572"/>
      <c r="I14" s="273">
        <f>SUM(I9:I13)</f>
        <v>50</v>
      </c>
      <c r="J14" s="272">
        <f>I14</f>
        <v>50</v>
      </c>
    </row>
    <row r="15" spans="1:12">
      <c r="A15" s="67">
        <v>45506</v>
      </c>
      <c r="B15" s="62" t="s">
        <v>1281</v>
      </c>
      <c r="C15" s="175">
        <v>124</v>
      </c>
      <c r="D15" s="113" t="s">
        <v>1282</v>
      </c>
      <c r="E15" s="254">
        <v>45510</v>
      </c>
      <c r="F15" s="53" t="s">
        <v>393</v>
      </c>
      <c r="G15" s="189">
        <v>300</v>
      </c>
      <c r="H15" s="572"/>
      <c r="I15" s="270">
        <v>50</v>
      </c>
      <c r="J15" s="271"/>
    </row>
    <row r="16" spans="1:12">
      <c r="A16" s="67">
        <v>45508</v>
      </c>
      <c r="B16" s="62"/>
      <c r="C16" s="175"/>
      <c r="E16" s="254"/>
      <c r="F16" s="53"/>
      <c r="G16" s="189"/>
      <c r="H16" s="572"/>
      <c r="I16" s="270"/>
      <c r="J16" s="271"/>
    </row>
    <row r="17" spans="1:10" ht="24.5">
      <c r="A17" s="67">
        <v>45510</v>
      </c>
      <c r="B17" s="1048" t="s">
        <v>1070</v>
      </c>
      <c r="C17" s="175">
        <v>360</v>
      </c>
      <c r="D17" s="1077" t="s">
        <v>1293</v>
      </c>
      <c r="E17" s="254"/>
      <c r="F17" s="53"/>
      <c r="G17" s="189"/>
      <c r="H17" s="572"/>
      <c r="I17" s="270"/>
      <c r="J17" s="271"/>
    </row>
    <row r="18" spans="1:10">
      <c r="A18" s="67">
        <v>45510</v>
      </c>
      <c r="B18" s="62" t="s">
        <v>1294</v>
      </c>
      <c r="C18" s="175">
        <v>476</v>
      </c>
      <c r="D18" s="113" t="s">
        <v>1295</v>
      </c>
      <c r="E18" s="254"/>
      <c r="F18" s="53"/>
      <c r="G18" s="189"/>
      <c r="H18" s="572"/>
      <c r="I18" s="270"/>
      <c r="J18" s="189"/>
    </row>
    <row r="19" spans="1:10">
      <c r="B19" s="62"/>
      <c r="E19" s="254"/>
      <c r="F19" s="53"/>
      <c r="G19" s="189"/>
      <c r="H19" s="572"/>
      <c r="I19" s="270"/>
      <c r="J19" s="271"/>
    </row>
    <row r="20" spans="1:10">
      <c r="B20" s="62"/>
      <c r="C20" s="175"/>
      <c r="E20" s="254"/>
      <c r="F20" s="53"/>
      <c r="G20" s="189"/>
      <c r="H20" s="572"/>
      <c r="I20" s="270"/>
      <c r="J20" s="271"/>
    </row>
    <row r="21" spans="1:10">
      <c r="B21" s="62"/>
      <c r="C21" s="119" t="s">
        <v>1274</v>
      </c>
      <c r="E21" s="254"/>
      <c r="F21" s="53"/>
      <c r="G21" s="189"/>
      <c r="H21" s="572"/>
      <c r="I21" s="270"/>
      <c r="J21" s="271"/>
    </row>
    <row r="22" spans="1:10">
      <c r="B22" s="62"/>
      <c r="C22" s="175"/>
      <c r="E22" s="254"/>
      <c r="F22" s="53"/>
      <c r="G22" s="189"/>
      <c r="H22" s="572"/>
      <c r="I22" s="270"/>
      <c r="J22" s="271"/>
    </row>
    <row r="23" spans="1:10">
      <c r="B23" s="62"/>
      <c r="C23" s="175"/>
      <c r="E23" s="254"/>
      <c r="F23" s="53"/>
      <c r="G23" s="189"/>
      <c r="H23" s="572"/>
      <c r="I23" s="270"/>
      <c r="J23" s="271"/>
    </row>
    <row r="24" spans="1:10">
      <c r="B24" s="62"/>
      <c r="C24" s="175"/>
      <c r="E24" s="254"/>
      <c r="F24" s="43"/>
      <c r="G24" s="189"/>
      <c r="H24" s="572"/>
      <c r="I24" s="270"/>
      <c r="J24" s="189"/>
    </row>
    <row r="25" spans="1:10">
      <c r="B25" s="62"/>
      <c r="C25" s="175"/>
      <c r="E25" s="254"/>
      <c r="F25" s="53"/>
      <c r="G25" s="189"/>
      <c r="H25" s="572"/>
      <c r="I25" s="270"/>
      <c r="J25" s="271"/>
    </row>
    <row r="26" spans="1:10">
      <c r="B26" s="62"/>
      <c r="C26" s="175"/>
      <c r="E26" s="254"/>
      <c r="F26" s="53"/>
      <c r="G26" s="189"/>
      <c r="H26" s="572"/>
      <c r="I26" s="270"/>
    </row>
    <row r="27" spans="1:10">
      <c r="B27" s="62"/>
      <c r="C27" s="175"/>
      <c r="E27" s="254"/>
      <c r="F27" s="53"/>
      <c r="G27" s="189"/>
      <c r="H27" s="572"/>
      <c r="I27" s="270"/>
    </row>
    <row r="28" spans="1:10">
      <c r="B28" s="62"/>
      <c r="C28" s="175"/>
      <c r="E28" s="254"/>
      <c r="F28" s="53"/>
      <c r="G28" s="189"/>
      <c r="H28" s="572"/>
      <c r="I28" s="270"/>
    </row>
    <row r="29" spans="1:10">
      <c r="E29" s="254"/>
      <c r="G29" s="189"/>
      <c r="H29" s="572"/>
      <c r="I29" s="270"/>
      <c r="J29" s="189"/>
    </row>
    <row r="30" spans="1:10">
      <c r="E30" s="254"/>
      <c r="G30" s="189"/>
      <c r="H30" s="572"/>
      <c r="I30" s="270"/>
      <c r="J30" s="271"/>
    </row>
    <row r="31" spans="1:10">
      <c r="E31" s="254"/>
      <c r="G31" s="189"/>
      <c r="H31" s="572"/>
      <c r="I31" s="270"/>
      <c r="J31" s="189"/>
    </row>
    <row r="32" spans="1:10">
      <c r="E32" s="254"/>
      <c r="G32" s="189"/>
      <c r="H32" s="572"/>
      <c r="I32" s="270"/>
    </row>
    <row r="33" spans="5:9">
      <c r="E33" s="254"/>
      <c r="G33" s="189"/>
      <c r="H33" s="572"/>
      <c r="I33" s="270"/>
    </row>
    <row r="34" spans="5:9">
      <c r="E34" s="254"/>
      <c r="G34" s="189"/>
      <c r="H34" s="572"/>
      <c r="I34" s="270"/>
    </row>
    <row r="35" spans="5:9">
      <c r="E35" s="254"/>
      <c r="G35" s="189"/>
      <c r="H35" s="572"/>
      <c r="I35" s="270"/>
    </row>
    <row r="36" spans="5:9">
      <c r="E36" s="254"/>
      <c r="G36" s="189"/>
      <c r="H36" s="572"/>
      <c r="I36" s="270"/>
    </row>
    <row r="37" spans="5:9">
      <c r="E37" s="254"/>
      <c r="G37" s="189"/>
      <c r="H37" s="572"/>
      <c r="I37" s="270"/>
    </row>
    <row r="38" spans="5:9">
      <c r="E38" s="254"/>
      <c r="G38" s="189"/>
      <c r="H38" s="572"/>
      <c r="I38" s="270"/>
    </row>
    <row r="39" spans="5:9">
      <c r="E39" s="254"/>
      <c r="G39" s="189"/>
      <c r="H39" s="572"/>
      <c r="I39" s="270"/>
    </row>
    <row r="40" spans="5:9">
      <c r="E40" s="254"/>
      <c r="G40" s="189"/>
      <c r="H40" s="572"/>
      <c r="I40" s="270"/>
    </row>
    <row r="41" spans="5:9">
      <c r="E41" s="254"/>
      <c r="G41" s="189"/>
      <c r="H41" s="572"/>
      <c r="I41" s="270"/>
    </row>
    <row r="42" spans="5:9">
      <c r="E42" s="254"/>
      <c r="G42" s="189"/>
      <c r="H42" s="572"/>
      <c r="I42" s="270"/>
    </row>
    <row r="43" spans="5:9">
      <c r="E43" s="254"/>
      <c r="G43" s="189"/>
      <c r="H43" s="572"/>
      <c r="I43" s="270"/>
    </row>
    <row r="44" spans="5:9">
      <c r="E44" s="254"/>
      <c r="G44" s="189"/>
      <c r="H44" s="572"/>
      <c r="I44" s="270"/>
    </row>
    <row r="45" spans="5:9">
      <c r="E45" s="254"/>
      <c r="G45" s="189"/>
      <c r="H45" s="572"/>
      <c r="I45" s="270"/>
    </row>
    <row r="46" spans="5:9">
      <c r="E46" s="254"/>
      <c r="G46" s="189"/>
      <c r="H46" s="572"/>
      <c r="I46" s="270"/>
    </row>
    <row r="47" spans="5:9">
      <c r="E47" s="254"/>
      <c r="G47" s="189"/>
      <c r="H47" s="572"/>
      <c r="I47" s="270"/>
    </row>
    <row r="48" spans="5:9">
      <c r="E48" s="254"/>
      <c r="G48" s="189"/>
      <c r="H48" s="572"/>
      <c r="I48" s="270"/>
    </row>
    <row r="49" spans="5:9">
      <c r="E49" s="254"/>
      <c r="G49" s="189"/>
      <c r="H49" s="572"/>
      <c r="I49" s="270"/>
    </row>
    <row r="50" spans="5:9">
      <c r="E50" s="254"/>
      <c r="G50" s="189"/>
      <c r="H50" s="572"/>
      <c r="I50" s="270"/>
    </row>
    <row r="51" spans="5:9">
      <c r="E51" s="254"/>
      <c r="G51" s="189"/>
      <c r="H51" s="572"/>
      <c r="I51" s="270"/>
    </row>
    <row r="52" spans="5:9">
      <c r="E52" s="254"/>
      <c r="G52" s="189"/>
      <c r="H52" s="572"/>
      <c r="I52" s="270"/>
    </row>
    <row r="53" spans="5:9">
      <c r="E53" s="254"/>
      <c r="G53" s="189"/>
      <c r="H53" s="572"/>
      <c r="I53" s="270"/>
    </row>
    <row r="54" spans="5:9">
      <c r="E54" s="254"/>
      <c r="G54" s="189"/>
      <c r="H54" s="572"/>
      <c r="I54" s="270"/>
    </row>
    <row r="55" spans="5:9">
      <c r="E55" s="254"/>
      <c r="G55" s="189"/>
      <c r="H55" s="572"/>
      <c r="I55" s="270"/>
    </row>
    <row r="56" spans="5:9">
      <c r="E56" s="254"/>
      <c r="G56" s="189"/>
      <c r="H56" s="572"/>
      <c r="I56" s="270"/>
    </row>
    <row r="57" spans="5:9">
      <c r="E57" s="254"/>
      <c r="G57" s="189"/>
      <c r="H57" s="572"/>
      <c r="I57" s="270"/>
    </row>
    <row r="58" spans="5:9">
      <c r="E58" s="254"/>
      <c r="G58" s="189"/>
      <c r="H58" s="572"/>
      <c r="I58" s="270"/>
    </row>
    <row r="59" spans="5:9">
      <c r="E59" s="254"/>
      <c r="G59" s="189"/>
      <c r="H59" s="572"/>
      <c r="I59" s="270"/>
    </row>
    <row r="60" spans="5:9">
      <c r="E60" s="254"/>
      <c r="G60" s="189"/>
      <c r="H60" s="572"/>
      <c r="I60" s="270"/>
    </row>
    <row r="61" spans="5:9">
      <c r="E61" s="254"/>
      <c r="G61" s="189"/>
      <c r="H61" s="572"/>
      <c r="I61" s="270"/>
    </row>
    <row r="62" spans="5:9">
      <c r="E62" s="254"/>
      <c r="G62" s="189"/>
      <c r="H62" s="572"/>
      <c r="I62" s="270"/>
    </row>
    <row r="63" spans="5:9">
      <c r="E63" s="254"/>
      <c r="G63" s="189"/>
      <c r="H63" s="572"/>
      <c r="I63" s="270"/>
    </row>
    <row r="64" spans="5:9">
      <c r="E64" s="254"/>
      <c r="G64" s="189"/>
      <c r="H64" s="572"/>
      <c r="I64" s="270"/>
    </row>
    <row r="65" spans="7:9">
      <c r="G65" s="189"/>
      <c r="H65" s="572"/>
      <c r="I65" s="270"/>
    </row>
    <row r="66" spans="7:9">
      <c r="G66" s="189"/>
      <c r="H66" s="572"/>
      <c r="I66" s="270"/>
    </row>
    <row r="67" spans="7:9">
      <c r="G67" s="189"/>
      <c r="H67" s="572"/>
      <c r="I67" s="270"/>
    </row>
    <row r="68" spans="7:9">
      <c r="G68" s="189"/>
      <c r="H68" s="572"/>
      <c r="I68" s="270"/>
    </row>
    <row r="69" spans="7:9">
      <c r="G69" s="189"/>
      <c r="H69" s="572"/>
      <c r="I69" s="270"/>
    </row>
    <row r="70" spans="7:9">
      <c r="G70" s="189"/>
      <c r="H70" s="572"/>
      <c r="I70" s="270"/>
    </row>
    <row r="71" spans="7:9">
      <c r="G71" s="189"/>
      <c r="H71" s="572"/>
      <c r="I71" s="270"/>
    </row>
    <row r="72" spans="7:9">
      <c r="G72" s="189"/>
      <c r="H72" s="572"/>
      <c r="I72" s="270"/>
    </row>
    <row r="73" spans="7:9">
      <c r="G73" s="189"/>
      <c r="H73" s="572"/>
      <c r="I73" s="270"/>
    </row>
    <row r="74" spans="7:9">
      <c r="G74" s="189"/>
      <c r="H74" s="572"/>
      <c r="I74" s="270"/>
    </row>
    <row r="75" spans="7:9">
      <c r="G75" s="189"/>
      <c r="H75" s="572"/>
      <c r="I75" s="270"/>
    </row>
    <row r="76" spans="7:9">
      <c r="G76" s="189"/>
      <c r="H76" s="572"/>
      <c r="I76" s="270"/>
    </row>
    <row r="77" spans="7:9">
      <c r="G77" s="189"/>
      <c r="H77" s="572"/>
      <c r="I77" s="270"/>
    </row>
    <row r="78" spans="7:9">
      <c r="G78" s="189"/>
      <c r="H78" s="572"/>
      <c r="I78" s="270"/>
    </row>
    <row r="79" spans="7:9">
      <c r="G79" s="189"/>
      <c r="H79" s="572"/>
      <c r="I79" s="270"/>
    </row>
    <row r="80" spans="7:9">
      <c r="G80" s="189"/>
      <c r="H80" s="572"/>
      <c r="I80" s="270"/>
    </row>
    <row r="81" spans="7:9">
      <c r="G81" s="189"/>
      <c r="H81" s="572"/>
      <c r="I81" s="270"/>
    </row>
    <row r="82" spans="7:9">
      <c r="G82" s="189"/>
      <c r="H82" s="572"/>
      <c r="I82" s="270"/>
    </row>
    <row r="83" spans="7:9">
      <c r="G83" s="189"/>
      <c r="H83" s="572"/>
      <c r="I83" s="270"/>
    </row>
    <row r="84" spans="7:9">
      <c r="H84" s="572"/>
      <c r="I84" s="270"/>
    </row>
    <row r="85" spans="7:9">
      <c r="H85" s="572"/>
      <c r="I85" s="270"/>
    </row>
    <row r="86" spans="7:9">
      <c r="H86" s="572"/>
      <c r="I86" s="270"/>
    </row>
    <row r="87" spans="7:9">
      <c r="H87" s="572"/>
      <c r="I87" s="270"/>
    </row>
    <row r="88" spans="7:9">
      <c r="H88" s="572"/>
      <c r="I88" s="270"/>
    </row>
    <row r="89" spans="7:9">
      <c r="H89" s="572"/>
      <c r="I89" s="270"/>
    </row>
  </sheetData>
  <mergeCells count="2">
    <mergeCell ref="E1:G1"/>
    <mergeCell ref="E8:G8"/>
  </mergeCells>
  <pageMargins left="0.70866141732283472" right="0.70866141732283472" top="0.74803149606299213" bottom="0.74803149606299213" header="0.31496062992125984" footer="0.31496062992125984"/>
  <pageSetup scale="3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J85"/>
  <sheetViews>
    <sheetView workbookViewId="0">
      <pane ySplit="1" topLeftCell="A17" activePane="bottomLeft" state="frozen"/>
      <selection pane="bottomLeft" activeCell="D44" sqref="D44"/>
    </sheetView>
  </sheetViews>
  <sheetFormatPr defaultRowHeight="14.5"/>
  <cols>
    <col min="1" max="1" width="10.1796875" style="67" bestFit="1" customWidth="1"/>
    <col min="2" max="2" width="18.54296875" style="3" bestFit="1" customWidth="1"/>
    <col min="3" max="3" width="10.7265625" style="3" bestFit="1" customWidth="1"/>
    <col min="4" max="4" width="13.7265625" style="113" customWidth="1"/>
    <col min="5" max="5" width="10.7265625" customWidth="1"/>
    <col min="6" max="6" width="8.1796875" customWidth="1"/>
    <col min="7" max="7" width="10.7265625" style="26" bestFit="1" customWidth="1"/>
    <col min="8" max="8" width="3.26953125" style="566" customWidth="1"/>
    <col min="10" max="10" width="10.7265625" style="26" bestFit="1" customWidth="1"/>
  </cols>
  <sheetData>
    <row r="1" spans="1:10" s="6" customFormat="1">
      <c r="A1" s="116" t="s">
        <v>52</v>
      </c>
      <c r="B1" s="115" t="s">
        <v>233</v>
      </c>
      <c r="C1" s="65" t="s">
        <v>402</v>
      </c>
      <c r="D1" s="112" t="s">
        <v>138</v>
      </c>
      <c r="E1" s="1105" t="s">
        <v>427</v>
      </c>
      <c r="F1" s="1106"/>
      <c r="G1" s="1107"/>
      <c r="H1" s="571"/>
      <c r="I1" s="116" t="s">
        <v>470</v>
      </c>
      <c r="J1" s="116" t="s">
        <v>464</v>
      </c>
    </row>
    <row r="2" spans="1:10">
      <c r="A2" s="67">
        <v>45318</v>
      </c>
      <c r="B2" s="62" t="s">
        <v>430</v>
      </c>
      <c r="C2" s="175">
        <f>180*2</f>
        <v>360</v>
      </c>
      <c r="D2" s="113" t="s">
        <v>431</v>
      </c>
      <c r="E2" s="252">
        <v>45315</v>
      </c>
      <c r="F2" s="319" t="s">
        <v>393</v>
      </c>
      <c r="G2" s="255">
        <v>300</v>
      </c>
      <c r="H2" s="568"/>
      <c r="I2" s="269">
        <v>50</v>
      </c>
      <c r="J2" s="189">
        <v>360</v>
      </c>
    </row>
    <row r="3" spans="1:10">
      <c r="A3" s="67">
        <v>45323</v>
      </c>
      <c r="B3" s="62" t="s">
        <v>432</v>
      </c>
      <c r="C3" s="175">
        <v>600</v>
      </c>
      <c r="D3" s="113" t="s">
        <v>433</v>
      </c>
      <c r="E3" s="254">
        <v>45322</v>
      </c>
      <c r="F3" s="43" t="s">
        <v>393</v>
      </c>
      <c r="G3" s="189">
        <v>300</v>
      </c>
      <c r="H3" s="572"/>
      <c r="I3" s="270">
        <v>50</v>
      </c>
      <c r="J3" s="189"/>
    </row>
    <row r="4" spans="1:10">
      <c r="B4" s="62" t="s">
        <v>429</v>
      </c>
      <c r="C4" s="175">
        <v>1000</v>
      </c>
      <c r="D4" s="113" t="s">
        <v>435</v>
      </c>
      <c r="E4" s="312"/>
      <c r="F4" s="43"/>
      <c r="G4" s="51">
        <f>SUM(G2:G3)</f>
        <v>600</v>
      </c>
      <c r="H4" s="576"/>
      <c r="I4" s="271"/>
      <c r="J4" s="189">
        <v>1000</v>
      </c>
    </row>
    <row r="5" spans="1:10">
      <c r="A5" s="70"/>
      <c r="B5" s="110" t="s">
        <v>59</v>
      </c>
      <c r="C5" s="111">
        <f>SUM(C2:C4)</f>
        <v>1960</v>
      </c>
      <c r="D5" s="326" t="s">
        <v>585</v>
      </c>
      <c r="E5" s="35"/>
      <c r="F5" s="31"/>
      <c r="G5" s="191"/>
      <c r="H5" s="590"/>
      <c r="I5" s="273">
        <f>SUM(I2:I4)</f>
        <v>100</v>
      </c>
      <c r="J5" s="272">
        <f>+C2+C4+I5</f>
        <v>1460</v>
      </c>
    </row>
    <row r="6" spans="1:10">
      <c r="A6" s="116" t="s">
        <v>52</v>
      </c>
      <c r="B6" s="1007" t="s">
        <v>233</v>
      </c>
      <c r="C6" s="1008" t="s">
        <v>402</v>
      </c>
      <c r="D6" s="1009" t="s">
        <v>138</v>
      </c>
      <c r="E6" s="1105" t="s">
        <v>427</v>
      </c>
      <c r="F6" s="1106"/>
      <c r="G6" s="1107"/>
      <c r="H6" s="570"/>
      <c r="I6" s="1009" t="s">
        <v>470</v>
      </c>
      <c r="J6" s="116" t="s">
        <v>464</v>
      </c>
    </row>
    <row r="7" spans="1:10">
      <c r="A7" s="192">
        <v>45323</v>
      </c>
      <c r="B7" s="318" t="s">
        <v>239</v>
      </c>
      <c r="C7" s="318">
        <v>31</v>
      </c>
      <c r="D7" s="223" t="s">
        <v>437</v>
      </c>
      <c r="E7" s="221">
        <v>45329</v>
      </c>
      <c r="F7" s="319" t="s">
        <v>393</v>
      </c>
      <c r="G7" s="255">
        <v>300</v>
      </c>
      <c r="H7" s="572"/>
      <c r="I7" s="270">
        <v>50</v>
      </c>
      <c r="J7" s="317"/>
    </row>
    <row r="8" spans="1:10">
      <c r="A8" s="67">
        <v>45352</v>
      </c>
      <c r="B8" s="62" t="s">
        <v>432</v>
      </c>
      <c r="C8" s="62">
        <v>1200</v>
      </c>
      <c r="D8" s="113" t="s">
        <v>433</v>
      </c>
      <c r="E8" s="222">
        <v>45336</v>
      </c>
      <c r="F8" s="43" t="s">
        <v>393</v>
      </c>
      <c r="G8" s="189">
        <v>300</v>
      </c>
      <c r="H8" s="572"/>
      <c r="I8" s="270">
        <v>50</v>
      </c>
      <c r="J8" s="271"/>
    </row>
    <row r="9" spans="1:10">
      <c r="B9" s="62" t="s">
        <v>429</v>
      </c>
      <c r="C9" s="175">
        <v>2000</v>
      </c>
      <c r="D9" s="113" t="s">
        <v>580</v>
      </c>
      <c r="E9" s="222">
        <v>45343</v>
      </c>
      <c r="F9" s="43" t="s">
        <v>393</v>
      </c>
      <c r="G9" s="189">
        <v>300</v>
      </c>
      <c r="H9" s="572"/>
      <c r="I9" s="270">
        <v>50</v>
      </c>
      <c r="J9" s="271"/>
    </row>
    <row r="10" spans="1:10">
      <c r="B10" s="47"/>
      <c r="C10" s="47"/>
      <c r="E10" s="222">
        <v>45350</v>
      </c>
      <c r="F10" s="43" t="s">
        <v>393</v>
      </c>
      <c r="G10" s="189">
        <v>300</v>
      </c>
      <c r="H10" s="572"/>
      <c r="I10" s="270">
        <v>50</v>
      </c>
      <c r="J10" s="189">
        <v>2000</v>
      </c>
    </row>
    <row r="11" spans="1:10">
      <c r="A11" s="70"/>
      <c r="B11" s="110" t="s">
        <v>59</v>
      </c>
      <c r="C11" s="11">
        <f>SUM(C7:C9)</f>
        <v>3231</v>
      </c>
      <c r="D11" s="326" t="s">
        <v>585</v>
      </c>
      <c r="E11" s="257"/>
      <c r="F11" s="31"/>
      <c r="G11" s="256">
        <f>SUM(G7:G10)</f>
        <v>1200</v>
      </c>
      <c r="H11" s="570"/>
      <c r="I11" s="273">
        <f>SUM(I7:I10)</f>
        <v>200</v>
      </c>
      <c r="J11" s="272">
        <f>+C9+I11</f>
        <v>2200</v>
      </c>
    </row>
    <row r="12" spans="1:10">
      <c r="A12" s="116" t="s">
        <v>52</v>
      </c>
      <c r="B12" s="1007" t="s">
        <v>233</v>
      </c>
      <c r="C12" s="1008" t="s">
        <v>402</v>
      </c>
      <c r="D12" s="1009" t="s">
        <v>138</v>
      </c>
      <c r="E12" s="1105" t="s">
        <v>427</v>
      </c>
      <c r="F12" s="1106"/>
      <c r="G12" s="1107"/>
      <c r="H12" s="570"/>
      <c r="I12" s="1009" t="s">
        <v>470</v>
      </c>
      <c r="J12" s="116" t="s">
        <v>464</v>
      </c>
    </row>
    <row r="13" spans="1:10">
      <c r="A13" s="67">
        <v>45357</v>
      </c>
      <c r="B13" s="62" t="s">
        <v>590</v>
      </c>
      <c r="C13" s="62">
        <v>434.7</v>
      </c>
      <c r="D13" s="113" t="s">
        <v>591</v>
      </c>
      <c r="E13" s="221">
        <v>45357</v>
      </c>
      <c r="F13" s="53" t="s">
        <v>393</v>
      </c>
      <c r="G13" s="189">
        <v>300</v>
      </c>
      <c r="H13" s="572"/>
      <c r="I13" s="270">
        <v>50</v>
      </c>
      <c r="J13" s="317"/>
    </row>
    <row r="14" spans="1:10">
      <c r="A14" s="67">
        <v>45371</v>
      </c>
      <c r="B14" s="3" t="s">
        <v>627</v>
      </c>
      <c r="C14" s="3">
        <v>239.1</v>
      </c>
      <c r="D14" s="113" t="s">
        <v>628</v>
      </c>
      <c r="E14" s="254">
        <v>45364</v>
      </c>
      <c r="F14" s="53" t="s">
        <v>393</v>
      </c>
      <c r="G14" s="189">
        <v>300</v>
      </c>
      <c r="H14" s="572"/>
      <c r="I14" s="270">
        <v>50</v>
      </c>
      <c r="J14" s="271"/>
    </row>
    <row r="15" spans="1:10">
      <c r="B15" s="419" t="s">
        <v>6</v>
      </c>
      <c r="C15" s="7">
        <f>SUM(C13:C14)</f>
        <v>673.8</v>
      </c>
      <c r="E15" s="254"/>
      <c r="F15" s="53"/>
      <c r="G15" s="189"/>
      <c r="H15" s="572"/>
      <c r="I15" s="270"/>
      <c r="J15" s="271"/>
    </row>
    <row r="16" spans="1:10">
      <c r="A16" s="67">
        <v>45383</v>
      </c>
      <c r="B16" s="62" t="s">
        <v>432</v>
      </c>
      <c r="C16" s="62">
        <v>1200</v>
      </c>
      <c r="D16" s="113" t="s">
        <v>433</v>
      </c>
      <c r="E16" s="254">
        <v>45371</v>
      </c>
      <c r="F16" s="53" t="s">
        <v>393</v>
      </c>
      <c r="G16" s="189">
        <v>300</v>
      </c>
      <c r="H16" s="572"/>
      <c r="I16" s="270">
        <v>50</v>
      </c>
      <c r="J16" s="271"/>
    </row>
    <row r="17" spans="1:10">
      <c r="B17" s="62" t="s">
        <v>429</v>
      </c>
      <c r="C17" s="175">
        <v>2000</v>
      </c>
      <c r="D17" s="113" t="s">
        <v>686</v>
      </c>
      <c r="E17" s="254">
        <v>45379</v>
      </c>
      <c r="F17" s="53" t="s">
        <v>393</v>
      </c>
      <c r="G17" s="189">
        <v>300</v>
      </c>
      <c r="H17" s="572"/>
      <c r="I17" s="270">
        <v>50</v>
      </c>
      <c r="J17" s="189">
        <v>2000</v>
      </c>
    </row>
    <row r="18" spans="1:10">
      <c r="A18" s="70"/>
      <c r="B18" s="110" t="s">
        <v>59</v>
      </c>
      <c r="C18" s="11">
        <f>SUM(C15:C17)</f>
        <v>3873.8</v>
      </c>
      <c r="D18" s="326" t="s">
        <v>585</v>
      </c>
      <c r="E18" s="218"/>
      <c r="F18" s="31"/>
      <c r="G18" s="256">
        <f>SUM(G13:G17)</f>
        <v>1200</v>
      </c>
      <c r="H18" s="570"/>
      <c r="I18" s="273">
        <f>SUM(I13:I17)</f>
        <v>200</v>
      </c>
      <c r="J18" s="272">
        <f>+C17+I18</f>
        <v>2200</v>
      </c>
    </row>
    <row r="19" spans="1:10">
      <c r="A19" s="116" t="s">
        <v>52</v>
      </c>
      <c r="B19" s="1007" t="s">
        <v>233</v>
      </c>
      <c r="C19" s="1008" t="s">
        <v>402</v>
      </c>
      <c r="D19" s="1009" t="s">
        <v>138</v>
      </c>
      <c r="E19" s="1105" t="s">
        <v>427</v>
      </c>
      <c r="F19" s="1106"/>
      <c r="G19" s="1107"/>
      <c r="H19" s="570"/>
      <c r="I19" s="1009" t="s">
        <v>470</v>
      </c>
      <c r="J19" s="116" t="s">
        <v>464</v>
      </c>
    </row>
    <row r="20" spans="1:10">
      <c r="A20" s="192">
        <v>45413</v>
      </c>
      <c r="B20" s="318" t="s">
        <v>432</v>
      </c>
      <c r="C20" s="318">
        <v>1200</v>
      </c>
      <c r="D20" s="223" t="s">
        <v>433</v>
      </c>
      <c r="E20" s="252">
        <v>45385</v>
      </c>
      <c r="F20" s="253" t="s">
        <v>393</v>
      </c>
      <c r="G20" s="255">
        <v>300</v>
      </c>
      <c r="H20" s="572"/>
      <c r="I20" s="270">
        <v>50</v>
      </c>
    </row>
    <row r="21" spans="1:10">
      <c r="B21" s="62" t="s">
        <v>429</v>
      </c>
      <c r="C21" s="175">
        <v>2000</v>
      </c>
      <c r="D21" s="113" t="s">
        <v>780</v>
      </c>
      <c r="E21" s="254">
        <v>45392</v>
      </c>
      <c r="F21" s="53" t="s">
        <v>393</v>
      </c>
      <c r="G21" s="189">
        <v>300</v>
      </c>
      <c r="H21" s="572"/>
      <c r="I21" s="270">
        <v>50</v>
      </c>
    </row>
    <row r="22" spans="1:10">
      <c r="B22" s="47"/>
      <c r="C22" s="47"/>
      <c r="E22" s="254">
        <v>45399</v>
      </c>
      <c r="F22" s="53" t="s">
        <v>393</v>
      </c>
      <c r="G22" s="189">
        <v>300</v>
      </c>
      <c r="H22" s="572"/>
      <c r="I22" s="270">
        <v>50</v>
      </c>
    </row>
    <row r="23" spans="1:10">
      <c r="B23" s="47"/>
      <c r="C23" s="47"/>
      <c r="E23" s="254">
        <v>45406</v>
      </c>
      <c r="F23" s="53" t="s">
        <v>393</v>
      </c>
      <c r="G23" s="189">
        <v>300</v>
      </c>
      <c r="H23" s="572"/>
      <c r="I23" s="270">
        <v>50</v>
      </c>
      <c r="J23" s="189">
        <v>2000</v>
      </c>
    </row>
    <row r="24" spans="1:10">
      <c r="A24" s="577">
        <v>45413</v>
      </c>
      <c r="B24" s="110" t="s">
        <v>59</v>
      </c>
      <c r="C24" s="11">
        <f>SUM(C20:C23)</f>
        <v>3200</v>
      </c>
      <c r="D24" s="326" t="s">
        <v>585</v>
      </c>
      <c r="E24" s="218"/>
      <c r="F24" s="31"/>
      <c r="G24" s="256">
        <f>SUM(G20:G23)</f>
        <v>1200</v>
      </c>
      <c r="H24" s="576"/>
      <c r="I24" s="273">
        <f>SUM(I20:I23)</f>
        <v>200</v>
      </c>
      <c r="J24" s="272">
        <f>+J23+I24</f>
        <v>2200</v>
      </c>
    </row>
    <row r="25" spans="1:10">
      <c r="A25" s="116" t="s">
        <v>52</v>
      </c>
      <c r="B25" s="1007" t="s">
        <v>233</v>
      </c>
      <c r="C25" s="1008" t="s">
        <v>402</v>
      </c>
      <c r="D25" s="1009" t="s">
        <v>138</v>
      </c>
      <c r="E25" s="1105" t="s">
        <v>427</v>
      </c>
      <c r="F25" s="1106"/>
      <c r="G25" s="1107"/>
      <c r="H25" s="570"/>
      <c r="I25" s="1009" t="s">
        <v>470</v>
      </c>
      <c r="J25" s="116" t="s">
        <v>464</v>
      </c>
    </row>
    <row r="26" spans="1:10">
      <c r="A26" s="192">
        <v>45444</v>
      </c>
      <c r="B26" s="318" t="s">
        <v>432</v>
      </c>
      <c r="C26" s="318">
        <v>1500</v>
      </c>
      <c r="D26" s="223" t="s">
        <v>433</v>
      </c>
      <c r="E26" s="252">
        <v>45414</v>
      </c>
      <c r="F26" s="253" t="s">
        <v>393</v>
      </c>
      <c r="G26" s="255">
        <v>300</v>
      </c>
      <c r="H26" s="572"/>
      <c r="I26" s="270">
        <v>50</v>
      </c>
    </row>
    <row r="27" spans="1:10">
      <c r="B27" s="62" t="s">
        <v>429</v>
      </c>
      <c r="C27" s="175">
        <v>2000</v>
      </c>
      <c r="D27" s="113" t="s">
        <v>863</v>
      </c>
      <c r="E27" s="254">
        <v>45420</v>
      </c>
      <c r="F27" s="53" t="s">
        <v>393</v>
      </c>
      <c r="G27" s="189">
        <v>300</v>
      </c>
      <c r="H27" s="572"/>
      <c r="I27" s="270">
        <v>50</v>
      </c>
    </row>
    <row r="28" spans="1:10">
      <c r="B28" s="47"/>
      <c r="C28" s="47"/>
      <c r="E28" s="254">
        <v>45427</v>
      </c>
      <c r="F28" s="53" t="s">
        <v>393</v>
      </c>
      <c r="G28" s="189">
        <v>300</v>
      </c>
      <c r="H28" s="572"/>
      <c r="I28" s="270">
        <v>50</v>
      </c>
    </row>
    <row r="29" spans="1:10">
      <c r="B29" s="47"/>
      <c r="C29" s="47"/>
      <c r="E29" s="254">
        <v>45434</v>
      </c>
      <c r="F29" s="53" t="s">
        <v>393</v>
      </c>
      <c r="G29" s="189">
        <v>300</v>
      </c>
      <c r="H29" s="572"/>
      <c r="I29" s="270">
        <v>50</v>
      </c>
    </row>
    <row r="30" spans="1:10">
      <c r="B30" s="47"/>
      <c r="C30" s="47"/>
      <c r="E30" s="254">
        <v>45443</v>
      </c>
      <c r="F30" s="53" t="s">
        <v>393</v>
      </c>
      <c r="G30" s="189">
        <v>300</v>
      </c>
      <c r="H30" s="572"/>
      <c r="I30" s="270">
        <v>50</v>
      </c>
      <c r="J30" s="189">
        <v>2000</v>
      </c>
    </row>
    <row r="31" spans="1:10">
      <c r="A31" s="577">
        <v>45444</v>
      </c>
      <c r="B31" s="110" t="s">
        <v>59</v>
      </c>
      <c r="C31" s="11">
        <f>SUM(C26:C30)</f>
        <v>3500</v>
      </c>
      <c r="D31" s="326" t="s">
        <v>585</v>
      </c>
      <c r="E31" s="218"/>
      <c r="F31" s="31"/>
      <c r="G31" s="256">
        <f>SUM(G26:G30)</f>
        <v>1500</v>
      </c>
      <c r="H31" s="637"/>
      <c r="I31" s="273">
        <f>SUM(I26:I30)</f>
        <v>250</v>
      </c>
      <c r="J31" s="272">
        <f>+I31+J30</f>
        <v>2250</v>
      </c>
    </row>
    <row r="32" spans="1:10">
      <c r="A32" s="116" t="s">
        <v>52</v>
      </c>
      <c r="B32" s="1007" t="s">
        <v>233</v>
      </c>
      <c r="C32" s="1008" t="s">
        <v>402</v>
      </c>
      <c r="D32" s="1009" t="s">
        <v>138</v>
      </c>
      <c r="E32" s="1105" t="s">
        <v>427</v>
      </c>
      <c r="F32" s="1106"/>
      <c r="G32" s="1107"/>
      <c r="H32" s="570"/>
      <c r="I32" s="1009" t="s">
        <v>470</v>
      </c>
      <c r="J32" s="116" t="s">
        <v>464</v>
      </c>
    </row>
    <row r="33" spans="1:10">
      <c r="A33" s="67">
        <v>45474</v>
      </c>
      <c r="B33" s="318" t="s">
        <v>432</v>
      </c>
      <c r="C33" s="318">
        <v>1200</v>
      </c>
      <c r="D33" s="223" t="s">
        <v>433</v>
      </c>
      <c r="E33" s="254">
        <v>45449</v>
      </c>
      <c r="F33" s="53" t="s">
        <v>393</v>
      </c>
      <c r="G33" s="189">
        <v>300</v>
      </c>
      <c r="H33" s="572"/>
      <c r="I33" s="270">
        <v>50</v>
      </c>
    </row>
    <row r="34" spans="1:10">
      <c r="B34" s="62" t="s">
        <v>429</v>
      </c>
      <c r="C34" s="175">
        <v>2000</v>
      </c>
      <c r="D34" s="113" t="s">
        <v>1017</v>
      </c>
      <c r="E34" s="254">
        <v>45455</v>
      </c>
      <c r="F34" s="53" t="s">
        <v>393</v>
      </c>
      <c r="G34" s="189">
        <v>300</v>
      </c>
      <c r="H34" s="572"/>
      <c r="I34" s="270">
        <v>50</v>
      </c>
    </row>
    <row r="35" spans="1:10">
      <c r="B35" s="47"/>
      <c r="C35" s="47"/>
      <c r="E35" s="254">
        <v>45462</v>
      </c>
      <c r="F35" s="53" t="s">
        <v>393</v>
      </c>
      <c r="G35" s="189">
        <v>300</v>
      </c>
      <c r="H35" s="572"/>
      <c r="I35" s="270">
        <v>50</v>
      </c>
    </row>
    <row r="36" spans="1:10">
      <c r="B36" s="47"/>
      <c r="C36" s="47"/>
      <c r="E36" s="254">
        <v>45469</v>
      </c>
      <c r="F36" s="53" t="s">
        <v>393</v>
      </c>
      <c r="G36" s="189">
        <v>300</v>
      </c>
      <c r="H36" s="572"/>
      <c r="I36" s="270">
        <v>50</v>
      </c>
      <c r="J36" s="189">
        <v>2000</v>
      </c>
    </row>
    <row r="37" spans="1:10">
      <c r="A37" s="577">
        <v>45474</v>
      </c>
      <c r="B37" s="110" t="s">
        <v>59</v>
      </c>
      <c r="C37" s="11">
        <f>SUM(C33:C36)</f>
        <v>3200</v>
      </c>
      <c r="D37" s="326" t="s">
        <v>585</v>
      </c>
      <c r="E37" s="218"/>
      <c r="F37" s="31"/>
      <c r="G37" s="256">
        <f>SUM(G33:G36)</f>
        <v>1200</v>
      </c>
      <c r="H37" s="637"/>
      <c r="I37" s="273">
        <f>SUM(I33:I36)</f>
        <v>200</v>
      </c>
      <c r="J37" s="272">
        <f>+J36+I37</f>
        <v>2200</v>
      </c>
    </row>
    <row r="38" spans="1:10">
      <c r="A38" s="116" t="s">
        <v>52</v>
      </c>
      <c r="B38" s="1007" t="s">
        <v>233</v>
      </c>
      <c r="C38" s="1008" t="s">
        <v>402</v>
      </c>
      <c r="D38" s="1009" t="s">
        <v>138</v>
      </c>
      <c r="E38" s="1105" t="s">
        <v>427</v>
      </c>
      <c r="F38" s="1106"/>
      <c r="G38" s="1107"/>
      <c r="H38" s="570"/>
      <c r="I38" s="636" t="s">
        <v>470</v>
      </c>
      <c r="J38" s="116" t="s">
        <v>464</v>
      </c>
    </row>
    <row r="39" spans="1:10">
      <c r="A39" s="192">
        <v>45482</v>
      </c>
      <c r="B39" s="193" t="s">
        <v>1068</v>
      </c>
      <c r="C39" s="193">
        <v>440</v>
      </c>
      <c r="D39" s="223" t="s">
        <v>1069</v>
      </c>
      <c r="E39" s="252">
        <v>45476</v>
      </c>
      <c r="F39" s="253" t="s">
        <v>393</v>
      </c>
      <c r="G39" s="255">
        <v>300</v>
      </c>
      <c r="H39" s="572"/>
      <c r="I39" s="270">
        <v>50</v>
      </c>
    </row>
    <row r="40" spans="1:10">
      <c r="A40" s="67">
        <v>45485</v>
      </c>
      <c r="B40" s="47" t="s">
        <v>602</v>
      </c>
      <c r="C40" s="47">
        <v>50</v>
      </c>
      <c r="D40" s="113" t="s">
        <v>1118</v>
      </c>
      <c r="E40" s="254">
        <v>45483</v>
      </c>
      <c r="F40" s="53" t="s">
        <v>393</v>
      </c>
      <c r="G40" s="189">
        <v>300</v>
      </c>
      <c r="H40" s="572"/>
      <c r="I40" s="270">
        <v>50</v>
      </c>
    </row>
    <row r="41" spans="1:10">
      <c r="B41" s="1047" t="s">
        <v>432</v>
      </c>
      <c r="C41" s="47">
        <v>1500</v>
      </c>
      <c r="D41" s="113" t="s">
        <v>433</v>
      </c>
      <c r="E41" s="254">
        <v>45491</v>
      </c>
      <c r="F41" s="53" t="s">
        <v>393</v>
      </c>
      <c r="G41" s="189">
        <v>300</v>
      </c>
      <c r="H41" s="572"/>
      <c r="I41" s="270">
        <v>50</v>
      </c>
    </row>
    <row r="42" spans="1:10">
      <c r="B42" s="1047" t="s">
        <v>429</v>
      </c>
      <c r="C42" s="47">
        <v>2000</v>
      </c>
      <c r="D42" s="113" t="s">
        <v>1275</v>
      </c>
      <c r="E42" s="254">
        <v>45497</v>
      </c>
      <c r="F42" s="53" t="s">
        <v>393</v>
      </c>
      <c r="G42" s="189">
        <v>300</v>
      </c>
      <c r="H42" s="572"/>
      <c r="I42" s="270">
        <v>50</v>
      </c>
    </row>
    <row r="43" spans="1:10">
      <c r="B43" s="47"/>
      <c r="C43" s="47"/>
      <c r="E43" s="254">
        <v>45504</v>
      </c>
      <c r="F43" s="53" t="s">
        <v>393</v>
      </c>
      <c r="G43" s="189">
        <v>300</v>
      </c>
      <c r="H43" s="572"/>
      <c r="I43" s="270">
        <v>50</v>
      </c>
      <c r="J43" s="189">
        <v>2000</v>
      </c>
    </row>
    <row r="44" spans="1:10">
      <c r="A44" s="577">
        <v>45505</v>
      </c>
      <c r="B44" s="110" t="s">
        <v>59</v>
      </c>
      <c r="C44" s="11">
        <f>SUM(C39:C43)</f>
        <v>3990</v>
      </c>
      <c r="D44" s="326" t="s">
        <v>585</v>
      </c>
      <c r="E44" s="218"/>
      <c r="F44" s="31"/>
      <c r="G44" s="256">
        <f>SUM(G39:G43)</f>
        <v>1500</v>
      </c>
      <c r="H44" s="572"/>
      <c r="I44" s="273">
        <f>SUM(I39:I43)</f>
        <v>250</v>
      </c>
      <c r="J44" s="272">
        <f>+J43+I44</f>
        <v>2250</v>
      </c>
    </row>
    <row r="45" spans="1:10">
      <c r="E45" s="254">
        <v>45511</v>
      </c>
      <c r="F45" s="53" t="s">
        <v>393</v>
      </c>
      <c r="G45" s="189">
        <v>300</v>
      </c>
      <c r="H45" s="572"/>
      <c r="I45" s="270">
        <v>50</v>
      </c>
    </row>
    <row r="46" spans="1:10">
      <c r="E46" s="254"/>
      <c r="G46" s="189"/>
      <c r="H46" s="572"/>
      <c r="I46" s="270"/>
    </row>
    <row r="47" spans="1:10">
      <c r="E47" s="254"/>
      <c r="G47" s="189"/>
      <c r="H47" s="572"/>
      <c r="I47" s="270"/>
    </row>
    <row r="48" spans="1:10">
      <c r="E48" s="254"/>
      <c r="G48" s="189"/>
      <c r="H48" s="572"/>
      <c r="I48" s="270"/>
    </row>
    <row r="49" spans="5:9">
      <c r="E49" s="254"/>
      <c r="G49" s="189"/>
      <c r="H49" s="572"/>
      <c r="I49" s="270"/>
    </row>
    <row r="50" spans="5:9">
      <c r="E50" s="254"/>
      <c r="G50" s="189"/>
      <c r="H50" s="572"/>
      <c r="I50" s="270"/>
    </row>
    <row r="51" spans="5:9">
      <c r="E51" s="254"/>
      <c r="G51" s="189"/>
      <c r="H51" s="572"/>
      <c r="I51" s="270"/>
    </row>
    <row r="52" spans="5:9">
      <c r="E52" s="254"/>
      <c r="G52" s="189"/>
      <c r="H52" s="572"/>
      <c r="I52" s="270"/>
    </row>
    <row r="53" spans="5:9">
      <c r="E53" s="254"/>
      <c r="G53" s="189"/>
      <c r="H53" s="572"/>
      <c r="I53" s="270"/>
    </row>
    <row r="54" spans="5:9">
      <c r="E54" s="254"/>
      <c r="G54" s="189"/>
      <c r="H54" s="572"/>
      <c r="I54" s="270"/>
    </row>
    <row r="55" spans="5:9">
      <c r="E55" s="254"/>
      <c r="G55" s="189"/>
      <c r="H55" s="572"/>
      <c r="I55" s="270"/>
    </row>
    <row r="56" spans="5:9">
      <c r="E56" s="254"/>
      <c r="G56" s="189"/>
      <c r="H56" s="572"/>
      <c r="I56" s="270"/>
    </row>
    <row r="57" spans="5:9">
      <c r="E57" s="254"/>
      <c r="G57" s="189"/>
      <c r="H57" s="572"/>
      <c r="I57" s="270"/>
    </row>
    <row r="58" spans="5:9">
      <c r="E58" s="254"/>
      <c r="G58" s="189"/>
      <c r="H58" s="572"/>
      <c r="I58" s="270"/>
    </row>
    <row r="59" spans="5:9">
      <c r="E59" s="254"/>
      <c r="G59" s="189"/>
      <c r="H59" s="572"/>
      <c r="I59" s="270"/>
    </row>
    <row r="60" spans="5:9">
      <c r="E60" s="254"/>
      <c r="G60" s="189"/>
      <c r="H60" s="572"/>
      <c r="I60" s="270"/>
    </row>
    <row r="61" spans="5:9">
      <c r="E61" s="254"/>
      <c r="G61" s="189"/>
      <c r="H61" s="572"/>
      <c r="I61" s="270"/>
    </row>
    <row r="62" spans="5:9">
      <c r="E62" s="254"/>
      <c r="G62" s="189"/>
      <c r="H62" s="572"/>
      <c r="I62" s="270"/>
    </row>
    <row r="63" spans="5:9">
      <c r="E63" s="254"/>
      <c r="G63" s="189"/>
      <c r="H63" s="572"/>
      <c r="I63" s="270"/>
    </row>
    <row r="64" spans="5:9">
      <c r="E64" s="254"/>
      <c r="G64" s="189"/>
      <c r="H64" s="572"/>
      <c r="I64" s="270"/>
    </row>
    <row r="65" spans="5:9">
      <c r="E65" s="254"/>
      <c r="G65" s="189"/>
      <c r="H65" s="572"/>
      <c r="I65" s="270"/>
    </row>
    <row r="66" spans="5:9">
      <c r="E66" s="254"/>
      <c r="G66" s="189"/>
      <c r="H66" s="572"/>
      <c r="I66" s="270"/>
    </row>
    <row r="67" spans="5:9">
      <c r="G67" s="189"/>
      <c r="H67" s="572"/>
      <c r="I67" s="270"/>
    </row>
    <row r="68" spans="5:9">
      <c r="G68" s="189"/>
      <c r="H68" s="572"/>
      <c r="I68" s="270"/>
    </row>
    <row r="69" spans="5:9">
      <c r="G69" s="189"/>
      <c r="H69" s="572"/>
      <c r="I69" s="270"/>
    </row>
    <row r="70" spans="5:9">
      <c r="G70" s="189"/>
      <c r="H70" s="572"/>
      <c r="I70" s="270"/>
    </row>
    <row r="71" spans="5:9">
      <c r="G71" s="189"/>
      <c r="H71" s="572"/>
      <c r="I71" s="270"/>
    </row>
    <row r="72" spans="5:9">
      <c r="G72" s="189"/>
      <c r="H72" s="572"/>
      <c r="I72" s="270"/>
    </row>
    <row r="73" spans="5:9">
      <c r="G73" s="189"/>
      <c r="H73" s="572"/>
      <c r="I73" s="270"/>
    </row>
    <row r="74" spans="5:9">
      <c r="G74" s="189"/>
      <c r="H74" s="572"/>
      <c r="I74" s="270"/>
    </row>
    <row r="75" spans="5:9">
      <c r="G75" s="189"/>
      <c r="H75" s="572"/>
      <c r="I75" s="270"/>
    </row>
    <row r="76" spans="5:9">
      <c r="G76" s="189"/>
      <c r="H76" s="572"/>
      <c r="I76" s="270"/>
    </row>
    <row r="77" spans="5:9">
      <c r="G77" s="189"/>
      <c r="H77" s="572"/>
      <c r="I77" s="270"/>
    </row>
    <row r="78" spans="5:9">
      <c r="G78" s="189"/>
      <c r="H78" s="572"/>
      <c r="I78" s="270"/>
    </row>
    <row r="79" spans="5:9">
      <c r="G79" s="189"/>
      <c r="H79" s="572"/>
      <c r="I79" s="270"/>
    </row>
    <row r="80" spans="5:9">
      <c r="G80" s="189"/>
      <c r="H80" s="572"/>
      <c r="I80" s="270"/>
    </row>
    <row r="81" spans="7:9">
      <c r="G81" s="189"/>
      <c r="H81" s="572"/>
      <c r="I81" s="270"/>
    </row>
    <row r="82" spans="7:9">
      <c r="G82" s="189"/>
      <c r="H82" s="572"/>
      <c r="I82" s="270"/>
    </row>
    <row r="83" spans="7:9">
      <c r="G83" s="189"/>
      <c r="H83" s="572"/>
      <c r="I83" s="270"/>
    </row>
    <row r="84" spans="7:9">
      <c r="G84" s="189"/>
      <c r="H84" s="572"/>
      <c r="I84" s="270"/>
    </row>
    <row r="85" spans="7:9">
      <c r="G85" s="189"/>
      <c r="H85" s="572"/>
      <c r="I85" s="270"/>
    </row>
  </sheetData>
  <mergeCells count="7">
    <mergeCell ref="E1:G1"/>
    <mergeCell ref="E38:G38"/>
    <mergeCell ref="E6:G6"/>
    <mergeCell ref="E12:G12"/>
    <mergeCell ref="E19:G19"/>
    <mergeCell ref="E25:G25"/>
    <mergeCell ref="E32:G32"/>
  </mergeCells>
  <pageMargins left="0.70866141732283472" right="0.70866141732283472" top="0.74803149606299213" bottom="0.74803149606299213" header="0.31496062992125984" footer="0.31496062992125984"/>
  <pageSetup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FE36"/>
  <sheetViews>
    <sheetView topLeftCell="BX1" workbookViewId="0">
      <selection activeCell="CH29" sqref="CH29:CH30"/>
    </sheetView>
  </sheetViews>
  <sheetFormatPr defaultRowHeight="14.5"/>
  <cols>
    <col min="1" max="1" width="3" bestFit="1" customWidth="1"/>
    <col min="2" max="3" width="4.54296875" bestFit="1" customWidth="1"/>
    <col min="4" max="4" width="3" bestFit="1" customWidth="1"/>
    <col min="5" max="6" width="4.54296875" bestFit="1" customWidth="1"/>
    <col min="7" max="7" width="3" bestFit="1" customWidth="1"/>
    <col min="8" max="9" width="4.54296875" bestFit="1" customWidth="1"/>
    <col min="10" max="10" width="4" bestFit="1" customWidth="1"/>
    <col min="11" max="13" width="4.54296875" bestFit="1" customWidth="1"/>
    <col min="14" max="14" width="3" bestFit="1" customWidth="1"/>
    <col min="15" max="15" width="4.7265625" bestFit="1" customWidth="1"/>
    <col min="16" max="19" width="4.54296875" bestFit="1" customWidth="1"/>
    <col min="20" max="20" width="4.453125" bestFit="1" customWidth="1"/>
    <col min="21" max="21" width="4.54296875" bestFit="1" customWidth="1"/>
    <col min="22" max="22" width="3" bestFit="1" customWidth="1"/>
    <col min="23" max="25" width="4.54296875" bestFit="1" customWidth="1"/>
    <col min="26" max="26" width="5.453125" customWidth="1"/>
    <col min="27" max="27" width="4.54296875" bestFit="1" customWidth="1"/>
    <col min="28" max="28" width="4.453125" bestFit="1" customWidth="1"/>
    <col min="29" max="29" width="4.54296875" bestFit="1" customWidth="1"/>
    <col min="30" max="30" width="3" bestFit="1" customWidth="1"/>
    <col min="31" max="35" width="4.54296875" bestFit="1" customWidth="1"/>
    <col min="36" max="36" width="4.453125" bestFit="1" customWidth="1"/>
    <col min="37" max="37" width="4.54296875" bestFit="1" customWidth="1"/>
    <col min="38" max="38" width="3" bestFit="1" customWidth="1"/>
    <col min="39" max="40" width="4.54296875" bestFit="1" customWidth="1"/>
    <col min="41" max="41" width="3.54296875" bestFit="1" customWidth="1"/>
    <col min="42" max="45" width="4.54296875" bestFit="1" customWidth="1"/>
    <col min="46" max="46" width="3" bestFit="1" customWidth="1"/>
    <col min="47" max="47" width="4.54296875" customWidth="1"/>
    <col min="48" max="48" width="4.54296875" bestFit="1" customWidth="1"/>
    <col min="49" max="49" width="4.453125" customWidth="1"/>
    <col min="50" max="50" width="4.26953125" customWidth="1"/>
    <col min="51" max="51" width="4.26953125" bestFit="1" customWidth="1"/>
    <col min="52" max="52" width="4.1796875" customWidth="1"/>
    <col min="53" max="53" width="4.54296875" bestFit="1" customWidth="1"/>
    <col min="54" max="54" width="3" bestFit="1" customWidth="1"/>
    <col min="55" max="55" width="4.54296875" customWidth="1"/>
    <col min="56" max="56" width="4.54296875" bestFit="1" customWidth="1"/>
    <col min="57" max="57" width="4.453125" customWidth="1"/>
    <col min="58" max="58" width="4.26953125" customWidth="1"/>
    <col min="59" max="59" width="4.26953125" bestFit="1" customWidth="1"/>
    <col min="60" max="60" width="4.1796875" customWidth="1"/>
    <col min="61" max="61" width="4.54296875" customWidth="1"/>
    <col min="62" max="62" width="4.26953125" customWidth="1"/>
    <col min="63" max="63" width="4.54296875" bestFit="1" customWidth="1"/>
    <col min="64" max="64" width="3" bestFit="1" customWidth="1"/>
    <col min="65" max="65" width="4.54296875" customWidth="1"/>
    <col min="66" max="66" width="4.54296875" bestFit="1" customWidth="1"/>
    <col min="67" max="67" width="4.453125" customWidth="1"/>
    <col min="68" max="68" width="4.26953125" customWidth="1"/>
    <col min="69" max="69" width="4.26953125" bestFit="1" customWidth="1"/>
    <col min="70" max="70" width="4.1796875" customWidth="1"/>
    <col min="71" max="71" width="4.54296875" customWidth="1"/>
    <col min="72" max="72" width="4.26953125" customWidth="1"/>
    <col min="73" max="73" width="4.54296875" bestFit="1" customWidth="1"/>
    <col min="74" max="74" width="3" bestFit="1" customWidth="1"/>
    <col min="75" max="75" width="4.54296875" customWidth="1"/>
    <col min="76" max="76" width="4.54296875" bestFit="1" customWidth="1"/>
    <col min="77" max="77" width="4.453125" customWidth="1"/>
    <col min="78" max="78" width="4.26953125" customWidth="1"/>
    <col min="79" max="79" width="4.26953125" bestFit="1" customWidth="1"/>
    <col min="80" max="80" width="4.1796875" customWidth="1"/>
    <col min="81" max="81" width="4.54296875" customWidth="1"/>
    <col min="82" max="83" width="4.54296875" bestFit="1" customWidth="1"/>
    <col min="84" max="84" width="3" bestFit="1" customWidth="1"/>
    <col min="85" max="86" width="4.54296875" customWidth="1"/>
    <col min="87" max="87" width="4.453125" customWidth="1"/>
    <col min="88" max="88" width="4.26953125" customWidth="1"/>
    <col min="89" max="89" width="4.26953125" bestFit="1" customWidth="1"/>
    <col min="90" max="90" width="4.54296875" bestFit="1" customWidth="1"/>
    <col min="91" max="92" width="4.54296875" customWidth="1"/>
    <col min="93" max="93" width="4.54296875" bestFit="1" customWidth="1"/>
    <col min="94" max="94" width="3" bestFit="1" customWidth="1"/>
    <col min="95" max="95" width="4.54296875" customWidth="1"/>
    <col min="96" max="96" width="5" customWidth="1"/>
    <col min="97" max="97" width="4.453125" customWidth="1"/>
    <col min="98" max="98" width="4.26953125" customWidth="1"/>
    <col min="99" max="99" width="4.26953125" bestFit="1" customWidth="1"/>
    <col min="100" max="100" width="4.1796875" customWidth="1"/>
    <col min="101" max="102" width="4.54296875" customWidth="1"/>
    <col min="103" max="103" width="4.54296875" bestFit="1" customWidth="1"/>
    <col min="104" max="104" width="3" bestFit="1" customWidth="1"/>
    <col min="105" max="105" width="4.54296875" customWidth="1"/>
    <col min="106" max="106" width="4.26953125" customWidth="1"/>
    <col min="107" max="107" width="4.453125" customWidth="1"/>
    <col min="108" max="108" width="4.26953125" customWidth="1"/>
    <col min="109" max="109" width="4.26953125" bestFit="1" customWidth="1"/>
    <col min="110" max="110" width="4.54296875" bestFit="1" customWidth="1"/>
    <col min="111" max="112" width="4.54296875" customWidth="1"/>
    <col min="113" max="113" width="4.54296875" bestFit="1" customWidth="1"/>
    <col min="114" max="114" width="3" bestFit="1" customWidth="1"/>
    <col min="115" max="115" width="4.54296875" customWidth="1"/>
    <col min="116" max="116" width="5" customWidth="1"/>
    <col min="117" max="117" width="4.453125" customWidth="1"/>
    <col min="118" max="118" width="4.26953125" customWidth="1"/>
    <col min="119" max="119" width="4.26953125" bestFit="1" customWidth="1"/>
    <col min="120" max="122" width="4.54296875" customWidth="1"/>
    <col min="123" max="123" width="4.54296875" bestFit="1" customWidth="1"/>
    <col min="124" max="124" width="3" bestFit="1" customWidth="1"/>
    <col min="125" max="125" width="4.54296875" customWidth="1"/>
    <col min="126" max="126" width="5" customWidth="1"/>
    <col min="127" max="127" width="4.453125" customWidth="1"/>
    <col min="128" max="128" width="4.26953125" customWidth="1"/>
    <col min="129" max="129" width="4.26953125" bestFit="1" customWidth="1"/>
    <col min="130" max="130" width="4.7265625" customWidth="1"/>
    <col min="131" max="132" width="4.54296875" customWidth="1"/>
    <col min="133" max="133" width="4.54296875" bestFit="1" customWidth="1"/>
    <col min="134" max="134" width="3" bestFit="1" customWidth="1"/>
    <col min="135" max="135" width="4.54296875" customWidth="1"/>
    <col min="136" max="136" width="5" customWidth="1"/>
    <col min="137" max="137" width="4.453125" customWidth="1"/>
    <col min="138" max="138" width="4.26953125" customWidth="1"/>
    <col min="139" max="139" width="4.26953125" bestFit="1" customWidth="1"/>
    <col min="140" max="140" width="4.1796875" customWidth="1"/>
    <col min="141" max="141" width="4.54296875" customWidth="1"/>
    <col min="142" max="142" width="4.54296875" bestFit="1" customWidth="1"/>
    <col min="143" max="143" width="3" bestFit="1" customWidth="1"/>
    <col min="144" max="144" width="3.54296875" bestFit="1" customWidth="1"/>
    <col min="145" max="145" width="4.54296875" bestFit="1" customWidth="1"/>
    <col min="146" max="147" width="3.54296875" bestFit="1" customWidth="1"/>
    <col min="148" max="148" width="4.26953125" bestFit="1" customWidth="1"/>
    <col min="149" max="149" width="3.54296875" bestFit="1" customWidth="1"/>
    <col min="150" max="150" width="4.54296875" customWidth="1"/>
    <col min="151" max="151" width="4.1796875" bestFit="1" customWidth="1"/>
    <col min="152" max="152" width="3" bestFit="1" customWidth="1"/>
    <col min="153" max="153" width="3.54296875" bestFit="1" customWidth="1"/>
    <col min="154" max="154" width="4.54296875" bestFit="1" customWidth="1"/>
    <col min="155" max="156" width="3.54296875" bestFit="1" customWidth="1"/>
    <col min="157" max="157" width="4.26953125" bestFit="1" customWidth="1"/>
    <col min="158" max="158" width="3.54296875" bestFit="1" customWidth="1"/>
    <col min="159" max="160" width="4.54296875" customWidth="1"/>
    <col min="161" max="161" width="4.1796875" bestFit="1" customWidth="1"/>
  </cols>
  <sheetData>
    <row r="1" spans="1:161">
      <c r="A1" s="1101" t="s">
        <v>0</v>
      </c>
      <c r="B1" s="1101"/>
      <c r="C1" s="1101"/>
      <c r="D1" s="1101" t="s">
        <v>1</v>
      </c>
      <c r="E1" s="1101"/>
      <c r="F1" s="1101"/>
      <c r="G1" s="1101" t="s">
        <v>2</v>
      </c>
      <c r="H1" s="1101"/>
      <c r="I1" s="1101"/>
      <c r="J1" s="38"/>
      <c r="K1" s="38"/>
      <c r="L1" s="102"/>
      <c r="M1" s="102"/>
      <c r="N1" s="1101" t="s">
        <v>15</v>
      </c>
      <c r="O1" s="1101"/>
      <c r="P1" s="1101"/>
      <c r="Q1" s="437"/>
      <c r="R1" s="437"/>
      <c r="S1" s="437"/>
      <c r="T1" s="437"/>
      <c r="U1" s="437"/>
      <c r="V1" s="1101" t="s">
        <v>29</v>
      </c>
      <c r="W1" s="1101"/>
      <c r="X1" s="1101"/>
      <c r="Y1" s="300"/>
      <c r="Z1" s="300"/>
      <c r="AA1" s="300"/>
      <c r="AB1" s="105"/>
      <c r="AC1" s="300"/>
      <c r="AD1" s="1101" t="s">
        <v>30</v>
      </c>
      <c r="AE1" s="1101"/>
      <c r="AF1" s="1101"/>
      <c r="AG1" s="103"/>
      <c r="AH1" s="96"/>
      <c r="AI1" s="103"/>
      <c r="AJ1" s="105"/>
      <c r="AK1" s="103"/>
      <c r="AL1" s="1101" t="s">
        <v>183</v>
      </c>
      <c r="AM1" s="1101"/>
      <c r="AN1" s="1101"/>
      <c r="AO1" s="103"/>
      <c r="AP1" s="96"/>
      <c r="AQ1" s="103"/>
      <c r="AR1" s="105"/>
      <c r="AS1" s="103"/>
      <c r="AT1" s="1101" t="s">
        <v>420</v>
      </c>
      <c r="AU1" s="1101"/>
      <c r="AV1" s="1101"/>
      <c r="AW1" s="247"/>
      <c r="AX1" s="248"/>
      <c r="AY1" s="247"/>
      <c r="AZ1" s="105"/>
      <c r="BA1" s="247"/>
      <c r="BB1" s="1101" t="s">
        <v>596</v>
      </c>
      <c r="BC1" s="1101"/>
      <c r="BD1" s="1101"/>
      <c r="BE1" s="1101"/>
      <c r="BF1" s="1101"/>
      <c r="BG1" s="1101"/>
      <c r="BH1" s="1101"/>
      <c r="BI1" s="1101"/>
      <c r="BJ1" s="1101"/>
      <c r="BK1" s="1101"/>
      <c r="BL1" s="1101" t="s">
        <v>701</v>
      </c>
      <c r="BM1" s="1101"/>
      <c r="BN1" s="1101"/>
      <c r="BO1" s="1101"/>
      <c r="BP1" s="1101"/>
      <c r="BQ1" s="1101"/>
      <c r="BR1" s="1101"/>
      <c r="BS1" s="1101"/>
      <c r="BT1" s="1101"/>
      <c r="BU1" s="1101"/>
      <c r="BV1" s="1101" t="s">
        <v>703</v>
      </c>
      <c r="BW1" s="1101"/>
      <c r="BX1" s="1101"/>
      <c r="BY1" s="1101"/>
      <c r="BZ1" s="1101"/>
      <c r="CA1" s="1101"/>
      <c r="CB1" s="1101"/>
      <c r="CC1" s="1101"/>
      <c r="CD1" s="1101"/>
      <c r="CE1" s="1101"/>
      <c r="CF1" s="1101" t="s">
        <v>704</v>
      </c>
      <c r="CG1" s="1101"/>
      <c r="CH1" s="1101"/>
      <c r="CI1" s="1101"/>
      <c r="CJ1" s="1101"/>
      <c r="CK1" s="1101"/>
      <c r="CL1" s="1101"/>
      <c r="CM1" s="1101"/>
      <c r="CN1" s="1101"/>
      <c r="CO1" s="1101"/>
      <c r="CP1" s="1101" t="s">
        <v>706</v>
      </c>
      <c r="CQ1" s="1101"/>
      <c r="CR1" s="1101"/>
      <c r="CS1" s="1101"/>
      <c r="CT1" s="1101"/>
      <c r="CU1" s="1101"/>
      <c r="CV1" s="1101"/>
      <c r="CW1" s="1101"/>
      <c r="CX1" s="1101"/>
      <c r="CY1" s="1101"/>
      <c r="CZ1" s="1101" t="s">
        <v>707</v>
      </c>
      <c r="DA1" s="1101"/>
      <c r="DB1" s="1101"/>
      <c r="DC1" s="1101"/>
      <c r="DD1" s="1101"/>
      <c r="DE1" s="1101"/>
      <c r="DF1" s="1101"/>
      <c r="DG1" s="1101"/>
      <c r="DH1" s="1101"/>
      <c r="DI1" s="1101"/>
      <c r="DJ1" s="1101" t="s">
        <v>710</v>
      </c>
      <c r="DK1" s="1101"/>
      <c r="DL1" s="1101"/>
      <c r="DM1" s="1101"/>
      <c r="DN1" s="1101"/>
      <c r="DO1" s="1101"/>
      <c r="DP1" s="1101"/>
      <c r="DQ1" s="1101"/>
      <c r="DR1" s="1101"/>
      <c r="DS1" s="1101"/>
      <c r="DT1" s="1101" t="s">
        <v>713</v>
      </c>
      <c r="DU1" s="1101"/>
      <c r="DV1" s="1101"/>
      <c r="DW1" s="1101"/>
      <c r="DX1" s="1101"/>
      <c r="DY1" s="1101"/>
      <c r="DZ1" s="1101"/>
      <c r="EA1" s="1101"/>
      <c r="EB1" s="1101"/>
      <c r="EC1" s="1101"/>
      <c r="ED1" s="1101" t="s">
        <v>722</v>
      </c>
      <c r="EE1" s="1101"/>
      <c r="EF1" s="1101"/>
      <c r="EG1" s="1101"/>
      <c r="EH1" s="1101"/>
      <c r="EI1" s="1101"/>
      <c r="EJ1" s="1101"/>
      <c r="EK1" s="1101"/>
      <c r="EL1" s="1101"/>
      <c r="EM1" s="1101" t="s">
        <v>847</v>
      </c>
      <c r="EN1" s="1101"/>
      <c r="EO1" s="1101"/>
      <c r="EP1" s="1101"/>
      <c r="EQ1" s="1101"/>
      <c r="ER1" s="1101"/>
      <c r="ES1" s="1101"/>
      <c r="ET1" s="1101"/>
      <c r="EU1" s="1101"/>
      <c r="EV1" s="1101" t="s">
        <v>1117</v>
      </c>
      <c r="EW1" s="1101"/>
      <c r="EX1" s="1101"/>
      <c r="EY1" s="1101"/>
      <c r="EZ1" s="1101"/>
      <c r="FA1" s="1101"/>
      <c r="FB1" s="1101"/>
      <c r="FC1" s="1101"/>
      <c r="FD1" s="1101"/>
      <c r="FE1" s="1101"/>
    </row>
    <row r="2" spans="1:161">
      <c r="A2" s="248"/>
      <c r="B2" s="451" t="s">
        <v>16</v>
      </c>
      <c r="C2" s="452" t="s">
        <v>37</v>
      </c>
      <c r="D2" s="248"/>
      <c r="E2" s="460" t="s">
        <v>16</v>
      </c>
      <c r="F2" s="452" t="s">
        <v>37</v>
      </c>
      <c r="G2" s="248"/>
      <c r="H2" s="451" t="s">
        <v>16</v>
      </c>
      <c r="I2" s="452" t="s">
        <v>37</v>
      </c>
      <c r="J2" s="453" t="s">
        <v>86</v>
      </c>
      <c r="K2" s="454" t="s">
        <v>791</v>
      </c>
      <c r="L2" s="455" t="s">
        <v>136</v>
      </c>
      <c r="M2" s="450" t="s">
        <v>211</v>
      </c>
      <c r="N2" s="248"/>
      <c r="O2" s="451" t="s">
        <v>16</v>
      </c>
      <c r="P2" s="461" t="s">
        <v>37</v>
      </c>
      <c r="Q2" s="453" t="s">
        <v>86</v>
      </c>
      <c r="R2" s="454" t="s">
        <v>791</v>
      </c>
      <c r="S2" s="455" t="s">
        <v>136</v>
      </c>
      <c r="T2" s="456" t="s">
        <v>71</v>
      </c>
      <c r="U2" s="450" t="s">
        <v>211</v>
      </c>
      <c r="V2" s="248"/>
      <c r="W2" s="451" t="s">
        <v>16</v>
      </c>
      <c r="X2" s="452" t="s">
        <v>37</v>
      </c>
      <c r="Y2" s="453" t="s">
        <v>86</v>
      </c>
      <c r="Z2" s="454" t="s">
        <v>791</v>
      </c>
      <c r="AA2" s="455" t="s">
        <v>136</v>
      </c>
      <c r="AB2" s="456" t="s">
        <v>71</v>
      </c>
      <c r="AC2" s="450" t="s">
        <v>211</v>
      </c>
      <c r="AD2" s="248"/>
      <c r="AE2" s="451" t="s">
        <v>16</v>
      </c>
      <c r="AF2" s="452" t="s">
        <v>37</v>
      </c>
      <c r="AG2" s="453" t="s">
        <v>86</v>
      </c>
      <c r="AH2" s="454" t="s">
        <v>791</v>
      </c>
      <c r="AI2" s="455" t="s">
        <v>136</v>
      </c>
      <c r="AJ2" s="456" t="s">
        <v>71</v>
      </c>
      <c r="AK2" s="450" t="s">
        <v>211</v>
      </c>
      <c r="AL2" s="96"/>
      <c r="AM2" s="451" t="s">
        <v>16</v>
      </c>
      <c r="AN2" s="452" t="s">
        <v>37</v>
      </c>
      <c r="AO2" s="453" t="s">
        <v>86</v>
      </c>
      <c r="AP2" s="454" t="s">
        <v>791</v>
      </c>
      <c r="AQ2" s="455" t="s">
        <v>136</v>
      </c>
      <c r="AR2" s="456" t="s">
        <v>71</v>
      </c>
      <c r="AS2" s="450" t="s">
        <v>211</v>
      </c>
      <c r="AT2" s="248"/>
      <c r="AU2" s="451" t="s">
        <v>16</v>
      </c>
      <c r="AV2" s="452" t="s">
        <v>37</v>
      </c>
      <c r="AW2" s="453" t="s">
        <v>86</v>
      </c>
      <c r="AX2" s="454" t="s">
        <v>791</v>
      </c>
      <c r="AY2" s="455" t="s">
        <v>136</v>
      </c>
      <c r="AZ2" s="456" t="s">
        <v>71</v>
      </c>
      <c r="BA2" s="450" t="s">
        <v>211</v>
      </c>
      <c r="BB2" s="2"/>
      <c r="BC2" s="451" t="s">
        <v>16</v>
      </c>
      <c r="BD2" s="452" t="s">
        <v>37</v>
      </c>
      <c r="BE2" s="453" t="s">
        <v>86</v>
      </c>
      <c r="BF2" s="454" t="s">
        <v>791</v>
      </c>
      <c r="BG2" s="455" t="s">
        <v>136</v>
      </c>
      <c r="BH2" s="456" t="s">
        <v>71</v>
      </c>
      <c r="BI2" s="545" t="s">
        <v>129</v>
      </c>
      <c r="BJ2" s="596" t="s">
        <v>790</v>
      </c>
      <c r="BK2" s="450" t="s">
        <v>211</v>
      </c>
      <c r="BL2" s="2"/>
      <c r="BM2" s="451" t="s">
        <v>16</v>
      </c>
      <c r="BN2" s="452" t="s">
        <v>37</v>
      </c>
      <c r="BO2" s="453" t="s">
        <v>86</v>
      </c>
      <c r="BP2" s="454" t="s">
        <v>791</v>
      </c>
      <c r="BQ2" s="455" t="s">
        <v>136</v>
      </c>
      <c r="BR2" s="456" t="s">
        <v>71</v>
      </c>
      <c r="BS2" s="545" t="s">
        <v>129</v>
      </c>
      <c r="BT2" s="596" t="s">
        <v>790</v>
      </c>
      <c r="BU2" s="450" t="s">
        <v>211</v>
      </c>
      <c r="BV2" s="2"/>
      <c r="BW2" s="451" t="s">
        <v>16</v>
      </c>
      <c r="BX2" s="452" t="s">
        <v>37</v>
      </c>
      <c r="BY2" s="453" t="s">
        <v>86</v>
      </c>
      <c r="BZ2" s="454" t="s">
        <v>791</v>
      </c>
      <c r="CA2" s="455" t="s">
        <v>136</v>
      </c>
      <c r="CB2" s="456" t="s">
        <v>71</v>
      </c>
      <c r="CC2" s="545" t="s">
        <v>129</v>
      </c>
      <c r="CD2" s="596" t="s">
        <v>790</v>
      </c>
      <c r="CE2" s="450" t="s">
        <v>211</v>
      </c>
      <c r="CF2" s="2"/>
      <c r="CG2" s="451" t="s">
        <v>16</v>
      </c>
      <c r="CH2" s="452" t="s">
        <v>37</v>
      </c>
      <c r="CI2" s="453" t="s">
        <v>86</v>
      </c>
      <c r="CJ2" s="454" t="s">
        <v>791</v>
      </c>
      <c r="CK2" s="455" t="s">
        <v>136</v>
      </c>
      <c r="CL2" s="456" t="s">
        <v>71</v>
      </c>
      <c r="CM2" s="545" t="s">
        <v>129</v>
      </c>
      <c r="CN2" s="596" t="s">
        <v>790</v>
      </c>
      <c r="CO2" s="450" t="s">
        <v>211</v>
      </c>
      <c r="CP2" s="2"/>
      <c r="CQ2" s="451" t="s">
        <v>16</v>
      </c>
      <c r="CR2" s="452" t="s">
        <v>37</v>
      </c>
      <c r="CS2" s="453" t="s">
        <v>86</v>
      </c>
      <c r="CT2" s="454" t="s">
        <v>791</v>
      </c>
      <c r="CU2" s="455" t="s">
        <v>136</v>
      </c>
      <c r="CV2" s="456" t="s">
        <v>71</v>
      </c>
      <c r="CW2" s="545" t="s">
        <v>129</v>
      </c>
      <c r="CX2" s="596" t="s">
        <v>790</v>
      </c>
      <c r="CY2" s="450" t="s">
        <v>211</v>
      </c>
      <c r="CZ2" s="2"/>
      <c r="DA2" s="451" t="s">
        <v>16</v>
      </c>
      <c r="DB2" s="452" t="s">
        <v>37</v>
      </c>
      <c r="DC2" s="453" t="s">
        <v>86</v>
      </c>
      <c r="DD2" s="454" t="s">
        <v>791</v>
      </c>
      <c r="DE2" s="455" t="s">
        <v>136</v>
      </c>
      <c r="DF2" s="456" t="s">
        <v>71</v>
      </c>
      <c r="DG2" s="545" t="s">
        <v>129</v>
      </c>
      <c r="DH2" s="596" t="s">
        <v>790</v>
      </c>
      <c r="DI2" s="450" t="s">
        <v>211</v>
      </c>
      <c r="DJ2" s="2"/>
      <c r="DK2" s="451" t="s">
        <v>16</v>
      </c>
      <c r="DL2" s="452" t="s">
        <v>37</v>
      </c>
      <c r="DM2" s="453" t="s">
        <v>86</v>
      </c>
      <c r="DN2" s="454" t="s">
        <v>791</v>
      </c>
      <c r="DO2" s="455" t="s">
        <v>136</v>
      </c>
      <c r="DP2" s="456" t="s">
        <v>71</v>
      </c>
      <c r="DQ2" s="545" t="s">
        <v>129</v>
      </c>
      <c r="DR2" s="596" t="s">
        <v>790</v>
      </c>
      <c r="DS2" s="450" t="s">
        <v>211</v>
      </c>
      <c r="DT2" s="2"/>
      <c r="DU2" s="451" t="s">
        <v>16</v>
      </c>
      <c r="DV2" s="452" t="s">
        <v>37</v>
      </c>
      <c r="DW2" s="453" t="s">
        <v>86</v>
      </c>
      <c r="DX2" s="454" t="s">
        <v>791</v>
      </c>
      <c r="DY2" s="455" t="s">
        <v>136</v>
      </c>
      <c r="DZ2" s="456" t="s">
        <v>71</v>
      </c>
      <c r="EA2" s="545" t="s">
        <v>129</v>
      </c>
      <c r="EB2" s="596" t="s">
        <v>790</v>
      </c>
      <c r="EC2" s="450" t="s">
        <v>211</v>
      </c>
      <c r="ED2" s="2"/>
      <c r="EE2" s="451" t="s">
        <v>16</v>
      </c>
      <c r="EF2" s="452" t="s">
        <v>37</v>
      </c>
      <c r="EG2" s="453" t="s">
        <v>86</v>
      </c>
      <c r="EH2" s="454" t="s">
        <v>791</v>
      </c>
      <c r="EI2" s="455" t="s">
        <v>136</v>
      </c>
      <c r="EJ2" s="456" t="s">
        <v>71</v>
      </c>
      <c r="EK2" s="596" t="s">
        <v>790</v>
      </c>
      <c r="EL2" s="450" t="s">
        <v>211</v>
      </c>
      <c r="EM2" s="2"/>
      <c r="EN2" s="451" t="s">
        <v>16</v>
      </c>
      <c r="EO2" s="452" t="s">
        <v>37</v>
      </c>
      <c r="EP2" s="453" t="s">
        <v>86</v>
      </c>
      <c r="EQ2" s="454" t="s">
        <v>791</v>
      </c>
      <c r="ER2" s="455" t="s">
        <v>136</v>
      </c>
      <c r="ES2" s="456" t="s">
        <v>71</v>
      </c>
      <c r="ET2" s="596" t="s">
        <v>790</v>
      </c>
      <c r="EU2" s="450" t="s">
        <v>211</v>
      </c>
      <c r="EV2" s="2"/>
      <c r="EW2" s="451" t="s">
        <v>16</v>
      </c>
      <c r="EX2" s="452" t="s">
        <v>37</v>
      </c>
      <c r="EY2" s="453" t="s">
        <v>86</v>
      </c>
      <c r="EZ2" s="454" t="s">
        <v>791</v>
      </c>
      <c r="FA2" s="455" t="s">
        <v>136</v>
      </c>
      <c r="FB2" s="456" t="s">
        <v>71</v>
      </c>
      <c r="FC2" s="545" t="s">
        <v>129</v>
      </c>
      <c r="FD2" s="596" t="s">
        <v>790</v>
      </c>
      <c r="FE2" s="450" t="s">
        <v>211</v>
      </c>
    </row>
    <row r="3" spans="1:161">
      <c r="A3" s="462"/>
      <c r="B3" s="458"/>
      <c r="C3" s="458"/>
      <c r="D3" s="457"/>
      <c r="E3" s="459"/>
      <c r="F3" s="458"/>
      <c r="G3" s="457"/>
      <c r="H3" s="458"/>
      <c r="I3" s="458"/>
      <c r="J3" s="458"/>
      <c r="K3" s="458"/>
      <c r="L3" s="458"/>
      <c r="M3" s="458"/>
      <c r="N3" s="457"/>
      <c r="O3" s="458"/>
      <c r="P3" s="459"/>
      <c r="Q3" s="458"/>
      <c r="R3" s="458"/>
      <c r="S3" s="458"/>
      <c r="T3" s="458"/>
      <c r="U3" s="458"/>
      <c r="V3" s="457"/>
      <c r="W3" s="458"/>
      <c r="X3" s="458"/>
      <c r="Y3" s="458"/>
      <c r="Z3" s="458"/>
      <c r="AA3" s="458"/>
      <c r="AB3" s="458"/>
      <c r="AC3" s="458"/>
      <c r="AD3" s="457"/>
      <c r="AE3" s="458"/>
      <c r="AF3" s="458"/>
      <c r="AG3" s="458"/>
      <c r="AH3" s="458"/>
      <c r="AI3" s="458"/>
      <c r="AJ3" s="458"/>
      <c r="AK3" s="458"/>
      <c r="AL3" s="457"/>
      <c r="AM3" s="458"/>
      <c r="AN3" s="459"/>
      <c r="AO3" s="458"/>
      <c r="AP3" s="458"/>
      <c r="AQ3" s="458"/>
      <c r="AR3" s="458"/>
      <c r="AS3" s="458"/>
      <c r="AT3" s="457"/>
      <c r="AU3" s="458"/>
      <c r="AV3" s="459"/>
      <c r="AW3" s="458"/>
      <c r="AX3" s="458"/>
      <c r="AY3" s="458"/>
      <c r="AZ3" s="458"/>
      <c r="BA3" s="458"/>
      <c r="BB3" s="457"/>
      <c r="BC3" s="458"/>
      <c r="BD3" s="459"/>
      <c r="BE3" s="458"/>
      <c r="BF3" s="458"/>
      <c r="BG3" s="458"/>
      <c r="BH3" s="458"/>
      <c r="BI3" s="458"/>
      <c r="BJ3" s="458"/>
      <c r="BK3" s="458"/>
      <c r="BL3" s="457"/>
      <c r="BM3" s="458"/>
      <c r="BN3" s="459"/>
      <c r="BO3" s="458"/>
      <c r="BP3" s="458"/>
      <c r="BQ3" s="458"/>
      <c r="BR3" s="458"/>
      <c r="BS3" s="458"/>
      <c r="BT3" s="458"/>
      <c r="BU3" s="458"/>
      <c r="BV3" s="457"/>
      <c r="BW3" s="458"/>
      <c r="BX3" s="459"/>
      <c r="BY3" s="458"/>
      <c r="BZ3" s="458"/>
      <c r="CA3" s="458"/>
      <c r="CB3" s="458"/>
      <c r="CC3" s="458"/>
      <c r="CD3" s="458"/>
      <c r="CE3" s="458"/>
      <c r="CF3" s="457"/>
      <c r="CG3" s="458"/>
      <c r="CH3" s="459"/>
      <c r="CI3" s="458"/>
      <c r="CJ3" s="458"/>
      <c r="CK3" s="458"/>
      <c r="CL3" s="458"/>
      <c r="CM3" s="458"/>
      <c r="CN3" s="458"/>
      <c r="CO3" s="458"/>
      <c r="CP3" s="457"/>
      <c r="CQ3" s="458"/>
      <c r="CR3" s="459"/>
      <c r="CS3" s="458"/>
      <c r="CT3" s="458"/>
      <c r="CU3" s="458"/>
      <c r="CV3" s="458"/>
      <c r="CW3" s="458"/>
      <c r="CX3" s="458"/>
      <c r="CY3" s="458"/>
      <c r="CZ3" s="457"/>
      <c r="DA3" s="458"/>
      <c r="DB3" s="459"/>
      <c r="DC3" s="458"/>
      <c r="DD3" s="458"/>
      <c r="DE3" s="458"/>
      <c r="DF3" s="458"/>
      <c r="DG3" s="458"/>
      <c r="DH3" s="458"/>
      <c r="DI3" s="458"/>
      <c r="DJ3" s="457"/>
      <c r="DK3" s="458"/>
      <c r="DL3" s="459"/>
      <c r="DM3" s="458"/>
      <c r="DN3" s="458"/>
      <c r="DO3" s="458"/>
      <c r="DP3" s="458"/>
      <c r="DQ3" s="458"/>
      <c r="DR3" s="458"/>
      <c r="DS3" s="458"/>
      <c r="DT3" s="457"/>
      <c r="DU3" s="458"/>
      <c r="DV3" s="459"/>
      <c r="DW3" s="458"/>
      <c r="DX3" s="458"/>
      <c r="DY3" s="887"/>
      <c r="DZ3" s="458"/>
      <c r="EA3" s="458"/>
      <c r="EB3" s="458"/>
      <c r="EC3" s="458"/>
      <c r="ED3" s="457"/>
      <c r="EE3" s="458"/>
      <c r="EF3" s="459"/>
      <c r="EG3" s="458"/>
      <c r="EH3" s="458"/>
      <c r="EI3" s="458"/>
      <c r="EJ3" s="458"/>
      <c r="EK3" s="458"/>
      <c r="EL3" s="458"/>
      <c r="EM3" s="457"/>
      <c r="EN3" s="458"/>
      <c r="EO3" s="459"/>
      <c r="EP3" s="458"/>
      <c r="EQ3" s="458"/>
      <c r="ER3" s="458"/>
      <c r="ES3" s="458"/>
      <c r="ET3" s="458"/>
      <c r="EU3" s="458"/>
      <c r="EV3" s="457"/>
      <c r="EW3" s="458"/>
      <c r="EX3" s="459"/>
      <c r="EY3" s="458"/>
      <c r="EZ3" s="458"/>
      <c r="FA3" s="458"/>
      <c r="FB3" s="458"/>
      <c r="FC3" s="458"/>
      <c r="FD3" s="458"/>
      <c r="FE3" s="458"/>
    </row>
    <row r="4" spans="1:161">
      <c r="A4" s="721">
        <v>1</v>
      </c>
      <c r="B4" s="717"/>
      <c r="C4" s="717"/>
      <c r="D4" s="721">
        <v>1</v>
      </c>
      <c r="E4" s="719"/>
      <c r="F4" s="768">
        <v>1</v>
      </c>
      <c r="G4" s="721">
        <v>1</v>
      </c>
      <c r="H4" s="778">
        <v>1</v>
      </c>
      <c r="I4" s="768">
        <v>1</v>
      </c>
      <c r="J4" s="717"/>
      <c r="K4" s="717"/>
      <c r="L4" s="717"/>
      <c r="M4" s="371"/>
      <c r="N4" s="721">
        <v>1</v>
      </c>
      <c r="O4" s="778">
        <v>1</v>
      </c>
      <c r="P4" s="753">
        <v>1</v>
      </c>
      <c r="Q4" s="749" t="s">
        <v>792</v>
      </c>
      <c r="R4" s="833">
        <v>1</v>
      </c>
      <c r="S4" s="824">
        <v>1</v>
      </c>
      <c r="T4" s="728"/>
      <c r="U4" s="787">
        <v>1</v>
      </c>
      <c r="V4" s="721">
        <v>1</v>
      </c>
      <c r="W4" s="108">
        <v>1</v>
      </c>
      <c r="X4" s="834">
        <v>1</v>
      </c>
      <c r="Y4" s="717"/>
      <c r="Z4" s="780">
        <v>1</v>
      </c>
      <c r="AA4" s="717"/>
      <c r="AB4" s="769" t="s">
        <v>792</v>
      </c>
      <c r="AC4" s="786">
        <v>1</v>
      </c>
      <c r="AD4" s="721">
        <v>1</v>
      </c>
      <c r="AE4" s="778">
        <v>1</v>
      </c>
      <c r="AF4" s="753">
        <v>1</v>
      </c>
      <c r="AG4" s="717"/>
      <c r="AH4" s="780">
        <v>1</v>
      </c>
      <c r="AI4" s="717"/>
      <c r="AJ4" s="728"/>
      <c r="AK4" s="786">
        <v>1</v>
      </c>
      <c r="AL4" s="721">
        <v>1</v>
      </c>
      <c r="AM4" s="717"/>
      <c r="AN4" s="753">
        <v>1</v>
      </c>
      <c r="AO4" s="717"/>
      <c r="AP4" s="732"/>
      <c r="AQ4" s="798">
        <v>1</v>
      </c>
      <c r="AR4" s="769">
        <v>1</v>
      </c>
      <c r="AS4" s="786">
        <v>1</v>
      </c>
      <c r="AT4" s="724">
        <v>1</v>
      </c>
      <c r="AU4" s="840">
        <v>1</v>
      </c>
      <c r="AV4" s="732"/>
      <c r="AW4" s="732"/>
      <c r="AX4" s="780">
        <v>1</v>
      </c>
      <c r="AY4" s="732"/>
      <c r="AZ4" s="734"/>
      <c r="BA4" s="717"/>
      <c r="BB4" s="727">
        <v>1</v>
      </c>
      <c r="BC4" s="717"/>
      <c r="BD4" s="732"/>
      <c r="BE4" s="732"/>
      <c r="BF4" s="732"/>
      <c r="BG4" s="732"/>
      <c r="BH4" s="718"/>
      <c r="BI4" s="734"/>
      <c r="BJ4" s="732"/>
      <c r="BK4" s="787">
        <v>1</v>
      </c>
      <c r="BL4" s="727">
        <v>1</v>
      </c>
      <c r="BM4" s="717"/>
      <c r="BN4" s="732"/>
      <c r="BO4" s="732"/>
      <c r="BP4" s="732"/>
      <c r="BQ4" s="732"/>
      <c r="BR4" s="769" t="s">
        <v>792</v>
      </c>
      <c r="BS4" s="734"/>
      <c r="BT4" s="1042">
        <v>1</v>
      </c>
      <c r="BU4" s="1072" t="s">
        <v>117</v>
      </c>
      <c r="BV4" s="727">
        <v>1</v>
      </c>
      <c r="BW4" s="5"/>
      <c r="BX4" s="23"/>
      <c r="BY4" s="23"/>
      <c r="BZ4" s="23"/>
      <c r="CA4" s="23"/>
      <c r="CB4" s="231"/>
      <c r="CC4" s="231"/>
      <c r="CD4" s="231"/>
      <c r="CE4" s="641"/>
      <c r="CF4" s="40">
        <v>1</v>
      </c>
      <c r="CG4" s="5"/>
      <c r="CH4" s="23"/>
      <c r="CI4" s="23"/>
      <c r="CJ4" s="23"/>
      <c r="CK4" s="23"/>
      <c r="CL4" s="231"/>
      <c r="CM4" s="231"/>
      <c r="CN4" s="231"/>
      <c r="CO4" s="641"/>
      <c r="CP4" s="40">
        <v>1</v>
      </c>
      <c r="CQ4" s="5"/>
      <c r="CR4" s="23"/>
      <c r="CS4" s="23"/>
      <c r="CT4" s="23"/>
      <c r="CU4" s="23"/>
      <c r="CV4" s="231"/>
      <c r="CW4" s="231"/>
      <c r="CX4" s="231"/>
      <c r="CY4" s="641"/>
      <c r="CZ4" s="40">
        <v>1</v>
      </c>
      <c r="DA4" s="5"/>
      <c r="DB4" s="23"/>
      <c r="DC4" s="23"/>
      <c r="DD4" s="23"/>
      <c r="DE4" s="23"/>
      <c r="DF4" s="231"/>
      <c r="DG4" s="231"/>
      <c r="DH4" s="231"/>
      <c r="DI4" s="5"/>
      <c r="DJ4" s="40">
        <v>1</v>
      </c>
      <c r="DK4" s="5"/>
      <c r="DL4" s="23"/>
      <c r="DM4" s="749" t="s">
        <v>792</v>
      </c>
      <c r="DN4" s="828">
        <v>1</v>
      </c>
      <c r="DO4" s="798" t="s">
        <v>1047</v>
      </c>
      <c r="DP4" s="231"/>
      <c r="DQ4" s="231"/>
      <c r="DR4" s="231"/>
      <c r="DS4" s="787">
        <v>1</v>
      </c>
      <c r="DT4" s="40">
        <v>1</v>
      </c>
      <c r="DU4" s="778">
        <v>1</v>
      </c>
      <c r="DV4" s="753">
        <v>1</v>
      </c>
      <c r="DW4" s="749" t="s">
        <v>792</v>
      </c>
      <c r="DX4" s="780">
        <v>1</v>
      </c>
      <c r="DY4" s="982">
        <v>1</v>
      </c>
      <c r="DZ4" s="769">
        <v>1</v>
      </c>
      <c r="EA4" s="790">
        <v>1</v>
      </c>
      <c r="EB4" s="803" t="s">
        <v>792</v>
      </c>
      <c r="EC4" s="251">
        <v>1</v>
      </c>
      <c r="ED4" s="40">
        <v>1</v>
      </c>
      <c r="EE4" s="5"/>
      <c r="EF4" s="23"/>
      <c r="EG4" s="23"/>
      <c r="EH4" s="23"/>
      <c r="EI4" s="23"/>
      <c r="EJ4" s="231"/>
      <c r="EK4" s="231"/>
      <c r="EL4" s="5"/>
      <c r="EM4" s="40">
        <v>1</v>
      </c>
      <c r="EN4" s="5"/>
      <c r="EO4" s="23"/>
      <c r="EP4" s="23"/>
      <c r="EQ4" s="23"/>
      <c r="ER4" s="23"/>
      <c r="ES4" s="231"/>
      <c r="ET4" s="795">
        <v>1</v>
      </c>
      <c r="EU4" s="5"/>
      <c r="EV4" s="40">
        <v>1</v>
      </c>
      <c r="EW4" s="5"/>
      <c r="EX4" s="23"/>
      <c r="EY4" s="23"/>
      <c r="EZ4" s="23"/>
      <c r="FA4" s="23"/>
      <c r="FB4" s="231"/>
      <c r="FC4" s="231"/>
      <c r="FD4" s="231"/>
      <c r="FE4" s="5"/>
    </row>
    <row r="5" spans="1:161">
      <c r="A5" s="721">
        <v>2</v>
      </c>
      <c r="B5" s="717"/>
      <c r="C5" s="717"/>
      <c r="D5" s="721">
        <v>2</v>
      </c>
      <c r="E5" s="717"/>
      <c r="F5" s="753">
        <v>1</v>
      </c>
      <c r="G5" s="721">
        <v>2</v>
      </c>
      <c r="H5" s="717"/>
      <c r="I5" s="754">
        <v>1</v>
      </c>
      <c r="J5" s="717"/>
      <c r="K5" s="717"/>
      <c r="L5" s="717"/>
      <c r="M5" s="371"/>
      <c r="N5" s="721">
        <v>2</v>
      </c>
      <c r="O5" s="717"/>
      <c r="P5" s="754">
        <v>1</v>
      </c>
      <c r="Q5" s="750" t="s">
        <v>792</v>
      </c>
      <c r="R5" s="717"/>
      <c r="S5" s="825">
        <v>1</v>
      </c>
      <c r="T5" s="728"/>
      <c r="U5" s="789">
        <v>1</v>
      </c>
      <c r="V5" s="721">
        <v>2</v>
      </c>
      <c r="W5" s="92">
        <v>1</v>
      </c>
      <c r="X5" s="815">
        <v>1</v>
      </c>
      <c r="Y5" s="717"/>
      <c r="Z5" s="779">
        <v>1</v>
      </c>
      <c r="AA5" s="717"/>
      <c r="AB5" s="770" t="s">
        <v>792</v>
      </c>
      <c r="AC5" s="788">
        <v>1</v>
      </c>
      <c r="AD5" s="721">
        <v>2</v>
      </c>
      <c r="AE5" s="717"/>
      <c r="AF5" s="754">
        <v>1</v>
      </c>
      <c r="AG5" s="717"/>
      <c r="AH5" s="779">
        <v>1</v>
      </c>
      <c r="AI5" s="717"/>
      <c r="AJ5" s="728"/>
      <c r="AK5" s="788">
        <v>1</v>
      </c>
      <c r="AL5" s="721">
        <v>2</v>
      </c>
      <c r="AM5" s="717"/>
      <c r="AN5" s="754">
        <v>1</v>
      </c>
      <c r="AO5" s="717"/>
      <c r="AP5" s="732"/>
      <c r="AQ5" s="799">
        <v>1</v>
      </c>
      <c r="AR5" s="770">
        <v>1</v>
      </c>
      <c r="AS5" s="717"/>
      <c r="AT5" s="721">
        <v>2</v>
      </c>
      <c r="AU5" s="841">
        <v>1</v>
      </c>
      <c r="AV5" s="732"/>
      <c r="AW5" s="732"/>
      <c r="AX5" s="779">
        <v>1</v>
      </c>
      <c r="AY5" s="732"/>
      <c r="AZ5" s="734"/>
      <c r="BA5" s="717"/>
      <c r="BB5" s="721">
        <v>2</v>
      </c>
      <c r="BC5" s="717"/>
      <c r="BD5" s="732"/>
      <c r="BE5" s="732"/>
      <c r="BF5" s="732"/>
      <c r="BG5" s="732"/>
      <c r="BH5" s="718"/>
      <c r="BI5" s="734"/>
      <c r="BJ5" s="732"/>
      <c r="BK5" s="788">
        <v>1</v>
      </c>
      <c r="BL5" s="721">
        <v>2</v>
      </c>
      <c r="BM5" s="717"/>
      <c r="BN5" s="732"/>
      <c r="BO5" s="732"/>
      <c r="BP5" s="732"/>
      <c r="BQ5" s="732"/>
      <c r="BR5" s="771" t="s">
        <v>792</v>
      </c>
      <c r="BS5" s="734"/>
      <c r="BT5" s="1044">
        <v>1</v>
      </c>
      <c r="BU5" s="371" t="s">
        <v>117</v>
      </c>
      <c r="BV5" s="721">
        <v>2</v>
      </c>
      <c r="BW5" s="5"/>
      <c r="BX5" s="23"/>
      <c r="BY5" s="23"/>
      <c r="BZ5" s="23"/>
      <c r="CA5" s="23"/>
      <c r="CB5" s="231"/>
      <c r="CC5" s="231"/>
      <c r="CD5" s="231"/>
      <c r="CE5" s="641"/>
      <c r="CF5" s="41">
        <v>2</v>
      </c>
      <c r="CG5" s="5"/>
      <c r="CH5" s="23"/>
      <c r="CI5" s="23"/>
      <c r="CJ5" s="23"/>
      <c r="CK5" s="23"/>
      <c r="CL5" s="231"/>
      <c r="CM5" s="231"/>
      <c r="CN5" s="231"/>
      <c r="CO5" s="641"/>
      <c r="CP5" s="41">
        <v>2</v>
      </c>
      <c r="CQ5" s="5"/>
      <c r="CR5" s="23"/>
      <c r="CS5" s="23"/>
      <c r="CT5" s="23"/>
      <c r="CU5" s="23"/>
      <c r="CV5" s="231"/>
      <c r="CW5" s="231"/>
      <c r="CX5" s="231"/>
      <c r="CY5" s="641"/>
      <c r="CZ5" s="41">
        <v>2</v>
      </c>
      <c r="DA5" s="5"/>
      <c r="DB5" s="23"/>
      <c r="DC5" s="23"/>
      <c r="DD5" s="23"/>
      <c r="DE5" s="23"/>
      <c r="DF5" s="231"/>
      <c r="DG5" s="231"/>
      <c r="DH5" s="231"/>
      <c r="DI5" s="5"/>
      <c r="DJ5" s="41">
        <v>2</v>
      </c>
      <c r="DK5" s="5"/>
      <c r="DL5" s="23"/>
      <c r="DM5" s="750" t="s">
        <v>792</v>
      </c>
      <c r="DN5" s="829">
        <v>1</v>
      </c>
      <c r="DO5" s="799" t="s">
        <v>1047</v>
      </c>
      <c r="DP5" s="231"/>
      <c r="DQ5" s="231"/>
      <c r="DR5" s="231"/>
      <c r="DS5" s="788">
        <v>1</v>
      </c>
      <c r="DT5" s="41">
        <v>2</v>
      </c>
      <c r="DU5" s="5"/>
      <c r="DV5" s="755">
        <v>1</v>
      </c>
      <c r="DW5" s="750" t="s">
        <v>792</v>
      </c>
      <c r="DX5" s="779">
        <v>1</v>
      </c>
      <c r="DY5" s="23"/>
      <c r="DZ5" s="770">
        <v>1</v>
      </c>
      <c r="EA5" s="792">
        <v>1</v>
      </c>
      <c r="EB5" s="804" t="s">
        <v>792</v>
      </c>
      <c r="EC5" s="5"/>
      <c r="ED5" s="41">
        <v>2</v>
      </c>
      <c r="EE5" s="5"/>
      <c r="EF5" s="753">
        <v>1</v>
      </c>
      <c r="EG5" s="23"/>
      <c r="EH5" s="23"/>
      <c r="EI5" s="23"/>
      <c r="EJ5" s="231"/>
      <c r="EK5" s="231"/>
      <c r="EL5" s="5"/>
      <c r="EM5" s="41">
        <v>2</v>
      </c>
      <c r="EN5" s="5"/>
      <c r="EO5" s="23"/>
      <c r="EP5" s="23"/>
      <c r="EQ5" s="23"/>
      <c r="ER5" s="23"/>
      <c r="ES5" s="231"/>
      <c r="ET5" s="796">
        <v>1</v>
      </c>
      <c r="EU5" s="5"/>
      <c r="EV5" s="41">
        <v>2</v>
      </c>
      <c r="EW5" s="5"/>
      <c r="EX5" s="23"/>
      <c r="EY5" s="23"/>
      <c r="EZ5" s="23"/>
      <c r="FA5" s="23"/>
      <c r="FB5" s="231"/>
      <c r="FC5" s="231"/>
      <c r="FD5" s="231"/>
      <c r="FE5" s="5"/>
    </row>
    <row r="6" spans="1:161">
      <c r="A6" s="721">
        <v>3</v>
      </c>
      <c r="B6" s="717"/>
      <c r="C6" s="717"/>
      <c r="D6" s="721">
        <v>3</v>
      </c>
      <c r="E6" s="108">
        <v>1</v>
      </c>
      <c r="F6" s="754">
        <v>1</v>
      </c>
      <c r="G6" s="721">
        <v>3</v>
      </c>
      <c r="H6" s="717"/>
      <c r="I6" s="754">
        <v>1</v>
      </c>
      <c r="J6" s="717"/>
      <c r="K6" s="717"/>
      <c r="L6" s="717"/>
      <c r="M6" s="371"/>
      <c r="N6" s="721">
        <v>3</v>
      </c>
      <c r="O6" s="108">
        <v>1</v>
      </c>
      <c r="P6" s="754">
        <v>1</v>
      </c>
      <c r="Q6" s="750" t="s">
        <v>792</v>
      </c>
      <c r="R6" s="717"/>
      <c r="S6" s="826">
        <v>1</v>
      </c>
      <c r="T6" s="728"/>
      <c r="U6" s="371"/>
      <c r="V6" s="721">
        <v>3</v>
      </c>
      <c r="W6" s="93">
        <v>1</v>
      </c>
      <c r="X6" s="767">
        <v>1</v>
      </c>
      <c r="Y6" s="717"/>
      <c r="Z6" s="779">
        <v>1</v>
      </c>
      <c r="AA6" s="717"/>
      <c r="AB6" s="770" t="s">
        <v>792</v>
      </c>
      <c r="AC6" s="789">
        <v>1</v>
      </c>
      <c r="AD6" s="721">
        <v>3</v>
      </c>
      <c r="AE6" s="108">
        <v>1</v>
      </c>
      <c r="AF6" s="755">
        <v>1</v>
      </c>
      <c r="AG6" s="717"/>
      <c r="AH6" s="779">
        <v>1</v>
      </c>
      <c r="AI6" s="717"/>
      <c r="AJ6" s="728"/>
      <c r="AK6" s="788">
        <v>1</v>
      </c>
      <c r="AL6" s="721">
        <v>3</v>
      </c>
      <c r="AM6" s="717"/>
      <c r="AN6" s="755">
        <v>1</v>
      </c>
      <c r="AO6" s="717"/>
      <c r="AP6" s="732"/>
      <c r="AQ6" s="800">
        <v>1</v>
      </c>
      <c r="AR6" s="839">
        <v>1</v>
      </c>
      <c r="AS6" s="787">
        <v>1</v>
      </c>
      <c r="AT6" s="721">
        <v>3</v>
      </c>
      <c r="AU6" s="717"/>
      <c r="AV6" s="732"/>
      <c r="AW6" s="732"/>
      <c r="AX6" s="779">
        <v>1</v>
      </c>
      <c r="AY6" s="732"/>
      <c r="AZ6" s="734"/>
      <c r="BA6" s="786">
        <v>1</v>
      </c>
      <c r="BB6" s="721">
        <v>3</v>
      </c>
      <c r="BC6" s="717"/>
      <c r="BD6" s="732"/>
      <c r="BE6" s="732"/>
      <c r="BF6" s="732"/>
      <c r="BG6" s="732"/>
      <c r="BH6" s="734"/>
      <c r="BI6" s="734"/>
      <c r="BJ6" s="732"/>
      <c r="BK6" s="788">
        <v>1</v>
      </c>
      <c r="BL6" s="721">
        <v>3</v>
      </c>
      <c r="BM6" s="717"/>
      <c r="BN6" s="732"/>
      <c r="BO6" s="732"/>
      <c r="BP6" s="732"/>
      <c r="BQ6" s="732"/>
      <c r="BR6" s="732"/>
      <c r="BS6" s="734"/>
      <c r="BT6" s="1043">
        <v>1</v>
      </c>
      <c r="BU6" s="371" t="s">
        <v>117</v>
      </c>
      <c r="BV6" s="721">
        <v>3</v>
      </c>
      <c r="BW6" s="5"/>
      <c r="BX6" s="23"/>
      <c r="BY6" s="23"/>
      <c r="BZ6" s="23"/>
      <c r="CA6" s="23"/>
      <c r="CB6" s="231"/>
      <c r="CC6" s="231"/>
      <c r="CD6" s="795">
        <v>1</v>
      </c>
      <c r="CE6" s="641"/>
      <c r="CF6" s="41">
        <v>3</v>
      </c>
      <c r="CG6" s="5"/>
      <c r="CH6" s="23"/>
      <c r="CI6" s="23"/>
      <c r="CJ6" s="23"/>
      <c r="CK6" s="23"/>
      <c r="CL6" s="231"/>
      <c r="CM6" s="231"/>
      <c r="CN6" s="231"/>
      <c r="CO6" s="641"/>
      <c r="CP6" s="41">
        <v>3</v>
      </c>
      <c r="CQ6" s="756">
        <v>1</v>
      </c>
      <c r="CR6" s="23"/>
      <c r="CS6" s="23"/>
      <c r="CT6" s="23"/>
      <c r="CU6" s="23"/>
      <c r="CV6" s="231"/>
      <c r="CW6" s="231"/>
      <c r="CX6" s="231"/>
      <c r="CY6" s="641"/>
      <c r="CZ6" s="41">
        <v>3</v>
      </c>
      <c r="DA6" s="5"/>
      <c r="DB6" s="753">
        <v>1</v>
      </c>
      <c r="DC6" s="23"/>
      <c r="DD6" s="23"/>
      <c r="DE6" s="23"/>
      <c r="DF6" s="231"/>
      <c r="DG6" s="231"/>
      <c r="DH6" s="231"/>
      <c r="DI6" s="5"/>
      <c r="DJ6" s="41">
        <v>3</v>
      </c>
      <c r="DK6" s="5"/>
      <c r="DL6" s="23"/>
      <c r="DM6" s="750" t="s">
        <v>792</v>
      </c>
      <c r="DN6" s="830">
        <v>1</v>
      </c>
      <c r="DO6" s="799" t="s">
        <v>1047</v>
      </c>
      <c r="DP6" s="231"/>
      <c r="DQ6" s="231"/>
      <c r="DR6" s="231"/>
      <c r="DS6" s="788">
        <v>1</v>
      </c>
      <c r="DT6" s="41">
        <v>3</v>
      </c>
      <c r="DU6" s="5"/>
      <c r="DV6" s="23"/>
      <c r="DW6" s="750" t="s">
        <v>792</v>
      </c>
      <c r="DX6" s="781">
        <v>1</v>
      </c>
      <c r="DY6" s="23"/>
      <c r="DZ6" s="771">
        <v>1</v>
      </c>
      <c r="EA6" s="792">
        <v>1</v>
      </c>
      <c r="EB6" s="805" t="s">
        <v>792</v>
      </c>
      <c r="EC6" s="5"/>
      <c r="ED6" s="41">
        <v>3</v>
      </c>
      <c r="EE6" s="5"/>
      <c r="EF6" s="754">
        <v>1</v>
      </c>
      <c r="EG6" s="23"/>
      <c r="EH6" s="23"/>
      <c r="EI6" s="23"/>
      <c r="EJ6" s="231"/>
      <c r="EK6" s="231"/>
      <c r="EL6" s="5"/>
      <c r="EM6" s="41">
        <v>3</v>
      </c>
      <c r="EN6" s="5"/>
      <c r="EO6" s="23"/>
      <c r="EP6" s="23"/>
      <c r="EQ6" s="23"/>
      <c r="ER6" s="23"/>
      <c r="ES6" s="231"/>
      <c r="ET6" s="797">
        <v>1</v>
      </c>
      <c r="EU6" s="5"/>
      <c r="EV6" s="41">
        <v>3</v>
      </c>
      <c r="EW6" s="5"/>
      <c r="EX6" s="23"/>
      <c r="EY6" s="23"/>
      <c r="EZ6" s="23"/>
      <c r="FA6" s="23"/>
      <c r="FB6" s="231"/>
      <c r="FC6" s="231"/>
      <c r="FD6" s="231"/>
      <c r="FE6" s="5"/>
    </row>
    <row r="7" spans="1:161">
      <c r="A7" s="721">
        <v>4</v>
      </c>
      <c r="B7" s="717"/>
      <c r="C7" s="717"/>
      <c r="D7" s="721">
        <v>4</v>
      </c>
      <c r="E7" s="93">
        <v>1</v>
      </c>
      <c r="F7" s="755">
        <v>1</v>
      </c>
      <c r="G7" s="721">
        <v>4</v>
      </c>
      <c r="H7" s="717"/>
      <c r="I7" s="755">
        <v>1</v>
      </c>
      <c r="J7" s="717"/>
      <c r="K7" s="717"/>
      <c r="L7" s="717"/>
      <c r="M7" s="371"/>
      <c r="N7" s="721">
        <v>4</v>
      </c>
      <c r="O7" s="93">
        <v>1</v>
      </c>
      <c r="P7" s="754">
        <v>1</v>
      </c>
      <c r="Q7" s="750" t="s">
        <v>792</v>
      </c>
      <c r="R7" s="717"/>
      <c r="S7" s="717"/>
      <c r="T7" s="717"/>
      <c r="U7" s="371"/>
      <c r="V7" s="721">
        <v>4</v>
      </c>
      <c r="W7" s="92">
        <v>1</v>
      </c>
      <c r="X7" s="767">
        <v>1</v>
      </c>
      <c r="Y7" s="717"/>
      <c r="Z7" s="779">
        <v>1</v>
      </c>
      <c r="AA7" s="717"/>
      <c r="AB7" s="771" t="s">
        <v>792</v>
      </c>
      <c r="AC7" s="732"/>
      <c r="AD7" s="721">
        <v>4</v>
      </c>
      <c r="AE7" s="92">
        <v>1</v>
      </c>
      <c r="AF7" s="754">
        <v>1</v>
      </c>
      <c r="AG7" s="717"/>
      <c r="AH7" s="779">
        <v>1</v>
      </c>
      <c r="AI7" s="717"/>
      <c r="AJ7" s="728"/>
      <c r="AK7" s="789">
        <v>1</v>
      </c>
      <c r="AL7" s="721">
        <v>4</v>
      </c>
      <c r="AM7" s="108">
        <v>1</v>
      </c>
      <c r="AN7" s="754">
        <v>1</v>
      </c>
      <c r="AO7" s="717"/>
      <c r="AP7" s="732"/>
      <c r="AQ7" s="717"/>
      <c r="AR7" s="728"/>
      <c r="AS7" s="789">
        <v>1</v>
      </c>
      <c r="AT7" s="721">
        <v>4</v>
      </c>
      <c r="AU7" s="717"/>
      <c r="AV7" s="732"/>
      <c r="AW7" s="732"/>
      <c r="AX7" s="779">
        <v>1</v>
      </c>
      <c r="AY7" s="732"/>
      <c r="AZ7" s="734"/>
      <c r="BA7" s="717"/>
      <c r="BB7" s="721">
        <v>4</v>
      </c>
      <c r="BC7" s="717"/>
      <c r="BD7" s="732"/>
      <c r="BE7" s="732"/>
      <c r="BF7" s="732"/>
      <c r="BG7" s="732"/>
      <c r="BH7" s="734"/>
      <c r="BI7" s="734"/>
      <c r="BJ7" s="732"/>
      <c r="BK7" s="788">
        <v>1</v>
      </c>
      <c r="BL7" s="721">
        <v>4</v>
      </c>
      <c r="BM7" s="717"/>
      <c r="BN7" s="732"/>
      <c r="BO7" s="732"/>
      <c r="BP7" s="732"/>
      <c r="BQ7" s="732"/>
      <c r="BR7" s="732"/>
      <c r="BS7" s="734"/>
      <c r="BT7" s="732"/>
      <c r="BU7" s="371" t="s">
        <v>117</v>
      </c>
      <c r="BV7" s="721">
        <v>4</v>
      </c>
      <c r="BW7" s="5"/>
      <c r="BX7" s="23"/>
      <c r="BY7" s="23"/>
      <c r="BZ7" s="23"/>
      <c r="CA7" s="23"/>
      <c r="CB7" s="231"/>
      <c r="CC7" s="231"/>
      <c r="CD7" s="796">
        <v>1</v>
      </c>
      <c r="CE7" s="641"/>
      <c r="CF7" s="41">
        <v>4</v>
      </c>
      <c r="CG7" s="5"/>
      <c r="CH7" s="23"/>
      <c r="CI7" s="23"/>
      <c r="CJ7" s="23"/>
      <c r="CK7" s="23"/>
      <c r="CL7" s="231"/>
      <c r="CM7" s="231"/>
      <c r="CN7" s="231"/>
      <c r="CO7" s="641"/>
      <c r="CP7" s="41">
        <v>4</v>
      </c>
      <c r="CQ7" s="758">
        <v>1</v>
      </c>
      <c r="CR7" s="753">
        <v>1</v>
      </c>
      <c r="CS7" s="23"/>
      <c r="CT7" s="23"/>
      <c r="CU7" s="23"/>
      <c r="CV7" s="231"/>
      <c r="CW7" s="231"/>
      <c r="CX7" s="231"/>
      <c r="CY7" s="641"/>
      <c r="CZ7" s="41">
        <v>4</v>
      </c>
      <c r="DA7" s="756">
        <v>1</v>
      </c>
      <c r="DB7" s="815">
        <v>1</v>
      </c>
      <c r="DC7" s="23"/>
      <c r="DD7" s="23"/>
      <c r="DE7" s="23"/>
      <c r="DF7" s="231"/>
      <c r="DG7" s="231"/>
      <c r="DH7" s="231"/>
      <c r="DI7" s="5"/>
      <c r="DJ7" s="41">
        <v>4</v>
      </c>
      <c r="DK7" s="5"/>
      <c r="DL7" s="23"/>
      <c r="DM7" s="750" t="s">
        <v>792</v>
      </c>
      <c r="DN7" s="23"/>
      <c r="DO7" s="799" t="s">
        <v>1047</v>
      </c>
      <c r="DP7" s="231"/>
      <c r="DQ7" s="231"/>
      <c r="DR7" s="231"/>
      <c r="DS7" s="788">
        <v>1</v>
      </c>
      <c r="DT7" s="41">
        <v>4</v>
      </c>
      <c r="DU7" s="5"/>
      <c r="DV7" s="753">
        <v>1</v>
      </c>
      <c r="DW7" s="750" t="s">
        <v>792</v>
      </c>
      <c r="DX7" s="23"/>
      <c r="DY7" s="23"/>
      <c r="DZ7" s="231"/>
      <c r="EA7" s="792">
        <v>1</v>
      </c>
      <c r="EB7" s="231"/>
      <c r="EC7" s="5"/>
      <c r="ED7" s="41">
        <v>4</v>
      </c>
      <c r="EE7" s="5"/>
      <c r="EF7" s="754">
        <v>1</v>
      </c>
      <c r="EG7" s="23"/>
      <c r="EH7" s="23"/>
      <c r="EI7" s="23"/>
      <c r="EJ7" s="231"/>
      <c r="EK7" s="231"/>
      <c r="EL7" s="5"/>
      <c r="EM7" s="41">
        <v>4</v>
      </c>
      <c r="EN7" s="5"/>
      <c r="EO7" s="23"/>
      <c r="EP7" s="23"/>
      <c r="EQ7" s="23"/>
      <c r="ER7" s="23"/>
      <c r="ES7" s="231"/>
      <c r="ET7" s="231"/>
      <c r="EU7" s="5"/>
      <c r="EV7" s="41">
        <v>4</v>
      </c>
      <c r="EW7" s="5"/>
      <c r="EX7" s="23"/>
      <c r="EY7" s="23"/>
      <c r="EZ7" s="23"/>
      <c r="FA7" s="23"/>
      <c r="FB7" s="231"/>
      <c r="FC7" s="231"/>
      <c r="FD7" s="231"/>
      <c r="FE7" s="5"/>
    </row>
    <row r="8" spans="1:161">
      <c r="A8" s="721">
        <v>5</v>
      </c>
      <c r="B8" s="718"/>
      <c r="C8" s="717"/>
      <c r="D8" s="721">
        <v>5</v>
      </c>
      <c r="E8" s="813">
        <v>1</v>
      </c>
      <c r="F8" s="717"/>
      <c r="G8" s="721">
        <v>5</v>
      </c>
      <c r="H8" s="717"/>
      <c r="I8" s="754">
        <v>1</v>
      </c>
      <c r="J8" s="717"/>
      <c r="K8" s="717"/>
      <c r="L8" s="717"/>
      <c r="M8" s="371"/>
      <c r="N8" s="721">
        <v>5</v>
      </c>
      <c r="O8" s="108">
        <v>1</v>
      </c>
      <c r="P8" s="755">
        <v>1</v>
      </c>
      <c r="Q8" s="750" t="s">
        <v>792</v>
      </c>
      <c r="R8" s="717"/>
      <c r="S8" s="824">
        <v>1</v>
      </c>
      <c r="T8" s="728"/>
      <c r="U8" s="371"/>
      <c r="V8" s="721">
        <v>5</v>
      </c>
      <c r="W8" s="93">
        <v>1</v>
      </c>
      <c r="X8" s="815">
        <v>1</v>
      </c>
      <c r="Y8" s="717"/>
      <c r="Z8" s="779">
        <v>1</v>
      </c>
      <c r="AA8" s="717"/>
      <c r="AB8" s="728"/>
      <c r="AC8" s="732"/>
      <c r="AD8" s="721">
        <v>5</v>
      </c>
      <c r="AE8" s="93">
        <v>1</v>
      </c>
      <c r="AF8" s="754">
        <v>1</v>
      </c>
      <c r="AG8" s="717"/>
      <c r="AH8" s="779">
        <v>1</v>
      </c>
      <c r="AI8" s="717"/>
      <c r="AJ8" s="728"/>
      <c r="AK8" s="371"/>
      <c r="AL8" s="721">
        <v>5</v>
      </c>
      <c r="AM8" s="93">
        <v>1</v>
      </c>
      <c r="AN8" s="754">
        <v>1</v>
      </c>
      <c r="AO8" s="717"/>
      <c r="AP8" s="732"/>
      <c r="AQ8" s="717"/>
      <c r="AR8" s="728"/>
      <c r="AS8" s="786">
        <v>1</v>
      </c>
      <c r="AT8" s="721">
        <v>5</v>
      </c>
      <c r="AU8" s="717"/>
      <c r="AV8" s="732"/>
      <c r="AW8" s="732"/>
      <c r="AX8" s="779">
        <v>1</v>
      </c>
      <c r="AY8" s="732"/>
      <c r="AZ8" s="734"/>
      <c r="BA8" s="717"/>
      <c r="BB8" s="721">
        <v>5</v>
      </c>
      <c r="BC8" s="717"/>
      <c r="BD8" s="753">
        <v>1</v>
      </c>
      <c r="BE8" s="732"/>
      <c r="BF8" s="732"/>
      <c r="BG8" s="732"/>
      <c r="BH8" s="734"/>
      <c r="BI8" s="734"/>
      <c r="BJ8" s="732"/>
      <c r="BK8" s="789">
        <v>1</v>
      </c>
      <c r="BL8" s="721">
        <v>5</v>
      </c>
      <c r="BM8" s="717"/>
      <c r="BN8" s="753">
        <v>1</v>
      </c>
      <c r="BO8" s="732"/>
      <c r="BP8" s="732"/>
      <c r="BQ8" s="732"/>
      <c r="BR8" s="732"/>
      <c r="BS8" s="734"/>
      <c r="BT8" s="732"/>
      <c r="BU8" s="371" t="s">
        <v>117</v>
      </c>
      <c r="BV8" s="721">
        <v>5</v>
      </c>
      <c r="BW8" s="5"/>
      <c r="BX8" s="23"/>
      <c r="BY8" s="23"/>
      <c r="BZ8" s="23"/>
      <c r="CA8" s="798" t="s">
        <v>792</v>
      </c>
      <c r="CB8" s="231"/>
      <c r="CC8" s="790">
        <v>1</v>
      </c>
      <c r="CD8" s="797">
        <v>1</v>
      </c>
      <c r="CE8" s="641"/>
      <c r="CF8" s="41">
        <v>5</v>
      </c>
      <c r="CG8" s="5"/>
      <c r="CH8" s="23"/>
      <c r="CI8" s="749">
        <v>1</v>
      </c>
      <c r="CJ8" s="23"/>
      <c r="CK8" s="23"/>
      <c r="CL8" s="231"/>
      <c r="CM8" s="231"/>
      <c r="CN8" s="231"/>
      <c r="CO8" s="641"/>
      <c r="CP8" s="41">
        <v>5</v>
      </c>
      <c r="CR8" s="754">
        <v>1</v>
      </c>
      <c r="CS8" s="23"/>
      <c r="CT8" s="23"/>
      <c r="CU8" s="23"/>
      <c r="CV8" s="231"/>
      <c r="CW8" s="231"/>
      <c r="CX8" s="231"/>
      <c r="CY8" s="641"/>
      <c r="CZ8" s="41">
        <v>5</v>
      </c>
      <c r="DA8" s="758">
        <v>1</v>
      </c>
      <c r="DB8" s="23"/>
      <c r="DC8" s="23"/>
      <c r="DD8" s="23"/>
      <c r="DE8" s="23"/>
      <c r="DF8" s="231"/>
      <c r="DG8" s="231"/>
      <c r="DH8" s="231"/>
      <c r="DI8" s="5"/>
      <c r="DJ8" s="41">
        <v>5</v>
      </c>
      <c r="DK8" s="756">
        <v>1</v>
      </c>
      <c r="DL8" s="23"/>
      <c r="DM8" s="750" t="s">
        <v>792</v>
      </c>
      <c r="DN8" s="23"/>
      <c r="DO8" s="799" t="s">
        <v>1047</v>
      </c>
      <c r="DP8" s="231"/>
      <c r="DQ8" s="231"/>
      <c r="DR8" s="231"/>
      <c r="DS8" s="788">
        <v>1</v>
      </c>
      <c r="DT8" s="41">
        <v>5</v>
      </c>
      <c r="DU8" s="5"/>
      <c r="DV8" s="755">
        <v>1</v>
      </c>
      <c r="DW8" s="750" t="s">
        <v>792</v>
      </c>
      <c r="DX8" s="23"/>
      <c r="DY8" s="23"/>
      <c r="DZ8" s="231"/>
      <c r="EA8" s="792">
        <v>1</v>
      </c>
      <c r="EB8" s="231"/>
      <c r="EC8" s="5"/>
      <c r="ED8" s="41">
        <v>5</v>
      </c>
      <c r="EE8" s="5"/>
      <c r="EF8" s="754">
        <v>1</v>
      </c>
      <c r="EG8" s="23"/>
      <c r="EH8" s="23"/>
      <c r="EI8" s="23"/>
      <c r="EJ8" s="231"/>
      <c r="EK8" s="231"/>
      <c r="EL8" s="5"/>
      <c r="EM8" s="41">
        <v>5</v>
      </c>
      <c r="EN8" s="5"/>
      <c r="EO8" s="23"/>
      <c r="EP8" s="23"/>
      <c r="EQ8" s="23"/>
      <c r="ER8" s="23"/>
      <c r="ES8" s="231"/>
      <c r="ET8" s="231"/>
      <c r="EU8" s="5"/>
      <c r="EV8" s="41">
        <v>5</v>
      </c>
      <c r="EW8" s="5"/>
      <c r="EX8" s="23"/>
      <c r="EY8" s="23"/>
      <c r="EZ8" s="23"/>
      <c r="FA8" s="23"/>
      <c r="FB8" s="231"/>
      <c r="FC8" s="790" t="s">
        <v>792</v>
      </c>
      <c r="FD8" s="231"/>
      <c r="FE8" s="5"/>
    </row>
    <row r="9" spans="1:161">
      <c r="A9" s="721">
        <v>6</v>
      </c>
      <c r="B9" s="718"/>
      <c r="C9" s="717"/>
      <c r="D9" s="721">
        <v>6</v>
      </c>
      <c r="E9" s="814">
        <v>1</v>
      </c>
      <c r="F9" s="717"/>
      <c r="G9" s="721">
        <v>6</v>
      </c>
      <c r="H9" s="717"/>
      <c r="I9" s="755">
        <v>1</v>
      </c>
      <c r="J9" s="717"/>
      <c r="K9" s="717"/>
      <c r="L9" s="717"/>
      <c r="M9" s="371"/>
      <c r="N9" s="721">
        <v>6</v>
      </c>
      <c r="O9" s="93">
        <v>1</v>
      </c>
      <c r="P9" s="753">
        <v>1</v>
      </c>
      <c r="Q9" s="751" t="s">
        <v>792</v>
      </c>
      <c r="R9" s="717"/>
      <c r="S9" s="826">
        <v>1</v>
      </c>
      <c r="T9" s="728"/>
      <c r="U9" s="371"/>
      <c r="V9" s="721">
        <v>6</v>
      </c>
      <c r="W9" s="92">
        <v>1</v>
      </c>
      <c r="X9" s="767">
        <v>1</v>
      </c>
      <c r="Y9" s="717"/>
      <c r="Z9" s="779">
        <v>1</v>
      </c>
      <c r="AA9" s="717"/>
      <c r="AB9" s="728"/>
      <c r="AC9" s="787">
        <v>1</v>
      </c>
      <c r="AD9" s="721">
        <v>6</v>
      </c>
      <c r="AE9" s="717"/>
      <c r="AF9" s="754">
        <v>1</v>
      </c>
      <c r="AG9" s="717"/>
      <c r="AH9" s="779">
        <v>1</v>
      </c>
      <c r="AI9" s="717"/>
      <c r="AJ9" s="728"/>
      <c r="AK9" s="786">
        <v>1</v>
      </c>
      <c r="AL9" s="721">
        <v>6</v>
      </c>
      <c r="AM9" s="717"/>
      <c r="AN9" s="754">
        <v>1</v>
      </c>
      <c r="AO9" s="717"/>
      <c r="AP9" s="780">
        <v>1</v>
      </c>
      <c r="AQ9" s="717"/>
      <c r="AR9" s="728"/>
      <c r="AS9" s="788">
        <v>1</v>
      </c>
      <c r="AT9" s="721">
        <v>6</v>
      </c>
      <c r="AU9" s="717"/>
      <c r="AV9" s="732"/>
      <c r="AW9" s="732"/>
      <c r="AX9" s="779">
        <v>1</v>
      </c>
      <c r="AY9" s="732"/>
      <c r="AZ9" s="734"/>
      <c r="BA9" s="717"/>
      <c r="BB9" s="721">
        <v>6</v>
      </c>
      <c r="BC9" s="717"/>
      <c r="BD9" s="754">
        <v>1</v>
      </c>
      <c r="BE9" s="842">
        <v>1</v>
      </c>
      <c r="BF9" s="732"/>
      <c r="BG9" s="732"/>
      <c r="BH9" s="734"/>
      <c r="BI9" s="734"/>
      <c r="BJ9" s="732"/>
      <c r="BK9" s="717" t="s">
        <v>117</v>
      </c>
      <c r="BL9" s="721">
        <v>6</v>
      </c>
      <c r="BM9" s="717"/>
      <c r="BN9" s="755">
        <v>1</v>
      </c>
      <c r="BO9" s="732"/>
      <c r="BP9" s="732"/>
      <c r="BQ9" s="732"/>
      <c r="BR9" s="732"/>
      <c r="BS9" s="734"/>
      <c r="BT9" s="732"/>
      <c r="BU9" s="371" t="s">
        <v>117</v>
      </c>
      <c r="BV9" s="721">
        <v>6</v>
      </c>
      <c r="BW9" s="5"/>
      <c r="BX9" s="23"/>
      <c r="BY9" s="23"/>
      <c r="BZ9" s="23"/>
      <c r="CA9" s="799" t="s">
        <v>792</v>
      </c>
      <c r="CB9" s="231"/>
      <c r="CC9" s="792">
        <v>1</v>
      </c>
      <c r="CD9" s="231"/>
      <c r="CE9" s="641"/>
      <c r="CF9" s="41">
        <v>6</v>
      </c>
      <c r="CG9" s="5"/>
      <c r="CH9" s="23"/>
      <c r="CI9" s="751">
        <v>1</v>
      </c>
      <c r="CJ9" s="23"/>
      <c r="CK9" s="23"/>
      <c r="CL9" s="231"/>
      <c r="CM9" s="231"/>
      <c r="CN9" s="231"/>
      <c r="CO9" s="641"/>
      <c r="CP9" s="41">
        <v>6</v>
      </c>
      <c r="CQ9" s="5"/>
      <c r="CR9" s="755">
        <v>1</v>
      </c>
      <c r="CS9" s="23"/>
      <c r="CT9" s="23"/>
      <c r="CU9" s="23"/>
      <c r="CV9" s="231"/>
      <c r="CW9" s="231"/>
      <c r="CX9" s="231"/>
      <c r="CY9" s="641"/>
      <c r="CZ9" s="41">
        <v>6</v>
      </c>
      <c r="DA9" s="5"/>
      <c r="DB9" s="23"/>
      <c r="DC9" s="23"/>
      <c r="DD9" s="23"/>
      <c r="DE9" s="23"/>
      <c r="DF9" s="231"/>
      <c r="DG9" s="231"/>
      <c r="DH9" s="231"/>
      <c r="DI9" s="782">
        <v>1</v>
      </c>
      <c r="DJ9" s="41">
        <v>6</v>
      </c>
      <c r="DK9" s="758">
        <v>1</v>
      </c>
      <c r="DL9" s="23"/>
      <c r="DM9" s="750" t="s">
        <v>792</v>
      </c>
      <c r="DN9" s="23"/>
      <c r="DO9" s="800" t="s">
        <v>1047</v>
      </c>
      <c r="DP9" s="231"/>
      <c r="DQ9" s="231"/>
      <c r="DR9" s="231"/>
      <c r="DS9" s="789">
        <v>1</v>
      </c>
      <c r="DT9" s="41">
        <v>6</v>
      </c>
      <c r="DU9" s="5"/>
      <c r="DV9" s="23"/>
      <c r="DW9" s="751" t="s">
        <v>792</v>
      </c>
      <c r="DX9" s="23"/>
      <c r="DY9" s="23"/>
      <c r="DZ9" s="231"/>
      <c r="EA9" s="792">
        <v>1</v>
      </c>
      <c r="EB9" s="231"/>
      <c r="EC9" s="5"/>
      <c r="ED9" s="41">
        <v>6</v>
      </c>
      <c r="EE9" s="5"/>
      <c r="EF9" s="754">
        <v>1</v>
      </c>
      <c r="EG9" s="23"/>
      <c r="EH9" s="23"/>
      <c r="EI9" s="23"/>
      <c r="EJ9" s="231"/>
      <c r="EK9" s="231"/>
      <c r="EL9" s="5"/>
      <c r="EM9" s="41">
        <v>6</v>
      </c>
      <c r="EN9" s="5"/>
      <c r="EO9" s="23"/>
      <c r="EP9" s="23"/>
      <c r="EQ9" s="23"/>
      <c r="ER9" s="23"/>
      <c r="ES9" s="231"/>
      <c r="ET9" s="231"/>
      <c r="EU9" s="5"/>
      <c r="EV9" s="41">
        <v>6</v>
      </c>
      <c r="EW9" s="5"/>
      <c r="EX9" s="23"/>
      <c r="EY9" s="23"/>
      <c r="EZ9" s="23"/>
      <c r="FA9" s="23"/>
      <c r="FB9" s="231"/>
      <c r="FC9" s="792" t="s">
        <v>792</v>
      </c>
      <c r="FD9" s="231"/>
      <c r="FE9" s="5"/>
    </row>
    <row r="10" spans="1:161">
      <c r="A10" s="721">
        <v>7</v>
      </c>
      <c r="B10" s="718"/>
      <c r="C10" s="717"/>
      <c r="D10" s="721">
        <v>7</v>
      </c>
      <c r="E10" s="756">
        <v>1</v>
      </c>
      <c r="F10" s="753">
        <v>1</v>
      </c>
      <c r="G10" s="721">
        <v>7</v>
      </c>
      <c r="H10" s="717"/>
      <c r="I10" s="717"/>
      <c r="J10" s="717"/>
      <c r="K10" s="717"/>
      <c r="L10" s="717"/>
      <c r="M10" s="371"/>
      <c r="N10" s="721">
        <v>7</v>
      </c>
      <c r="O10" s="92">
        <v>1</v>
      </c>
      <c r="P10" s="755">
        <v>1</v>
      </c>
      <c r="Q10" s="717"/>
      <c r="R10" s="732"/>
      <c r="S10" s="717"/>
      <c r="T10" s="717"/>
      <c r="U10" s="371"/>
      <c r="V10" s="721">
        <v>7</v>
      </c>
      <c r="W10" s="93">
        <v>1</v>
      </c>
      <c r="X10" s="815">
        <v>1</v>
      </c>
      <c r="Y10" s="717"/>
      <c r="Z10" s="779">
        <v>1</v>
      </c>
      <c r="AA10" s="717"/>
      <c r="AB10" s="728"/>
      <c r="AC10" s="788">
        <v>1</v>
      </c>
      <c r="AD10" s="721">
        <v>7</v>
      </c>
      <c r="AE10" s="108">
        <v>1</v>
      </c>
      <c r="AF10" s="755">
        <v>1</v>
      </c>
      <c r="AG10" s="717"/>
      <c r="AH10" s="779">
        <v>1</v>
      </c>
      <c r="AI10" s="717"/>
      <c r="AJ10" s="728"/>
      <c r="AK10" s="788">
        <v>1</v>
      </c>
      <c r="AL10" s="721">
        <v>7</v>
      </c>
      <c r="AM10" s="717"/>
      <c r="AN10" s="755">
        <v>1</v>
      </c>
      <c r="AO10" s="717"/>
      <c r="AP10" s="779">
        <v>1</v>
      </c>
      <c r="AQ10" s="717"/>
      <c r="AR10" s="728"/>
      <c r="AS10" s="789">
        <v>1</v>
      </c>
      <c r="AT10" s="721">
        <v>7</v>
      </c>
      <c r="AU10" s="717"/>
      <c r="AV10" s="732"/>
      <c r="AW10" s="732"/>
      <c r="AX10" s="779">
        <v>1</v>
      </c>
      <c r="AY10" s="732"/>
      <c r="AZ10" s="734"/>
      <c r="BA10" s="717"/>
      <c r="BB10" s="721">
        <v>7</v>
      </c>
      <c r="BC10" s="717"/>
      <c r="BD10" s="754">
        <v>1</v>
      </c>
      <c r="BE10" s="842">
        <v>1</v>
      </c>
      <c r="BF10" s="732"/>
      <c r="BG10" s="732"/>
      <c r="BH10" s="734"/>
      <c r="BI10" s="734"/>
      <c r="BJ10" s="732"/>
      <c r="BK10" s="717" t="s">
        <v>117</v>
      </c>
      <c r="BL10" s="721">
        <v>7</v>
      </c>
      <c r="BM10" s="717"/>
      <c r="BN10" s="732"/>
      <c r="BO10" s="732"/>
      <c r="BP10" s="732"/>
      <c r="BQ10" s="732"/>
      <c r="BR10" s="732"/>
      <c r="BS10" s="734"/>
      <c r="BT10" s="732"/>
      <c r="BU10" s="371" t="s">
        <v>117</v>
      </c>
      <c r="BV10" s="721">
        <v>7</v>
      </c>
      <c r="BW10" s="5"/>
      <c r="BX10" s="753">
        <v>1</v>
      </c>
      <c r="BY10" s="23"/>
      <c r="BZ10" s="23"/>
      <c r="CA10" s="799" t="s">
        <v>792</v>
      </c>
      <c r="CB10" s="231"/>
      <c r="CC10" s="792">
        <v>1</v>
      </c>
      <c r="CD10" s="231"/>
      <c r="CE10" s="641"/>
      <c r="CF10" s="41">
        <v>7</v>
      </c>
      <c r="CG10" s="5"/>
      <c r="CH10" s="23"/>
      <c r="CI10" s="23"/>
      <c r="CJ10" s="23"/>
      <c r="CK10" s="23"/>
      <c r="CL10" s="231"/>
      <c r="CM10" s="231"/>
      <c r="CN10" s="231"/>
      <c r="CO10" s="641"/>
      <c r="CP10" s="41">
        <v>7</v>
      </c>
      <c r="CQ10" s="756">
        <v>1</v>
      </c>
      <c r="CR10" s="23"/>
      <c r="CS10" s="23"/>
      <c r="CT10" s="23"/>
      <c r="CU10" s="23"/>
      <c r="CV10" s="231"/>
      <c r="CW10" s="231"/>
      <c r="CX10" s="231"/>
      <c r="CY10" s="641"/>
      <c r="CZ10" s="41">
        <v>7</v>
      </c>
      <c r="DA10" s="756">
        <v>1</v>
      </c>
      <c r="DB10" s="753">
        <v>1</v>
      </c>
      <c r="DC10" s="23"/>
      <c r="DD10" s="23"/>
      <c r="DE10" s="23"/>
      <c r="DF10" s="231"/>
      <c r="DG10" s="231"/>
      <c r="DH10" s="231"/>
      <c r="DI10" s="784">
        <v>1</v>
      </c>
      <c r="DJ10" s="41">
        <v>7</v>
      </c>
      <c r="DK10" s="5"/>
      <c r="DL10" s="23"/>
      <c r="DM10" s="750" t="s">
        <v>792</v>
      </c>
      <c r="DN10" s="23"/>
      <c r="DO10" s="23"/>
      <c r="DP10" s="231"/>
      <c r="DQ10" s="231"/>
      <c r="DR10" s="231"/>
      <c r="DS10" s="5"/>
      <c r="DT10" s="41">
        <v>7</v>
      </c>
      <c r="DU10" s="756">
        <v>1</v>
      </c>
      <c r="DV10" s="753">
        <v>1</v>
      </c>
      <c r="DW10" s="749">
        <v>1</v>
      </c>
      <c r="DX10" s="23"/>
      <c r="DY10" s="23"/>
      <c r="DZ10" s="231"/>
      <c r="EA10" s="792">
        <v>1</v>
      </c>
      <c r="EB10" s="231"/>
      <c r="EC10" s="5"/>
      <c r="ED10" s="41">
        <v>7</v>
      </c>
      <c r="EE10" s="5"/>
      <c r="EF10" s="754">
        <v>1</v>
      </c>
      <c r="EG10" s="23"/>
      <c r="EH10" s="23"/>
      <c r="EI10" s="23"/>
      <c r="EJ10" s="231"/>
      <c r="EK10" s="231"/>
      <c r="EL10" s="5"/>
      <c r="EM10" s="41">
        <v>7</v>
      </c>
      <c r="EN10" s="5"/>
      <c r="EO10" s="23"/>
      <c r="EP10" s="23"/>
      <c r="EQ10" s="23"/>
      <c r="ER10" s="23"/>
      <c r="ES10" s="231"/>
      <c r="ET10" s="231"/>
      <c r="EU10" s="5"/>
      <c r="EV10" s="41">
        <v>7</v>
      </c>
      <c r="EW10" s="5"/>
      <c r="EX10" s="23"/>
      <c r="EY10" s="23"/>
      <c r="EZ10" s="23"/>
      <c r="FA10" s="23"/>
      <c r="FB10" s="231"/>
      <c r="FC10" s="792" t="s">
        <v>792</v>
      </c>
      <c r="FD10" s="231"/>
      <c r="FE10" s="5"/>
    </row>
    <row r="11" spans="1:161">
      <c r="A11" s="721">
        <v>8</v>
      </c>
      <c r="B11" s="717"/>
      <c r="C11" s="717"/>
      <c r="D11" s="721">
        <v>8</v>
      </c>
      <c r="E11" s="757">
        <v>1</v>
      </c>
      <c r="F11" s="754">
        <v>1</v>
      </c>
      <c r="G11" s="721">
        <v>8</v>
      </c>
      <c r="H11" s="717"/>
      <c r="I11" s="753">
        <v>1</v>
      </c>
      <c r="J11" s="749">
        <v>1</v>
      </c>
      <c r="K11" s="717"/>
      <c r="L11" s="717"/>
      <c r="M11" s="371"/>
      <c r="N11" s="721">
        <v>8</v>
      </c>
      <c r="O11" s="92">
        <v>1</v>
      </c>
      <c r="P11" s="820">
        <v>1</v>
      </c>
      <c r="Q11" s="749">
        <v>1</v>
      </c>
      <c r="R11" s="717"/>
      <c r="S11" s="717"/>
      <c r="T11" s="717"/>
      <c r="U11" s="371"/>
      <c r="V11" s="721">
        <v>8</v>
      </c>
      <c r="W11" s="717"/>
      <c r="X11" s="307">
        <v>1</v>
      </c>
      <c r="Y11" s="717"/>
      <c r="Z11" s="779">
        <v>1</v>
      </c>
      <c r="AA11" s="717"/>
      <c r="AB11" s="728"/>
      <c r="AC11" s="789">
        <v>1</v>
      </c>
      <c r="AD11" s="721">
        <v>8</v>
      </c>
      <c r="AE11" s="758">
        <v>1</v>
      </c>
      <c r="AF11" s="717"/>
      <c r="AG11" s="717"/>
      <c r="AH11" s="779">
        <v>1</v>
      </c>
      <c r="AI11" s="717"/>
      <c r="AJ11" s="728"/>
      <c r="AK11" s="789">
        <v>1</v>
      </c>
      <c r="AL11" s="721">
        <v>8</v>
      </c>
      <c r="AM11" s="717"/>
      <c r="AN11" s="754">
        <v>1</v>
      </c>
      <c r="AO11" s="717"/>
      <c r="AP11" s="779">
        <v>1</v>
      </c>
      <c r="AQ11" s="717"/>
      <c r="AR11" s="728"/>
      <c r="AS11" s="717"/>
      <c r="AT11" s="721">
        <v>8</v>
      </c>
      <c r="AU11" s="717"/>
      <c r="AV11" s="732"/>
      <c r="AW11" s="732"/>
      <c r="AX11" s="779">
        <v>1</v>
      </c>
      <c r="AY11" s="732"/>
      <c r="AZ11" s="734"/>
      <c r="BA11" s="717"/>
      <c r="BB11" s="721">
        <v>8</v>
      </c>
      <c r="BC11" s="717"/>
      <c r="BD11" s="755">
        <v>1</v>
      </c>
      <c r="BE11" s="842">
        <v>1</v>
      </c>
      <c r="BF11" s="732"/>
      <c r="BG11" s="732"/>
      <c r="BH11" s="734"/>
      <c r="BI11" s="734"/>
      <c r="BJ11" s="732"/>
      <c r="BK11" s="717" t="s">
        <v>117</v>
      </c>
      <c r="BL11" s="721">
        <v>8</v>
      </c>
      <c r="BM11" s="717"/>
      <c r="BN11" s="732"/>
      <c r="BO11" s="732"/>
      <c r="BP11" s="732"/>
      <c r="BQ11" s="732"/>
      <c r="BR11" s="732"/>
      <c r="BS11" s="734"/>
      <c r="BT11" s="732"/>
      <c r="BU11" s="371" t="s">
        <v>117</v>
      </c>
      <c r="BV11" s="721">
        <v>8</v>
      </c>
      <c r="BW11" s="5"/>
      <c r="BX11" s="755">
        <v>1</v>
      </c>
      <c r="BY11" s="23"/>
      <c r="BZ11" s="23"/>
      <c r="CA11" s="799" t="s">
        <v>792</v>
      </c>
      <c r="CB11" s="231"/>
      <c r="CC11" s="791">
        <v>1</v>
      </c>
      <c r="CD11" s="231"/>
      <c r="CE11" s="641"/>
      <c r="CF11" s="41">
        <v>8</v>
      </c>
      <c r="CG11" s="5"/>
      <c r="CH11" s="23"/>
      <c r="CI11" s="23"/>
      <c r="CJ11" s="23"/>
      <c r="CK11" s="23"/>
      <c r="CL11" s="231"/>
      <c r="CM11" s="231"/>
      <c r="CN11" s="231"/>
      <c r="CO11" s="641"/>
      <c r="CP11" s="41">
        <v>8</v>
      </c>
      <c r="CQ11" s="757">
        <v>1</v>
      </c>
      <c r="CR11" s="23"/>
      <c r="CS11" s="23"/>
      <c r="CT11" s="23"/>
      <c r="CU11" s="23"/>
      <c r="CV11" s="231"/>
      <c r="CW11" s="231"/>
      <c r="CX11" s="231"/>
      <c r="CY11" s="641"/>
      <c r="CZ11" s="41">
        <v>8</v>
      </c>
      <c r="DA11" s="758">
        <v>1</v>
      </c>
      <c r="DB11" s="755">
        <v>1</v>
      </c>
      <c r="DC11" s="23"/>
      <c r="DD11" s="23"/>
      <c r="DE11" s="23"/>
      <c r="DF11" s="231"/>
      <c r="DG11" s="231"/>
      <c r="DH11" s="231"/>
      <c r="DI11" s="5"/>
      <c r="DJ11" s="41">
        <v>8</v>
      </c>
      <c r="DK11" s="5"/>
      <c r="DL11" s="23"/>
      <c r="DM11" s="750" t="s">
        <v>792</v>
      </c>
      <c r="DN11" s="23"/>
      <c r="DO11" s="798">
        <v>1</v>
      </c>
      <c r="DP11" s="231"/>
      <c r="DQ11" s="231"/>
      <c r="DR11" s="231"/>
      <c r="DS11" s="5"/>
      <c r="DT11" s="41">
        <v>8</v>
      </c>
      <c r="DU11" s="757">
        <v>1</v>
      </c>
      <c r="DV11" s="754">
        <v>1</v>
      </c>
      <c r="DW11" s="750">
        <v>1</v>
      </c>
      <c r="DX11" s="23"/>
      <c r="DY11" s="23"/>
      <c r="DZ11" s="231"/>
      <c r="EA11" s="792">
        <v>1</v>
      </c>
      <c r="EB11" s="231"/>
      <c r="EC11" s="5"/>
      <c r="ED11" s="41">
        <v>8</v>
      </c>
      <c r="EE11" s="5"/>
      <c r="EF11" s="754">
        <v>1</v>
      </c>
      <c r="EG11" s="23"/>
      <c r="EH11" s="23"/>
      <c r="EI11" s="23"/>
      <c r="EJ11" s="231"/>
      <c r="EK11" s="231"/>
      <c r="EL11" s="5"/>
      <c r="EM11" s="41">
        <v>8</v>
      </c>
      <c r="EN11" s="5"/>
      <c r="EO11" s="23"/>
      <c r="EP11" s="23"/>
      <c r="EQ11" s="23"/>
      <c r="ER11" s="23"/>
      <c r="ES11" s="231"/>
      <c r="ET11" s="231"/>
      <c r="EU11" s="5"/>
      <c r="EV11" s="41">
        <v>8</v>
      </c>
      <c r="EW11" s="5"/>
      <c r="EX11" s="23"/>
      <c r="EY11" s="23"/>
      <c r="EZ11" s="23"/>
      <c r="FA11" s="23"/>
      <c r="FB11" s="231"/>
      <c r="FC11" s="792" t="s">
        <v>792</v>
      </c>
      <c r="FD11" s="231"/>
      <c r="FE11" s="5"/>
    </row>
    <row r="12" spans="1:161">
      <c r="A12" s="721">
        <v>9</v>
      </c>
      <c r="B12" s="717"/>
      <c r="C12" s="717"/>
      <c r="D12" s="721">
        <v>9</v>
      </c>
      <c r="E12" s="758">
        <v>1</v>
      </c>
      <c r="F12" s="754">
        <v>1</v>
      </c>
      <c r="G12" s="721">
        <v>9</v>
      </c>
      <c r="H12" s="717"/>
      <c r="I12" s="755">
        <v>1</v>
      </c>
      <c r="J12" s="751">
        <v>1</v>
      </c>
      <c r="K12" s="717"/>
      <c r="L12" s="717"/>
      <c r="M12" s="371"/>
      <c r="N12" s="721">
        <v>9</v>
      </c>
      <c r="O12" s="93">
        <v>1</v>
      </c>
      <c r="P12" s="819">
        <v>1</v>
      </c>
      <c r="Q12" s="750">
        <v>1</v>
      </c>
      <c r="R12" s="717"/>
      <c r="S12" s="717"/>
      <c r="T12" s="717"/>
      <c r="U12" s="371"/>
      <c r="V12" s="721">
        <v>9</v>
      </c>
      <c r="W12" s="756">
        <v>1</v>
      </c>
      <c r="X12" s="753">
        <v>1</v>
      </c>
      <c r="Y12" s="717"/>
      <c r="Z12" s="779">
        <v>1</v>
      </c>
      <c r="AA12" s="717"/>
      <c r="AB12" s="728"/>
      <c r="AC12" s="788">
        <v>1</v>
      </c>
      <c r="AD12" s="721">
        <v>9</v>
      </c>
      <c r="AE12" s="717"/>
      <c r="AF12" s="717"/>
      <c r="AG12" s="717"/>
      <c r="AH12" s="779">
        <v>1</v>
      </c>
      <c r="AI12" s="717"/>
      <c r="AJ12" s="728"/>
      <c r="AK12" s="788">
        <v>1</v>
      </c>
      <c r="AL12" s="721">
        <v>9</v>
      </c>
      <c r="AM12" s="717"/>
      <c r="AN12" s="754">
        <v>1</v>
      </c>
      <c r="AO12" s="717"/>
      <c r="AP12" s="779">
        <v>1</v>
      </c>
      <c r="AQ12" s="717"/>
      <c r="AR12" s="728"/>
      <c r="AS12" s="717"/>
      <c r="AT12" s="721">
        <v>9</v>
      </c>
      <c r="AU12" s="717"/>
      <c r="AV12" s="732"/>
      <c r="AW12" s="732"/>
      <c r="AX12" s="779">
        <v>1</v>
      </c>
      <c r="AY12" s="732"/>
      <c r="AZ12" s="734"/>
      <c r="BA12" s="786">
        <v>1</v>
      </c>
      <c r="BB12" s="721">
        <v>9</v>
      </c>
      <c r="BC12" s="717"/>
      <c r="BD12" s="732"/>
      <c r="BE12" s="732"/>
      <c r="BF12" s="732"/>
      <c r="BG12" s="732"/>
      <c r="BH12" s="734"/>
      <c r="BI12" s="734"/>
      <c r="BJ12" s="732"/>
      <c r="BK12" s="717" t="s">
        <v>117</v>
      </c>
      <c r="BL12" s="721">
        <v>9</v>
      </c>
      <c r="BM12" s="717"/>
      <c r="BN12" s="732"/>
      <c r="BO12" s="732"/>
      <c r="BP12" s="732"/>
      <c r="BQ12" s="732"/>
      <c r="BR12" s="732"/>
      <c r="BS12" s="734"/>
      <c r="BT12" s="732"/>
      <c r="BU12" s="371" t="s">
        <v>117</v>
      </c>
      <c r="BV12" s="721">
        <v>9</v>
      </c>
      <c r="BW12" s="756">
        <v>1</v>
      </c>
      <c r="BX12" s="753">
        <v>1</v>
      </c>
      <c r="BY12" s="23"/>
      <c r="BZ12" s="23"/>
      <c r="CA12" s="799" t="s">
        <v>792</v>
      </c>
      <c r="CB12" s="231"/>
      <c r="CC12" s="231"/>
      <c r="CD12" s="231"/>
      <c r="CE12" s="641"/>
      <c r="CF12" s="41">
        <v>9</v>
      </c>
      <c r="CG12" s="5"/>
      <c r="CH12" s="753">
        <v>1</v>
      </c>
      <c r="CI12" s="23"/>
      <c r="CJ12" s="23"/>
      <c r="CK12" s="23"/>
      <c r="CL12" s="231"/>
      <c r="CM12" s="231"/>
      <c r="CN12" s="231"/>
      <c r="CO12" s="641"/>
      <c r="CP12" s="41">
        <v>9</v>
      </c>
      <c r="CQ12" s="93">
        <v>1</v>
      </c>
      <c r="CR12" s="753">
        <v>1</v>
      </c>
      <c r="CS12" s="23"/>
      <c r="CT12" s="23"/>
      <c r="CU12" s="23"/>
      <c r="CV12" s="231"/>
      <c r="CW12" s="231"/>
      <c r="CX12" s="231"/>
      <c r="CY12" s="641"/>
      <c r="CZ12" s="41">
        <v>9</v>
      </c>
      <c r="DA12" s="5"/>
      <c r="DB12" s="753">
        <v>1</v>
      </c>
      <c r="DC12" s="23"/>
      <c r="DD12" s="23"/>
      <c r="DE12" s="23"/>
      <c r="DF12" s="231"/>
      <c r="DG12" s="231"/>
      <c r="DH12" s="231"/>
      <c r="DI12" s="5"/>
      <c r="DJ12" s="41">
        <v>9</v>
      </c>
      <c r="DK12" s="756">
        <v>1</v>
      </c>
      <c r="DL12" s="23"/>
      <c r="DM12" s="750" t="s">
        <v>792</v>
      </c>
      <c r="DN12" s="23"/>
      <c r="DO12" s="799">
        <v>1</v>
      </c>
      <c r="DP12" s="231"/>
      <c r="DQ12" s="231"/>
      <c r="DR12" s="231"/>
      <c r="DS12" s="5"/>
      <c r="DT12" s="41">
        <v>9</v>
      </c>
      <c r="DU12" s="757">
        <v>1</v>
      </c>
      <c r="DV12" s="754">
        <v>1</v>
      </c>
      <c r="DW12" s="750">
        <v>1</v>
      </c>
      <c r="DX12" s="23"/>
      <c r="DY12" s="23"/>
      <c r="DZ12" s="231"/>
      <c r="EA12" s="792">
        <v>1</v>
      </c>
      <c r="EB12" s="231"/>
      <c r="EC12" s="5"/>
      <c r="ED12" s="41">
        <v>9</v>
      </c>
      <c r="EE12" s="5"/>
      <c r="EF12" s="754">
        <v>1</v>
      </c>
      <c r="EG12" s="23"/>
      <c r="EH12" s="23"/>
      <c r="EI12" s="23"/>
      <c r="EJ12" s="231"/>
      <c r="EK12" s="231"/>
      <c r="EL12" s="5"/>
      <c r="EM12" s="41">
        <v>9</v>
      </c>
      <c r="EN12" s="5"/>
      <c r="EO12" s="23"/>
      <c r="EP12" s="23"/>
      <c r="EQ12" s="23"/>
      <c r="ER12" s="23"/>
      <c r="ES12" s="231"/>
      <c r="ET12" s="231"/>
      <c r="EU12" s="5"/>
      <c r="EV12" s="41">
        <v>9</v>
      </c>
      <c r="EW12" s="5"/>
      <c r="EX12" s="23"/>
      <c r="EY12" s="23"/>
      <c r="EZ12" s="23"/>
      <c r="FA12" s="23"/>
      <c r="FB12" s="231"/>
      <c r="FC12" s="792" t="s">
        <v>792</v>
      </c>
      <c r="FD12" s="231"/>
      <c r="FE12" s="5"/>
    </row>
    <row r="13" spans="1:161">
      <c r="A13" s="721">
        <v>10</v>
      </c>
      <c r="B13" s="717"/>
      <c r="C13" s="717"/>
      <c r="D13" s="721">
        <v>10</v>
      </c>
      <c r="E13" s="756">
        <v>1</v>
      </c>
      <c r="F13" s="755">
        <v>1</v>
      </c>
      <c r="G13" s="721">
        <v>10</v>
      </c>
      <c r="H13" s="717"/>
      <c r="I13" s="754">
        <v>1</v>
      </c>
      <c r="J13" s="717"/>
      <c r="K13" s="717"/>
      <c r="L13" s="717"/>
      <c r="M13" s="371"/>
      <c r="N13" s="721">
        <v>10</v>
      </c>
      <c r="O13" s="717"/>
      <c r="P13" s="820">
        <v>1</v>
      </c>
      <c r="Q13" s="750">
        <v>1</v>
      </c>
      <c r="R13" s="717"/>
      <c r="S13" s="824">
        <v>1</v>
      </c>
      <c r="T13" s="728"/>
      <c r="U13" s="371"/>
      <c r="V13" s="721">
        <v>10</v>
      </c>
      <c r="W13" s="757">
        <v>1</v>
      </c>
      <c r="X13" s="755">
        <v>1</v>
      </c>
      <c r="Y13" s="717"/>
      <c r="Z13" s="779">
        <v>1</v>
      </c>
      <c r="AA13" s="717"/>
      <c r="AB13" s="728"/>
      <c r="AC13" s="789">
        <v>1</v>
      </c>
      <c r="AD13" s="721">
        <v>10</v>
      </c>
      <c r="AE13" s="717"/>
      <c r="AF13" s="768">
        <v>1</v>
      </c>
      <c r="AG13" s="717"/>
      <c r="AH13" s="779">
        <v>1</v>
      </c>
      <c r="AI13" s="717"/>
      <c r="AJ13" s="728"/>
      <c r="AK13" s="788">
        <v>1</v>
      </c>
      <c r="AL13" s="721">
        <v>10</v>
      </c>
      <c r="AM13" s="717"/>
      <c r="AN13" s="755">
        <v>1</v>
      </c>
      <c r="AO13" s="717"/>
      <c r="AP13" s="779">
        <v>1</v>
      </c>
      <c r="AQ13" s="717"/>
      <c r="AR13" s="728"/>
      <c r="AS13" s="717"/>
      <c r="AT13" s="721">
        <v>10</v>
      </c>
      <c r="AU13" s="717"/>
      <c r="AV13" s="732"/>
      <c r="AW13" s="732"/>
      <c r="AX13" s="779">
        <v>1</v>
      </c>
      <c r="AY13" s="732"/>
      <c r="AZ13" s="734"/>
      <c r="BA13" s="717"/>
      <c r="BB13" s="721">
        <v>10</v>
      </c>
      <c r="BC13" s="717"/>
      <c r="BD13" s="732"/>
      <c r="BE13" s="732"/>
      <c r="BF13" s="732"/>
      <c r="BG13" s="732"/>
      <c r="BH13" s="734"/>
      <c r="BI13" s="734"/>
      <c r="BJ13" s="732"/>
      <c r="BK13" s="717" t="s">
        <v>117</v>
      </c>
      <c r="BL13" s="721">
        <v>10</v>
      </c>
      <c r="BM13" s="717"/>
      <c r="BN13" s="732"/>
      <c r="BO13" s="732"/>
      <c r="BP13" s="732"/>
      <c r="BQ13" s="732"/>
      <c r="BR13" s="732"/>
      <c r="BS13" s="734"/>
      <c r="BT13" s="732"/>
      <c r="BU13" s="371" t="s">
        <v>117</v>
      </c>
      <c r="BV13" s="721">
        <v>10</v>
      </c>
      <c r="BW13" s="758">
        <v>1</v>
      </c>
      <c r="BX13" s="755">
        <v>1</v>
      </c>
      <c r="BY13" s="23"/>
      <c r="BZ13" s="23"/>
      <c r="CA13" s="800" t="s">
        <v>792</v>
      </c>
      <c r="CB13" s="231"/>
      <c r="CC13" s="231"/>
      <c r="CD13" s="231"/>
      <c r="CE13" s="641"/>
      <c r="CF13" s="41">
        <v>10</v>
      </c>
      <c r="CG13" s="5"/>
      <c r="CH13" s="754">
        <v>1</v>
      </c>
      <c r="CI13" s="23"/>
      <c r="CJ13" s="23"/>
      <c r="CK13" s="23"/>
      <c r="CL13" s="231"/>
      <c r="CM13" s="231"/>
      <c r="CN13" s="231"/>
      <c r="CO13" s="641"/>
      <c r="CP13" s="41">
        <v>10</v>
      </c>
      <c r="CQ13" s="5"/>
      <c r="CR13" s="755">
        <v>1</v>
      </c>
      <c r="CS13" s="23"/>
      <c r="CT13" s="23"/>
      <c r="CU13" s="23"/>
      <c r="CV13" s="231"/>
      <c r="CW13" s="231"/>
      <c r="CX13" s="231"/>
      <c r="CY13" s="641"/>
      <c r="CZ13" s="41">
        <v>10</v>
      </c>
      <c r="DA13" s="5"/>
      <c r="DB13" s="755">
        <v>1</v>
      </c>
      <c r="DC13" s="23"/>
      <c r="DD13" s="23"/>
      <c r="DE13" s="23"/>
      <c r="DF13" s="231"/>
      <c r="DG13" s="231"/>
      <c r="DH13" s="231"/>
      <c r="DI13" s="5"/>
      <c r="DJ13" s="41">
        <v>10</v>
      </c>
      <c r="DK13" s="758">
        <v>1</v>
      </c>
      <c r="DL13" s="23"/>
      <c r="DM13" s="750" t="s">
        <v>792</v>
      </c>
      <c r="DN13" s="23"/>
      <c r="DO13" s="799">
        <v>1</v>
      </c>
      <c r="DP13" s="231"/>
      <c r="DQ13" s="231"/>
      <c r="DR13" s="231"/>
      <c r="DS13" s="5"/>
      <c r="DT13" s="41">
        <v>10</v>
      </c>
      <c r="DU13" s="757">
        <v>1</v>
      </c>
      <c r="DV13" s="754">
        <v>1</v>
      </c>
      <c r="DW13" s="750">
        <v>1</v>
      </c>
      <c r="DX13" s="23"/>
      <c r="DY13" s="23"/>
      <c r="DZ13" s="231"/>
      <c r="EA13" s="792">
        <v>1</v>
      </c>
      <c r="EB13" s="231"/>
      <c r="EC13" s="5"/>
      <c r="ED13" s="41">
        <v>10</v>
      </c>
      <c r="EE13" s="5"/>
      <c r="EF13" s="755">
        <v>1</v>
      </c>
      <c r="EG13" s="23"/>
      <c r="EH13" s="23"/>
      <c r="EI13" s="23"/>
      <c r="EJ13" s="231"/>
      <c r="EK13" s="231"/>
      <c r="EL13" s="5"/>
      <c r="EM13" s="41">
        <v>10</v>
      </c>
      <c r="EN13" s="5"/>
      <c r="EO13" s="23"/>
      <c r="EP13" s="23"/>
      <c r="EQ13" s="23"/>
      <c r="ER13" s="23"/>
      <c r="ES13" s="231"/>
      <c r="ET13" s="231"/>
      <c r="EU13" s="5"/>
      <c r="EV13" s="41">
        <v>10</v>
      </c>
      <c r="EW13" s="5"/>
      <c r="EX13" s="23"/>
      <c r="EY13" s="23"/>
      <c r="EZ13" s="23"/>
      <c r="FA13" s="23"/>
      <c r="FB13" s="231"/>
      <c r="FC13" s="792" t="s">
        <v>792</v>
      </c>
      <c r="FD13" s="231"/>
      <c r="FE13" s="5"/>
    </row>
    <row r="14" spans="1:161">
      <c r="A14" s="721">
        <v>11</v>
      </c>
      <c r="B14" s="717"/>
      <c r="C14" s="717"/>
      <c r="D14" s="721">
        <v>11</v>
      </c>
      <c r="E14" s="758">
        <v>1</v>
      </c>
      <c r="F14" s="717"/>
      <c r="G14" s="721">
        <v>11</v>
      </c>
      <c r="H14" s="717"/>
      <c r="I14" s="755">
        <v>1</v>
      </c>
      <c r="J14" s="717"/>
      <c r="K14" s="717"/>
      <c r="L14" s="717"/>
      <c r="M14" s="371"/>
      <c r="N14" s="721">
        <v>11</v>
      </c>
      <c r="O14" s="108">
        <v>1</v>
      </c>
      <c r="P14" s="820">
        <v>1</v>
      </c>
      <c r="Q14" s="831">
        <v>1</v>
      </c>
      <c r="R14" s="828">
        <v>1</v>
      </c>
      <c r="S14" s="826">
        <v>1</v>
      </c>
      <c r="T14" s="728"/>
      <c r="U14" s="371"/>
      <c r="V14" s="721">
        <v>11</v>
      </c>
      <c r="W14" s="757">
        <v>1</v>
      </c>
      <c r="X14" s="717"/>
      <c r="Y14" s="717"/>
      <c r="Z14" s="779">
        <v>1</v>
      </c>
      <c r="AA14" s="717"/>
      <c r="AB14" s="728"/>
      <c r="AC14" s="732"/>
      <c r="AD14" s="721">
        <v>11</v>
      </c>
      <c r="AE14" s="717"/>
      <c r="AF14" s="754">
        <v>1</v>
      </c>
      <c r="AG14" s="717"/>
      <c r="AH14" s="779">
        <v>1</v>
      </c>
      <c r="AI14" s="717"/>
      <c r="AJ14" s="728"/>
      <c r="AK14" s="788">
        <v>1</v>
      </c>
      <c r="AL14" s="721">
        <v>11</v>
      </c>
      <c r="AM14" s="717"/>
      <c r="AN14" s="717"/>
      <c r="AO14" s="717"/>
      <c r="AP14" s="779">
        <v>1</v>
      </c>
      <c r="AQ14" s="717"/>
      <c r="AR14" s="728"/>
      <c r="AS14" s="787">
        <v>1</v>
      </c>
      <c r="AT14" s="721">
        <v>11</v>
      </c>
      <c r="AU14" s="717"/>
      <c r="AV14" s="732"/>
      <c r="AW14" s="732"/>
      <c r="AX14" s="779">
        <v>1</v>
      </c>
      <c r="AY14" s="732"/>
      <c r="AZ14" s="734"/>
      <c r="BA14" s="786">
        <v>1</v>
      </c>
      <c r="BB14" s="721">
        <v>11</v>
      </c>
      <c r="BC14" s="756">
        <v>1</v>
      </c>
      <c r="BD14" s="718"/>
      <c r="BE14" s="732"/>
      <c r="BF14" s="732"/>
      <c r="BG14" s="732"/>
      <c r="BH14" s="734"/>
      <c r="BI14" s="734"/>
      <c r="BJ14" s="732"/>
      <c r="BK14" s="717" t="s">
        <v>117</v>
      </c>
      <c r="BL14" s="721">
        <v>11</v>
      </c>
      <c r="BM14" s="717"/>
      <c r="BN14" s="732"/>
      <c r="BO14" s="732"/>
      <c r="BP14" s="732"/>
      <c r="BQ14" s="732"/>
      <c r="BR14" s="732"/>
      <c r="BS14" s="734"/>
      <c r="BT14" s="732"/>
      <c r="BU14" s="371" t="s">
        <v>117</v>
      </c>
      <c r="BV14" s="721">
        <v>11</v>
      </c>
      <c r="BW14" s="5"/>
      <c r="BX14" s="23"/>
      <c r="BY14" s="23"/>
      <c r="BZ14" s="23"/>
      <c r="CA14" s="23"/>
      <c r="CB14" s="231"/>
      <c r="CC14" s="231"/>
      <c r="CD14" s="231"/>
      <c r="CE14" s="641"/>
      <c r="CF14" s="41">
        <v>11</v>
      </c>
      <c r="CG14" s="5"/>
      <c r="CH14" s="754">
        <v>1</v>
      </c>
      <c r="CI14" s="23"/>
      <c r="CJ14" s="23"/>
      <c r="CK14" s="23"/>
      <c r="CL14" s="231"/>
      <c r="CM14" s="231"/>
      <c r="CN14" s="231"/>
      <c r="CO14" s="641"/>
      <c r="CP14" s="41">
        <v>11</v>
      </c>
      <c r="CQ14" s="5"/>
      <c r="CR14" s="23"/>
      <c r="CS14" s="23"/>
      <c r="CT14" s="23"/>
      <c r="CU14" s="23"/>
      <c r="CV14" s="231"/>
      <c r="CW14" s="231"/>
      <c r="CX14" s="231"/>
      <c r="CY14" s="641"/>
      <c r="CZ14" s="41">
        <v>11</v>
      </c>
      <c r="DA14" s="5"/>
      <c r="DB14" s="753">
        <v>1</v>
      </c>
      <c r="DD14" s="23"/>
      <c r="DE14" s="23"/>
      <c r="DF14" s="231"/>
      <c r="DG14" s="231"/>
      <c r="DH14" s="231"/>
      <c r="DI14" s="5"/>
      <c r="DJ14" s="41">
        <v>11</v>
      </c>
      <c r="DK14" s="5"/>
      <c r="DL14" s="23"/>
      <c r="DM14" s="750" t="s">
        <v>792</v>
      </c>
      <c r="DN14" s="23"/>
      <c r="DO14" s="799">
        <v>1</v>
      </c>
      <c r="DP14" s="231"/>
      <c r="DQ14" s="231"/>
      <c r="DR14" s="231"/>
      <c r="DS14" s="5"/>
      <c r="DT14" s="41">
        <v>11</v>
      </c>
      <c r="DU14" s="757">
        <v>1</v>
      </c>
      <c r="DV14" s="754">
        <v>1</v>
      </c>
      <c r="DW14" s="750">
        <v>1</v>
      </c>
      <c r="DX14" s="23"/>
      <c r="DY14" s="23"/>
      <c r="DZ14" s="231"/>
      <c r="EA14" s="792">
        <v>1</v>
      </c>
      <c r="EB14" s="231"/>
      <c r="EC14" s="5"/>
      <c r="ED14" s="41">
        <v>11</v>
      </c>
      <c r="EE14" s="5"/>
      <c r="EF14" s="23"/>
      <c r="EG14" s="23"/>
      <c r="EH14" s="23"/>
      <c r="EI14" s="23"/>
      <c r="EJ14" s="231"/>
      <c r="EK14" s="231"/>
      <c r="EL14" s="5"/>
      <c r="EM14" s="41">
        <v>11</v>
      </c>
      <c r="EN14" s="5"/>
      <c r="EO14" s="23"/>
      <c r="EP14" s="23"/>
      <c r="EQ14" s="23"/>
      <c r="ER14" s="23"/>
      <c r="ES14" s="231"/>
      <c r="ET14" s="231"/>
      <c r="EU14" s="5"/>
      <c r="EV14" s="41">
        <v>11</v>
      </c>
      <c r="EW14" s="5"/>
      <c r="EX14" s="23"/>
      <c r="EY14" s="23"/>
      <c r="EZ14" s="23"/>
      <c r="FA14" s="23"/>
      <c r="FB14" s="231"/>
      <c r="FC14" s="792" t="s">
        <v>792</v>
      </c>
      <c r="FD14" s="231"/>
      <c r="FE14" s="5"/>
    </row>
    <row r="15" spans="1:161">
      <c r="A15" s="721">
        <v>12</v>
      </c>
      <c r="B15" s="717"/>
      <c r="C15" s="717"/>
      <c r="D15" s="721">
        <v>12</v>
      </c>
      <c r="E15" s="719"/>
      <c r="F15" s="717"/>
      <c r="G15" s="721">
        <v>12</v>
      </c>
      <c r="H15" s="717"/>
      <c r="I15" s="754">
        <v>1</v>
      </c>
      <c r="J15" s="717"/>
      <c r="K15" s="717"/>
      <c r="L15" s="717"/>
      <c r="M15" s="371"/>
      <c r="N15" s="721">
        <v>12</v>
      </c>
      <c r="O15" s="92">
        <v>1</v>
      </c>
      <c r="P15" s="819">
        <v>1</v>
      </c>
      <c r="Q15" s="831">
        <v>1</v>
      </c>
      <c r="R15" s="779">
        <v>1</v>
      </c>
      <c r="S15" s="717"/>
      <c r="T15" s="717"/>
      <c r="U15" s="371"/>
      <c r="V15" s="721">
        <v>12</v>
      </c>
      <c r="W15" s="108">
        <v>1</v>
      </c>
      <c r="X15" s="834">
        <v>1</v>
      </c>
      <c r="Y15" s="717"/>
      <c r="Z15" s="779">
        <v>1</v>
      </c>
      <c r="AA15" s="717"/>
      <c r="AB15" s="728"/>
      <c r="AC15" s="732"/>
      <c r="AD15" s="721">
        <v>12</v>
      </c>
      <c r="AE15" s="108">
        <v>1</v>
      </c>
      <c r="AF15" s="754">
        <v>1</v>
      </c>
      <c r="AG15" s="717"/>
      <c r="AH15" s="779">
        <v>1</v>
      </c>
      <c r="AI15" s="717"/>
      <c r="AJ15" s="728"/>
      <c r="AK15" s="788">
        <v>1</v>
      </c>
      <c r="AL15" s="721">
        <v>12</v>
      </c>
      <c r="AM15" s="756">
        <v>1</v>
      </c>
      <c r="AN15" s="753">
        <v>1</v>
      </c>
      <c r="AO15" s="717"/>
      <c r="AP15" s="779">
        <v>1</v>
      </c>
      <c r="AQ15" s="717"/>
      <c r="AR15" s="728"/>
      <c r="AS15" s="788">
        <v>1</v>
      </c>
      <c r="AT15" s="721">
        <v>12</v>
      </c>
      <c r="AU15" s="717"/>
      <c r="AV15" s="732"/>
      <c r="AW15" s="732"/>
      <c r="AX15" s="779">
        <v>1</v>
      </c>
      <c r="AY15" s="732"/>
      <c r="AZ15" s="734"/>
      <c r="BA15" s="717"/>
      <c r="BB15" s="721">
        <v>12</v>
      </c>
      <c r="BC15" s="758">
        <v>1</v>
      </c>
      <c r="BD15" s="718"/>
      <c r="BE15" s="732"/>
      <c r="BF15" s="732"/>
      <c r="BG15" s="732"/>
      <c r="BH15" s="734"/>
      <c r="BI15" s="734"/>
      <c r="BJ15" s="732"/>
      <c r="BK15" s="717" t="s">
        <v>117</v>
      </c>
      <c r="BL15" s="721">
        <v>12</v>
      </c>
      <c r="BM15" s="717"/>
      <c r="BN15" s="732"/>
      <c r="BO15" s="732"/>
      <c r="BP15" s="732"/>
      <c r="BQ15" s="732"/>
      <c r="BR15" s="732"/>
      <c r="BS15" s="734"/>
      <c r="BT15" s="732"/>
      <c r="BU15" s="371" t="s">
        <v>117</v>
      </c>
      <c r="BV15" s="721">
        <v>12</v>
      </c>
      <c r="BW15" s="5"/>
      <c r="BX15" s="23"/>
      <c r="BY15" s="23"/>
      <c r="BZ15" s="23"/>
      <c r="CA15" s="23"/>
      <c r="CB15" s="231"/>
      <c r="CC15" s="231"/>
      <c r="CD15" s="231"/>
      <c r="CE15" s="641"/>
      <c r="CF15" s="41">
        <v>12</v>
      </c>
      <c r="CG15" s="5"/>
      <c r="CH15" s="754">
        <v>1</v>
      </c>
      <c r="CI15" s="23"/>
      <c r="CJ15" s="23"/>
      <c r="CK15" s="23"/>
      <c r="CL15" s="231"/>
      <c r="CM15" s="231"/>
      <c r="CN15" s="231"/>
      <c r="CO15" s="641"/>
      <c r="CP15" s="41">
        <v>12</v>
      </c>
      <c r="CQ15" s="5"/>
      <c r="CR15" s="23"/>
      <c r="CS15" s="23"/>
      <c r="CT15" s="23"/>
      <c r="CU15" s="23"/>
      <c r="CV15" s="231"/>
      <c r="CW15" s="231"/>
      <c r="CX15" s="231"/>
      <c r="CY15" s="641"/>
      <c r="CZ15" s="41">
        <v>12</v>
      </c>
      <c r="DA15" s="5"/>
      <c r="DB15" s="754">
        <v>1</v>
      </c>
      <c r="DD15" s="23"/>
      <c r="DE15" s="23"/>
      <c r="DF15" s="231"/>
      <c r="DG15" s="231"/>
      <c r="DH15" s="231"/>
      <c r="DI15" s="5"/>
      <c r="DJ15" s="41">
        <v>12</v>
      </c>
      <c r="DK15" s="5"/>
      <c r="DL15" s="23"/>
      <c r="DM15" s="750" t="s">
        <v>792</v>
      </c>
      <c r="DN15" s="23"/>
      <c r="DO15" s="800">
        <v>1</v>
      </c>
      <c r="DP15" s="231"/>
      <c r="DQ15" s="231"/>
      <c r="DR15" s="231"/>
      <c r="DS15" s="5"/>
      <c r="DT15" s="41">
        <v>12</v>
      </c>
      <c r="DU15" s="757">
        <v>1</v>
      </c>
      <c r="DV15" s="754">
        <v>1</v>
      </c>
      <c r="DW15" s="750">
        <v>1</v>
      </c>
      <c r="DX15" s="23"/>
      <c r="DY15" s="23"/>
      <c r="DZ15" s="231"/>
      <c r="EA15" s="791">
        <v>1</v>
      </c>
      <c r="EB15" s="231"/>
      <c r="EC15" s="5"/>
      <c r="ED15" s="41">
        <v>12</v>
      </c>
      <c r="EE15" s="5"/>
      <c r="EF15" s="23"/>
      <c r="EG15" s="23"/>
      <c r="EH15" s="23"/>
      <c r="EI15" s="23"/>
      <c r="EJ15" s="231"/>
      <c r="EK15" s="231"/>
      <c r="EL15" s="5"/>
      <c r="EM15" s="41">
        <v>12</v>
      </c>
      <c r="EN15" s="5"/>
      <c r="EO15" s="23"/>
      <c r="EP15" s="23"/>
      <c r="EQ15" s="23"/>
      <c r="ER15" s="23"/>
      <c r="ES15" s="231"/>
      <c r="ET15" s="231"/>
      <c r="EU15" s="5"/>
      <c r="EV15" s="41">
        <v>12</v>
      </c>
      <c r="EW15" s="5"/>
      <c r="EX15" s="23"/>
      <c r="EY15" s="23"/>
      <c r="EZ15" s="23"/>
      <c r="FA15" s="23"/>
      <c r="FB15" s="231"/>
      <c r="FC15" s="792" t="s">
        <v>792</v>
      </c>
      <c r="FD15" s="231"/>
      <c r="FE15" s="5"/>
    </row>
    <row r="16" spans="1:161">
      <c r="A16" s="721">
        <v>13</v>
      </c>
      <c r="B16" s="756">
        <v>1</v>
      </c>
      <c r="C16" s="717"/>
      <c r="D16" s="721">
        <v>13</v>
      </c>
      <c r="E16" s="108">
        <v>1</v>
      </c>
      <c r="F16" s="753">
        <v>1</v>
      </c>
      <c r="G16" s="721">
        <v>13</v>
      </c>
      <c r="H16" s="756">
        <v>1</v>
      </c>
      <c r="I16" s="815">
        <v>1</v>
      </c>
      <c r="J16" s="717"/>
      <c r="K16" s="717"/>
      <c r="L16" s="717"/>
      <c r="M16" s="371"/>
      <c r="N16" s="721">
        <v>13</v>
      </c>
      <c r="O16" s="758">
        <v>1</v>
      </c>
      <c r="P16" s="717"/>
      <c r="Q16" s="831">
        <v>1</v>
      </c>
      <c r="R16" s="779">
        <v>1</v>
      </c>
      <c r="S16" s="824">
        <v>1</v>
      </c>
      <c r="T16" s="728"/>
      <c r="U16" s="371"/>
      <c r="V16" s="721">
        <v>13</v>
      </c>
      <c r="W16" s="92">
        <v>1</v>
      </c>
      <c r="X16" s="767">
        <v>1</v>
      </c>
      <c r="Y16" s="717"/>
      <c r="Z16" s="779">
        <v>1</v>
      </c>
      <c r="AA16" s="717"/>
      <c r="AB16" s="728"/>
      <c r="AC16" s="732"/>
      <c r="AD16" s="721">
        <v>13</v>
      </c>
      <c r="AE16" s="92">
        <v>1</v>
      </c>
      <c r="AF16" s="755">
        <v>1</v>
      </c>
      <c r="AG16" s="717"/>
      <c r="AH16" s="779">
        <v>1</v>
      </c>
      <c r="AI16" s="717"/>
      <c r="AJ16" s="728"/>
      <c r="AK16" s="789">
        <v>1</v>
      </c>
      <c r="AL16" s="721">
        <v>13</v>
      </c>
      <c r="AM16" s="757">
        <v>1</v>
      </c>
      <c r="AN16" s="755">
        <v>1</v>
      </c>
      <c r="AO16" s="717"/>
      <c r="AP16" s="779">
        <v>1</v>
      </c>
      <c r="AQ16" s="717"/>
      <c r="AR16" s="728"/>
      <c r="AS16" s="788">
        <v>1</v>
      </c>
      <c r="AT16" s="721">
        <v>13</v>
      </c>
      <c r="AU16" s="756">
        <v>1</v>
      </c>
      <c r="AV16" s="732"/>
      <c r="AW16" s="732"/>
      <c r="AX16" s="779">
        <v>1</v>
      </c>
      <c r="AY16" s="732"/>
      <c r="AZ16" s="734"/>
      <c r="BA16" s="717"/>
      <c r="BB16" s="721">
        <v>13</v>
      </c>
      <c r="BC16" s="717"/>
      <c r="BD16" s="732"/>
      <c r="BE16" s="732"/>
      <c r="BF16" s="732"/>
      <c r="BG16" s="732"/>
      <c r="BH16" s="734"/>
      <c r="BI16" s="734"/>
      <c r="BJ16" s="732"/>
      <c r="BK16" s="717" t="s">
        <v>117</v>
      </c>
      <c r="BL16" s="721">
        <v>13</v>
      </c>
      <c r="BM16" s="717"/>
      <c r="BN16" s="732"/>
      <c r="BO16" s="732"/>
      <c r="BP16" s="732"/>
      <c r="BQ16" s="732"/>
      <c r="BR16" s="732"/>
      <c r="BS16" s="734"/>
      <c r="BT16" s="732"/>
      <c r="BU16" s="371" t="s">
        <v>117</v>
      </c>
      <c r="BV16" s="721">
        <v>13</v>
      </c>
      <c r="BW16" s="5"/>
      <c r="BX16" s="23"/>
      <c r="BY16" s="23"/>
      <c r="BZ16" s="23"/>
      <c r="CA16" s="23"/>
      <c r="CB16" s="231"/>
      <c r="CC16" s="231"/>
      <c r="CD16" s="231"/>
      <c r="CE16" s="641"/>
      <c r="CF16" s="41">
        <v>13</v>
      </c>
      <c r="CG16" s="5"/>
      <c r="CH16" s="755">
        <v>1</v>
      </c>
      <c r="CI16" s="23"/>
      <c r="CJ16" s="23"/>
      <c r="CK16" s="23"/>
      <c r="CL16" s="231"/>
      <c r="CM16" s="231"/>
      <c r="CN16" s="231"/>
      <c r="CO16" s="641"/>
      <c r="CP16" s="41">
        <v>13</v>
      </c>
      <c r="CQ16" s="5"/>
      <c r="CR16" s="23"/>
      <c r="CS16" s="23"/>
      <c r="CT16" s="23"/>
      <c r="CU16" s="23"/>
      <c r="CV16" s="231"/>
      <c r="CW16" s="231"/>
      <c r="CX16" s="231"/>
      <c r="CY16" s="641"/>
      <c r="CZ16" s="41">
        <v>13</v>
      </c>
      <c r="DA16" s="5"/>
      <c r="DB16" s="755">
        <v>1</v>
      </c>
      <c r="DC16" s="749">
        <v>1</v>
      </c>
      <c r="DD16" s="23"/>
      <c r="DE16" s="23"/>
      <c r="DF16" s="231"/>
      <c r="DG16" s="231"/>
      <c r="DH16" s="231"/>
      <c r="DI16" s="5"/>
      <c r="DJ16" s="41">
        <v>13</v>
      </c>
      <c r="DK16" s="5"/>
      <c r="DL16" s="23"/>
      <c r="DM16" s="750" t="s">
        <v>792</v>
      </c>
      <c r="DN16" s="23"/>
      <c r="DO16" s="23"/>
      <c r="DP16" s="231"/>
      <c r="DQ16" s="231"/>
      <c r="DR16" s="231"/>
      <c r="DS16" s="5"/>
      <c r="DT16" s="41">
        <v>13</v>
      </c>
      <c r="DU16" s="758">
        <v>1</v>
      </c>
      <c r="DV16" s="755">
        <v>1</v>
      </c>
      <c r="DW16" s="751">
        <v>1</v>
      </c>
      <c r="DX16" s="23"/>
      <c r="DY16" s="23"/>
      <c r="DZ16" s="231"/>
      <c r="EA16" s="231"/>
      <c r="EB16" s="231"/>
      <c r="EC16" s="5"/>
      <c r="ED16" s="41">
        <v>13</v>
      </c>
      <c r="EE16" s="5"/>
      <c r="EF16" s="23"/>
      <c r="EG16" s="23"/>
      <c r="EH16" s="23"/>
      <c r="EI16" s="23"/>
      <c r="EJ16" s="231"/>
      <c r="EK16" s="231"/>
      <c r="EL16" s="5"/>
      <c r="EM16" s="41">
        <v>13</v>
      </c>
      <c r="EN16" s="5"/>
      <c r="EO16" s="23"/>
      <c r="EP16" s="23"/>
      <c r="EQ16" s="23"/>
      <c r="ER16" s="23"/>
      <c r="ES16" s="231"/>
      <c r="ET16" s="231"/>
      <c r="EU16" s="5"/>
      <c r="EV16" s="41">
        <v>13</v>
      </c>
      <c r="EW16" s="5"/>
      <c r="EX16" s="23"/>
      <c r="EY16" s="23"/>
      <c r="EZ16" s="23"/>
      <c r="FA16" s="23"/>
      <c r="FB16" s="231"/>
      <c r="FC16" s="792" t="s">
        <v>792</v>
      </c>
      <c r="FD16" s="231"/>
      <c r="FE16" s="5"/>
    </row>
    <row r="17" spans="1:161">
      <c r="A17" s="721">
        <v>14</v>
      </c>
      <c r="B17" s="758">
        <v>1</v>
      </c>
      <c r="C17" s="717"/>
      <c r="D17" s="721">
        <v>14</v>
      </c>
      <c r="E17" s="93">
        <v>1</v>
      </c>
      <c r="F17" s="754">
        <v>1</v>
      </c>
      <c r="G17" s="721">
        <v>14</v>
      </c>
      <c r="H17" s="757">
        <v>1</v>
      </c>
      <c r="I17" s="717"/>
      <c r="J17" s="717"/>
      <c r="K17" s="717"/>
      <c r="L17" s="717"/>
      <c r="M17" s="371"/>
      <c r="N17" s="721">
        <v>14</v>
      </c>
      <c r="O17" s="717"/>
      <c r="P17" s="717"/>
      <c r="Q17" s="832">
        <v>1</v>
      </c>
      <c r="R17" s="779">
        <v>1</v>
      </c>
      <c r="S17" s="825">
        <v>1</v>
      </c>
      <c r="T17" s="728"/>
      <c r="U17" s="371"/>
      <c r="V17" s="721">
        <v>14</v>
      </c>
      <c r="W17" s="93">
        <v>1</v>
      </c>
      <c r="X17" s="815">
        <v>1</v>
      </c>
      <c r="Y17" s="717"/>
      <c r="Z17" s="779">
        <v>1</v>
      </c>
      <c r="AA17" s="717"/>
      <c r="AB17" s="728"/>
      <c r="AC17" s="786">
        <v>1</v>
      </c>
      <c r="AD17" s="721">
        <v>14</v>
      </c>
      <c r="AE17" s="93">
        <v>1</v>
      </c>
      <c r="AF17" s="754">
        <v>1</v>
      </c>
      <c r="AG17" s="717"/>
      <c r="AH17" s="779">
        <v>1</v>
      </c>
      <c r="AI17" s="717"/>
      <c r="AJ17" s="728"/>
      <c r="AK17" s="371"/>
      <c r="AL17" s="721">
        <v>14</v>
      </c>
      <c r="AM17" s="758">
        <v>1</v>
      </c>
      <c r="AN17" s="717"/>
      <c r="AO17" s="717"/>
      <c r="AP17" s="779">
        <v>1</v>
      </c>
      <c r="AQ17" s="717"/>
      <c r="AR17" s="728"/>
      <c r="AS17" s="788">
        <v>1</v>
      </c>
      <c r="AT17" s="721">
        <v>14</v>
      </c>
      <c r="AU17" s="758">
        <v>1</v>
      </c>
      <c r="AV17" s="732"/>
      <c r="AW17" s="732"/>
      <c r="AX17" s="779">
        <v>1</v>
      </c>
      <c r="AY17" s="734"/>
      <c r="AZ17" s="734"/>
      <c r="BA17" s="728"/>
      <c r="BB17" s="721">
        <v>14</v>
      </c>
      <c r="BC17" s="717"/>
      <c r="BD17" s="732"/>
      <c r="BE17" s="732"/>
      <c r="BF17" s="732"/>
      <c r="BG17" s="734"/>
      <c r="BH17" s="734"/>
      <c r="BI17" s="734"/>
      <c r="BJ17" s="732"/>
      <c r="BK17" s="728" t="s">
        <v>117</v>
      </c>
      <c r="BL17" s="721">
        <v>14</v>
      </c>
      <c r="BM17" s="717"/>
      <c r="BN17" s="732"/>
      <c r="BO17" s="732"/>
      <c r="BP17" s="732"/>
      <c r="BQ17" s="732"/>
      <c r="BR17" s="732"/>
      <c r="BS17" s="734"/>
      <c r="BT17" s="732"/>
      <c r="BU17" s="371" t="s">
        <v>117</v>
      </c>
      <c r="BV17" s="721">
        <v>14</v>
      </c>
      <c r="BW17" s="756">
        <v>1</v>
      </c>
      <c r="BX17" s="753">
        <v>1</v>
      </c>
      <c r="BY17" s="23"/>
      <c r="BZ17" s="23"/>
      <c r="CA17" s="231"/>
      <c r="CB17" s="231"/>
      <c r="CC17" s="231"/>
      <c r="CD17" s="231"/>
      <c r="CE17" s="642"/>
      <c r="CF17" s="41">
        <v>14</v>
      </c>
      <c r="CG17" s="5"/>
      <c r="CH17" s="23"/>
      <c r="CI17" s="23"/>
      <c r="CJ17" s="23"/>
      <c r="CK17" s="231"/>
      <c r="CL17" s="231"/>
      <c r="CM17" s="231"/>
      <c r="CN17" s="231"/>
      <c r="CO17" s="642"/>
      <c r="CP17" s="41">
        <v>14</v>
      </c>
      <c r="CQ17" s="5"/>
      <c r="CR17" s="23"/>
      <c r="CS17" s="23"/>
      <c r="CT17" s="23"/>
      <c r="CU17" s="231"/>
      <c r="CV17" s="231"/>
      <c r="CW17" s="231"/>
      <c r="CX17" s="231"/>
      <c r="CY17" s="642"/>
      <c r="CZ17" s="41">
        <v>14</v>
      </c>
      <c r="DA17" s="5"/>
      <c r="DB17" s="753">
        <v>1</v>
      </c>
      <c r="DC17" s="750">
        <v>1</v>
      </c>
      <c r="DD17" s="23"/>
      <c r="DE17" s="231"/>
      <c r="DF17" s="231"/>
      <c r="DG17" s="231"/>
      <c r="DH17" s="231"/>
      <c r="DI17" s="105"/>
      <c r="DJ17" s="41">
        <v>14</v>
      </c>
      <c r="DK17" s="5"/>
      <c r="DL17" s="23"/>
      <c r="DM17" s="750" t="s">
        <v>792</v>
      </c>
      <c r="DN17" s="23"/>
      <c r="DO17" s="231"/>
      <c r="DP17" s="231"/>
      <c r="DQ17" s="790" t="s">
        <v>792</v>
      </c>
      <c r="DR17" s="231"/>
      <c r="DS17" s="5"/>
      <c r="DT17" s="41">
        <v>14</v>
      </c>
      <c r="DU17" s="5"/>
      <c r="DV17" s="23"/>
      <c r="DW17" s="23"/>
      <c r="DX17" s="23"/>
      <c r="DY17" s="231"/>
      <c r="DZ17" s="231"/>
      <c r="EA17" s="231"/>
      <c r="EB17" s="231"/>
      <c r="EC17" s="105"/>
      <c r="ED17" s="41">
        <v>14</v>
      </c>
      <c r="EE17" s="5"/>
      <c r="EF17" s="23"/>
      <c r="EG17" s="23"/>
      <c r="EH17" s="23"/>
      <c r="EI17" s="231"/>
      <c r="EJ17" s="231"/>
      <c r="EK17" s="231"/>
      <c r="EL17" s="105"/>
      <c r="EM17" s="41">
        <v>14</v>
      </c>
      <c r="EN17" s="5"/>
      <c r="EO17" s="23"/>
      <c r="EP17" s="23"/>
      <c r="EQ17" s="23"/>
      <c r="ER17" s="231"/>
      <c r="ES17" s="231"/>
      <c r="ET17" s="231"/>
      <c r="EU17" s="105"/>
      <c r="EV17" s="41">
        <v>14</v>
      </c>
      <c r="EW17" s="5"/>
      <c r="EX17" s="23"/>
      <c r="EY17" s="23"/>
      <c r="EZ17" s="23"/>
      <c r="FA17" s="231"/>
      <c r="FB17" s="231"/>
      <c r="FC17" s="792" t="s">
        <v>792</v>
      </c>
      <c r="FD17" s="231"/>
      <c r="FE17" s="105"/>
    </row>
    <row r="18" spans="1:161">
      <c r="A18" s="721">
        <v>15</v>
      </c>
      <c r="B18" s="717"/>
      <c r="C18" s="717"/>
      <c r="D18" s="721">
        <v>15</v>
      </c>
      <c r="E18" s="719"/>
      <c r="F18" s="754">
        <v>1</v>
      </c>
      <c r="G18" s="721">
        <v>15</v>
      </c>
      <c r="H18" s="758">
        <v>1</v>
      </c>
      <c r="I18" s="717"/>
      <c r="J18" s="749" t="s">
        <v>792</v>
      </c>
      <c r="K18" s="821">
        <v>1</v>
      </c>
      <c r="L18" s="728"/>
      <c r="M18" s="729"/>
      <c r="N18" s="721">
        <v>15</v>
      </c>
      <c r="O18" s="756">
        <v>1</v>
      </c>
      <c r="P18" s="753">
        <v>1</v>
      </c>
      <c r="Q18" s="717"/>
      <c r="R18" s="779">
        <v>1</v>
      </c>
      <c r="S18" s="825">
        <v>1</v>
      </c>
      <c r="T18" s="728"/>
      <c r="U18" s="729"/>
      <c r="V18" s="721">
        <v>15</v>
      </c>
      <c r="W18" s="717"/>
      <c r="X18" s="818">
        <v>1</v>
      </c>
      <c r="Y18" s="835">
        <v>1</v>
      </c>
      <c r="Z18" s="779">
        <v>1</v>
      </c>
      <c r="AA18" s="728"/>
      <c r="AB18" s="728"/>
      <c r="AC18" s="785">
        <v>1</v>
      </c>
      <c r="AD18" s="721">
        <v>15</v>
      </c>
      <c r="AE18" s="717"/>
      <c r="AF18" s="754">
        <v>1</v>
      </c>
      <c r="AG18" s="717"/>
      <c r="AH18" s="779">
        <v>1</v>
      </c>
      <c r="AI18" s="728"/>
      <c r="AJ18" s="728"/>
      <c r="AK18" s="729"/>
      <c r="AL18" s="721">
        <v>15</v>
      </c>
      <c r="AM18" s="717"/>
      <c r="AN18" s="717"/>
      <c r="AO18" s="717"/>
      <c r="AP18" s="779">
        <v>1</v>
      </c>
      <c r="AQ18" s="728"/>
      <c r="AR18" s="728"/>
      <c r="AS18" s="788">
        <v>1</v>
      </c>
      <c r="AT18" s="721">
        <v>15</v>
      </c>
      <c r="AU18" s="717"/>
      <c r="AV18" s="732"/>
      <c r="AW18" s="732"/>
      <c r="AX18" s="779">
        <v>1</v>
      </c>
      <c r="AY18" s="734"/>
      <c r="AZ18" s="734"/>
      <c r="BA18" s="728"/>
      <c r="BB18" s="721">
        <v>15</v>
      </c>
      <c r="BC18" s="717"/>
      <c r="BD18" s="732"/>
      <c r="BE18" s="732"/>
      <c r="BF18" s="732"/>
      <c r="BG18" s="734"/>
      <c r="BH18" s="734"/>
      <c r="BI18" s="734"/>
      <c r="BJ18" s="732"/>
      <c r="BK18" s="728" t="s">
        <v>117</v>
      </c>
      <c r="BL18" s="721">
        <v>15</v>
      </c>
      <c r="BM18" s="717"/>
      <c r="BN18" s="732"/>
      <c r="BO18" s="732"/>
      <c r="BP18" s="732"/>
      <c r="BQ18" s="732"/>
      <c r="BR18" s="732"/>
      <c r="BS18" s="734"/>
      <c r="BT18" s="732"/>
      <c r="BU18" s="371" t="s">
        <v>117</v>
      </c>
      <c r="BV18" s="721">
        <v>15</v>
      </c>
      <c r="BW18" s="757">
        <v>1</v>
      </c>
      <c r="BX18" s="754">
        <v>1</v>
      </c>
      <c r="BY18" s="23"/>
      <c r="BZ18" s="23"/>
      <c r="CA18" s="231"/>
      <c r="CB18" s="231"/>
      <c r="CC18" s="790">
        <v>1</v>
      </c>
      <c r="CD18" s="231"/>
      <c r="CE18" s="642"/>
      <c r="CF18" s="41">
        <v>15</v>
      </c>
      <c r="CG18" s="5"/>
      <c r="CH18" s="23"/>
      <c r="CI18" s="23"/>
      <c r="CJ18" s="23"/>
      <c r="CK18" s="231"/>
      <c r="CL18" s="231"/>
      <c r="CM18" s="231"/>
      <c r="CN18" s="231"/>
      <c r="CO18" s="642"/>
      <c r="CP18" s="41">
        <v>15</v>
      </c>
      <c r="CQ18" s="5"/>
      <c r="CR18" s="23"/>
      <c r="CS18" s="23"/>
      <c r="CT18" s="23"/>
      <c r="CU18" s="231"/>
      <c r="CV18" s="231"/>
      <c r="CW18" s="231"/>
      <c r="CX18" s="231"/>
      <c r="CY18" s="642"/>
      <c r="CZ18" s="41">
        <v>15</v>
      </c>
      <c r="DA18" s="5"/>
      <c r="DB18" s="754">
        <v>1</v>
      </c>
      <c r="DC18" s="750">
        <v>1</v>
      </c>
      <c r="DD18" s="23"/>
      <c r="DE18" s="231"/>
      <c r="DF18" s="231"/>
      <c r="DG18" s="231"/>
      <c r="DH18" s="231"/>
      <c r="DI18" s="105"/>
      <c r="DJ18" s="41">
        <v>15</v>
      </c>
      <c r="DK18" s="5"/>
      <c r="DL18" s="753">
        <v>1</v>
      </c>
      <c r="DM18" s="750" t="s">
        <v>792</v>
      </c>
      <c r="DN18" s="780">
        <v>1</v>
      </c>
      <c r="DO18" s="231"/>
      <c r="DP18" s="231"/>
      <c r="DQ18" s="792" t="s">
        <v>792</v>
      </c>
      <c r="DR18" s="231"/>
      <c r="DS18" s="105"/>
      <c r="DT18" s="41">
        <v>15</v>
      </c>
      <c r="DU18" s="5"/>
      <c r="DV18" s="23"/>
      <c r="DW18" s="23"/>
      <c r="DX18" s="23"/>
      <c r="DY18" s="231"/>
      <c r="DZ18" s="231"/>
      <c r="EA18" s="231"/>
      <c r="EB18" s="231"/>
      <c r="EC18" s="105"/>
      <c r="ED18" s="41">
        <v>15</v>
      </c>
      <c r="EE18" s="5"/>
      <c r="EF18" s="23"/>
      <c r="EG18" s="23"/>
      <c r="EH18" s="23"/>
      <c r="EI18" s="231"/>
      <c r="EJ18" s="231"/>
      <c r="EK18" s="231"/>
      <c r="EL18" s="105"/>
      <c r="EM18" s="41">
        <v>15</v>
      </c>
      <c r="EN18" s="5"/>
      <c r="EO18" s="23"/>
      <c r="EP18" s="23"/>
      <c r="EQ18" s="23"/>
      <c r="ER18" s="231"/>
      <c r="ES18" s="231"/>
      <c r="ET18" s="231"/>
      <c r="EU18" s="105"/>
      <c r="EV18" s="41">
        <v>15</v>
      </c>
      <c r="EW18" s="5"/>
      <c r="EX18" s="23"/>
      <c r="EY18" s="23"/>
      <c r="EZ18" s="23"/>
      <c r="FA18" s="231"/>
      <c r="FB18" s="231"/>
      <c r="FC18" s="792" t="s">
        <v>792</v>
      </c>
      <c r="FD18" s="231"/>
      <c r="FE18" s="105"/>
    </row>
    <row r="19" spans="1:161">
      <c r="A19" s="721">
        <v>16</v>
      </c>
      <c r="B19" s="717"/>
      <c r="C19" s="717"/>
      <c r="D19" s="721">
        <v>16</v>
      </c>
      <c r="E19" s="717"/>
      <c r="F19" s="755">
        <v>1</v>
      </c>
      <c r="G19" s="721">
        <v>16</v>
      </c>
      <c r="H19" s="717"/>
      <c r="I19" s="818">
        <v>1</v>
      </c>
      <c r="J19" s="750" t="s">
        <v>792</v>
      </c>
      <c r="K19" s="822">
        <v>1</v>
      </c>
      <c r="L19" s="728"/>
      <c r="M19" s="729"/>
      <c r="N19" s="721">
        <v>16</v>
      </c>
      <c r="O19" s="757">
        <v>1</v>
      </c>
      <c r="P19" s="754">
        <v>1</v>
      </c>
      <c r="Q19" s="717"/>
      <c r="R19" s="779">
        <v>1</v>
      </c>
      <c r="S19" s="825">
        <v>1</v>
      </c>
      <c r="T19" s="728"/>
      <c r="U19" s="729"/>
      <c r="V19" s="721">
        <v>16</v>
      </c>
      <c r="W19" s="756">
        <v>1</v>
      </c>
      <c r="X19" s="94">
        <v>1</v>
      </c>
      <c r="Y19" s="831">
        <v>1</v>
      </c>
      <c r="Z19" s="779">
        <v>1</v>
      </c>
      <c r="AA19" s="728"/>
      <c r="AB19" s="728"/>
      <c r="AC19" s="783">
        <v>1</v>
      </c>
      <c r="AD19" s="721">
        <v>16</v>
      </c>
      <c r="AE19" s="108">
        <v>1</v>
      </c>
      <c r="AF19" s="755">
        <v>1</v>
      </c>
      <c r="AG19" s="717"/>
      <c r="AH19" s="779">
        <v>1</v>
      </c>
      <c r="AI19" s="728"/>
      <c r="AJ19" s="728"/>
      <c r="AK19" s="782">
        <v>1</v>
      </c>
      <c r="AL19" s="721">
        <v>16</v>
      </c>
      <c r="AM19" s="717"/>
      <c r="AN19" s="753">
        <v>1</v>
      </c>
      <c r="AO19" s="717"/>
      <c r="AP19" s="779">
        <v>1</v>
      </c>
      <c r="AQ19" s="728"/>
      <c r="AR19" s="728"/>
      <c r="AS19" s="788">
        <v>1</v>
      </c>
      <c r="AT19" s="721">
        <v>16</v>
      </c>
      <c r="AU19" s="717"/>
      <c r="AV19" s="732"/>
      <c r="AW19" s="732"/>
      <c r="AX19" s="779">
        <v>1</v>
      </c>
      <c r="AY19" s="734"/>
      <c r="AZ19" s="734"/>
      <c r="BA19" s="728"/>
      <c r="BB19" s="721">
        <v>16</v>
      </c>
      <c r="BC19" s="717"/>
      <c r="BD19" s="732"/>
      <c r="BE19" s="732"/>
      <c r="BF19" s="732"/>
      <c r="BG19" s="734"/>
      <c r="BH19" s="734"/>
      <c r="BI19" s="734"/>
      <c r="BJ19" s="1042" t="s">
        <v>792</v>
      </c>
      <c r="BK19" s="728" t="s">
        <v>117</v>
      </c>
      <c r="BL19" s="721">
        <v>16</v>
      </c>
      <c r="BM19" s="717"/>
      <c r="BN19" s="732"/>
      <c r="BO19" s="732"/>
      <c r="BP19" s="732"/>
      <c r="BQ19" s="732"/>
      <c r="BR19" s="732"/>
      <c r="BS19" s="734"/>
      <c r="BT19" s="732"/>
      <c r="BU19" s="371" t="s">
        <v>117</v>
      </c>
      <c r="BV19" s="721">
        <v>16</v>
      </c>
      <c r="BW19" s="758">
        <v>1</v>
      </c>
      <c r="BX19" s="755">
        <v>1</v>
      </c>
      <c r="BY19" s="23"/>
      <c r="BZ19" s="23"/>
      <c r="CA19" s="231"/>
      <c r="CB19" s="231"/>
      <c r="CC19" s="792">
        <v>1</v>
      </c>
      <c r="CD19" s="231"/>
      <c r="CE19" s="642"/>
      <c r="CF19" s="41">
        <v>16</v>
      </c>
      <c r="CG19" s="756">
        <v>1</v>
      </c>
      <c r="CH19" s="23"/>
      <c r="CI19" s="23"/>
      <c r="CJ19" s="23"/>
      <c r="CK19" s="231"/>
      <c r="CL19" s="231"/>
      <c r="CM19" s="231"/>
      <c r="CN19" s="231"/>
      <c r="CO19" s="642"/>
      <c r="CP19" s="41">
        <v>16</v>
      </c>
      <c r="CQ19" s="5"/>
      <c r="CR19" s="23"/>
      <c r="CS19" s="23"/>
      <c r="CT19" s="23"/>
      <c r="CU19" s="231"/>
      <c r="CV19" s="231"/>
      <c r="CW19" s="231"/>
      <c r="CX19" s="231"/>
      <c r="CY19" s="642"/>
      <c r="CZ19" s="41">
        <v>16</v>
      </c>
      <c r="DA19" s="5"/>
      <c r="DB19" s="755">
        <v>1</v>
      </c>
      <c r="DC19" s="750">
        <v>1</v>
      </c>
      <c r="DD19" s="23"/>
      <c r="DE19" s="231"/>
      <c r="DF19" s="231"/>
      <c r="DG19" s="231"/>
      <c r="DH19" s="231"/>
      <c r="DI19" s="782">
        <v>1</v>
      </c>
      <c r="DJ19" s="41">
        <v>16</v>
      </c>
      <c r="DK19" s="5"/>
      <c r="DL19" s="755">
        <v>1</v>
      </c>
      <c r="DM19" s="750" t="s">
        <v>792</v>
      </c>
      <c r="DN19" s="779">
        <v>1</v>
      </c>
      <c r="DO19" s="231"/>
      <c r="DP19" s="231"/>
      <c r="DQ19" s="792" t="s">
        <v>792</v>
      </c>
      <c r="DR19" s="231"/>
      <c r="DS19" s="782">
        <v>1</v>
      </c>
      <c r="DT19" s="41">
        <v>16</v>
      </c>
      <c r="DU19" s="5"/>
      <c r="DV19" s="23"/>
      <c r="DW19" s="23"/>
      <c r="DX19" s="23"/>
      <c r="DY19" s="231"/>
      <c r="DZ19" s="231"/>
      <c r="EA19" s="231"/>
      <c r="EB19" s="231"/>
      <c r="EC19" s="105"/>
      <c r="ED19" s="41">
        <v>16</v>
      </c>
      <c r="EE19" s="5"/>
      <c r="EF19" s="23"/>
      <c r="EG19" s="23"/>
      <c r="EH19" s="23"/>
      <c r="EI19" s="231"/>
      <c r="EJ19" s="231"/>
      <c r="EK19" s="231"/>
      <c r="EL19" s="105"/>
      <c r="EM19" s="41">
        <v>16</v>
      </c>
      <c r="EN19" s="5"/>
      <c r="EO19" s="23"/>
      <c r="EP19" s="23"/>
      <c r="EQ19" s="23"/>
      <c r="ER19" s="231"/>
      <c r="ES19" s="231"/>
      <c r="ET19" s="231"/>
      <c r="EU19" s="105"/>
      <c r="EV19" s="41">
        <v>16</v>
      </c>
      <c r="EW19" s="5"/>
      <c r="EX19" s="23"/>
      <c r="EY19" s="23"/>
      <c r="EZ19" s="23"/>
      <c r="FA19" s="231"/>
      <c r="FB19" s="231"/>
      <c r="FC19" s="792" t="s">
        <v>792</v>
      </c>
      <c r="FD19" s="231"/>
      <c r="FE19" s="105"/>
    </row>
    <row r="20" spans="1:161">
      <c r="A20" s="721">
        <v>17</v>
      </c>
      <c r="B20" s="717"/>
      <c r="C20" s="717"/>
      <c r="D20" s="721">
        <v>17</v>
      </c>
      <c r="E20" s="717"/>
      <c r="F20" s="754">
        <v>1</v>
      </c>
      <c r="G20" s="721">
        <v>17</v>
      </c>
      <c r="H20" s="717"/>
      <c r="I20" s="819">
        <v>1</v>
      </c>
      <c r="J20" s="750" t="s">
        <v>792</v>
      </c>
      <c r="K20" s="822">
        <v>1</v>
      </c>
      <c r="L20" s="728"/>
      <c r="M20" s="729"/>
      <c r="N20" s="721">
        <v>17</v>
      </c>
      <c r="O20" s="758">
        <v>1</v>
      </c>
      <c r="P20" s="755">
        <v>1</v>
      </c>
      <c r="Q20" s="717"/>
      <c r="R20" s="779">
        <v>1</v>
      </c>
      <c r="S20" s="825">
        <v>1</v>
      </c>
      <c r="T20" s="728"/>
      <c r="U20" s="729"/>
      <c r="V20" s="721">
        <v>17</v>
      </c>
      <c r="W20" s="757">
        <v>1</v>
      </c>
      <c r="X20" s="90">
        <v>1</v>
      </c>
      <c r="Y20" s="831">
        <v>1</v>
      </c>
      <c r="Z20" s="779">
        <v>1</v>
      </c>
      <c r="AA20" s="728"/>
      <c r="AB20" s="728"/>
      <c r="AC20" s="784">
        <v>1</v>
      </c>
      <c r="AD20" s="721">
        <v>17</v>
      </c>
      <c r="AE20" s="92">
        <v>1</v>
      </c>
      <c r="AF20" s="754">
        <v>1</v>
      </c>
      <c r="AG20" s="717"/>
      <c r="AH20" s="779">
        <v>1</v>
      </c>
      <c r="AI20" s="728"/>
      <c r="AJ20" s="728"/>
      <c r="AK20" s="783">
        <v>1</v>
      </c>
      <c r="AL20" s="721">
        <v>17</v>
      </c>
      <c r="AM20" s="717"/>
      <c r="AN20" s="755">
        <v>1</v>
      </c>
      <c r="AO20" s="717"/>
      <c r="AP20" s="779">
        <v>1</v>
      </c>
      <c r="AQ20" s="728"/>
      <c r="AR20" s="728"/>
      <c r="AS20" s="788">
        <v>1</v>
      </c>
      <c r="AT20" s="721">
        <v>17</v>
      </c>
      <c r="AU20" s="717"/>
      <c r="AV20" s="732"/>
      <c r="AW20" s="732"/>
      <c r="AX20" s="779">
        <v>1</v>
      </c>
      <c r="AY20" s="734"/>
      <c r="AZ20" s="734"/>
      <c r="BA20" s="728"/>
      <c r="BB20" s="721">
        <v>17</v>
      </c>
      <c r="BC20" s="756">
        <v>1</v>
      </c>
      <c r="BD20" s="732"/>
      <c r="BE20" s="732"/>
      <c r="BF20" s="732"/>
      <c r="BG20" s="734"/>
      <c r="BH20" s="734"/>
      <c r="BI20" s="734"/>
      <c r="BJ20" s="1043" t="s">
        <v>792</v>
      </c>
      <c r="BK20" s="728" t="s">
        <v>117</v>
      </c>
      <c r="BL20" s="721">
        <v>17</v>
      </c>
      <c r="BM20" s="717"/>
      <c r="BN20" s="732"/>
      <c r="BO20" s="732"/>
      <c r="BP20" s="732"/>
      <c r="BQ20" s="732"/>
      <c r="BR20" s="732"/>
      <c r="BS20" s="734"/>
      <c r="BT20" s="732"/>
      <c r="BU20" s="371" t="s">
        <v>117</v>
      </c>
      <c r="BV20" s="721">
        <v>17</v>
      </c>
      <c r="BW20" s="5"/>
      <c r="BX20" s="23"/>
      <c r="BY20" s="23"/>
      <c r="BZ20" s="23"/>
      <c r="CA20" s="231"/>
      <c r="CB20" s="231"/>
      <c r="CC20" s="792">
        <v>1</v>
      </c>
      <c r="CD20" s="231"/>
      <c r="CE20" s="642"/>
      <c r="CF20" s="41">
        <v>17</v>
      </c>
      <c r="CG20" s="758">
        <v>1</v>
      </c>
      <c r="CH20" s="23"/>
      <c r="CI20" s="23"/>
      <c r="CJ20" s="23"/>
      <c r="CK20" s="231"/>
      <c r="CL20" s="231"/>
      <c r="CM20" s="231"/>
      <c r="CN20" s="231"/>
      <c r="CO20" s="642"/>
      <c r="CP20" s="41">
        <v>17</v>
      </c>
      <c r="CQ20" s="5"/>
      <c r="CR20" s="23"/>
      <c r="CS20" s="23"/>
      <c r="CT20" s="23"/>
      <c r="CU20" s="231"/>
      <c r="CV20" s="231"/>
      <c r="CW20" s="231"/>
      <c r="CX20" s="231"/>
      <c r="CY20" s="642"/>
      <c r="CZ20" s="41">
        <v>17</v>
      </c>
      <c r="DA20" s="5"/>
      <c r="DB20" s="23"/>
      <c r="DC20" s="751">
        <v>1</v>
      </c>
      <c r="DD20" s="23"/>
      <c r="DE20" s="231"/>
      <c r="DF20" s="231"/>
      <c r="DG20" s="231"/>
      <c r="DH20" s="231"/>
      <c r="DI20" s="784">
        <v>1</v>
      </c>
      <c r="DJ20" s="41">
        <v>17</v>
      </c>
      <c r="DK20" s="5"/>
      <c r="DL20" s="23"/>
      <c r="DM20" s="750" t="s">
        <v>792</v>
      </c>
      <c r="DN20" s="779">
        <v>1</v>
      </c>
      <c r="DO20" s="231"/>
      <c r="DP20" s="231"/>
      <c r="DQ20" s="792" t="s">
        <v>792</v>
      </c>
      <c r="DR20" s="231"/>
      <c r="DS20" s="783">
        <v>1</v>
      </c>
      <c r="DT20" s="41">
        <v>17</v>
      </c>
      <c r="DU20" s="5"/>
      <c r="DV20" s="23"/>
      <c r="DW20" s="23"/>
      <c r="DX20" s="23"/>
      <c r="DY20" s="231"/>
      <c r="DZ20" s="231"/>
      <c r="EA20" s="231"/>
      <c r="EB20" s="231"/>
      <c r="EC20" s="105"/>
      <c r="ED20" s="41">
        <v>17</v>
      </c>
      <c r="EE20" s="5"/>
      <c r="EF20" s="23"/>
      <c r="EG20" s="23"/>
      <c r="EH20" s="23"/>
      <c r="EI20" s="231"/>
      <c r="EJ20" s="231"/>
      <c r="EK20" s="231"/>
      <c r="EL20" s="105"/>
      <c r="EM20" s="41">
        <v>17</v>
      </c>
      <c r="EN20" s="5"/>
      <c r="EO20" s="23"/>
      <c r="EP20" s="23"/>
      <c r="EQ20" s="23"/>
      <c r="ER20" s="231"/>
      <c r="ES20" s="231"/>
      <c r="ET20" s="231"/>
      <c r="EU20" s="105"/>
      <c r="EV20" s="41">
        <v>17</v>
      </c>
      <c r="EW20" s="5"/>
      <c r="EX20" s="23"/>
      <c r="EY20" s="23"/>
      <c r="EZ20" s="23"/>
      <c r="FA20" s="231"/>
      <c r="FB20" s="231"/>
      <c r="FC20" s="792" t="s">
        <v>792</v>
      </c>
      <c r="FD20" s="231"/>
      <c r="FE20" s="105"/>
    </row>
    <row r="21" spans="1:161">
      <c r="A21" s="721">
        <v>18</v>
      </c>
      <c r="B21" s="717"/>
      <c r="C21" s="717"/>
      <c r="D21" s="721">
        <v>18</v>
      </c>
      <c r="E21" s="756">
        <v>1</v>
      </c>
      <c r="F21" s="755">
        <v>1</v>
      </c>
      <c r="G21" s="721">
        <v>18</v>
      </c>
      <c r="H21" s="756">
        <v>1</v>
      </c>
      <c r="I21" s="717"/>
      <c r="J21" s="750" t="s">
        <v>792</v>
      </c>
      <c r="K21" s="822">
        <v>1</v>
      </c>
      <c r="L21" s="728"/>
      <c r="M21" s="729"/>
      <c r="N21" s="721">
        <v>18</v>
      </c>
      <c r="O21" s="756">
        <v>1</v>
      </c>
      <c r="P21" s="754">
        <v>1</v>
      </c>
      <c r="Q21" s="717"/>
      <c r="R21" s="779">
        <v>1</v>
      </c>
      <c r="S21" s="826">
        <v>1</v>
      </c>
      <c r="T21" s="728"/>
      <c r="U21" s="782">
        <v>1</v>
      </c>
      <c r="V21" s="721">
        <v>18</v>
      </c>
      <c r="W21" s="758">
        <v>1</v>
      </c>
      <c r="X21" s="717"/>
      <c r="Y21" s="831">
        <v>1</v>
      </c>
      <c r="Z21" s="779">
        <v>1</v>
      </c>
      <c r="AA21" s="728"/>
      <c r="AB21" s="728"/>
      <c r="AC21" s="785">
        <v>1</v>
      </c>
      <c r="AD21" s="721">
        <v>18</v>
      </c>
      <c r="AE21" s="93">
        <v>1</v>
      </c>
      <c r="AF21" s="820">
        <v>1</v>
      </c>
      <c r="AG21" s="835">
        <v>1</v>
      </c>
      <c r="AH21" s="779">
        <v>1</v>
      </c>
      <c r="AI21" s="728"/>
      <c r="AJ21" s="728"/>
      <c r="AK21" s="783">
        <v>1</v>
      </c>
      <c r="AL21" s="721">
        <v>18</v>
      </c>
      <c r="AM21" s="717"/>
      <c r="AN21" s="717"/>
      <c r="AO21" s="717"/>
      <c r="AP21" s="779">
        <v>1</v>
      </c>
      <c r="AQ21" s="728"/>
      <c r="AR21" s="728"/>
      <c r="AS21" s="788">
        <v>1</v>
      </c>
      <c r="AT21" s="721">
        <v>18</v>
      </c>
      <c r="AU21" s="717"/>
      <c r="AV21" s="732"/>
      <c r="AW21" s="732"/>
      <c r="AX21" s="781">
        <v>1</v>
      </c>
      <c r="AY21" s="734"/>
      <c r="AZ21" s="734"/>
      <c r="BA21" s="734"/>
      <c r="BB21" s="721">
        <v>18</v>
      </c>
      <c r="BC21" s="93">
        <v>1</v>
      </c>
      <c r="BD21" s="753">
        <v>1</v>
      </c>
      <c r="BE21" s="732"/>
      <c r="BF21" s="732"/>
      <c r="BG21" s="734"/>
      <c r="BH21" s="734"/>
      <c r="BI21" s="734"/>
      <c r="BJ21" s="732"/>
      <c r="BK21" s="734" t="s">
        <v>117</v>
      </c>
      <c r="BL21" s="721">
        <v>18</v>
      </c>
      <c r="BM21" s="717"/>
      <c r="BN21" s="732"/>
      <c r="BO21" s="732"/>
      <c r="BP21" s="732"/>
      <c r="BQ21" s="732"/>
      <c r="BR21" s="732"/>
      <c r="BS21" s="734"/>
      <c r="BT21" s="732"/>
      <c r="BU21" s="371" t="s">
        <v>117</v>
      </c>
      <c r="BV21" s="721">
        <v>18</v>
      </c>
      <c r="BW21" s="5"/>
      <c r="BX21" s="23"/>
      <c r="BY21" s="23"/>
      <c r="BZ21" s="23"/>
      <c r="CA21" s="231"/>
      <c r="CB21" s="231"/>
      <c r="CC21" s="791">
        <v>1</v>
      </c>
      <c r="CD21" s="231"/>
      <c r="CE21" s="643"/>
      <c r="CF21" s="41">
        <v>18</v>
      </c>
      <c r="CG21" s="5"/>
      <c r="CH21" s="753">
        <v>1</v>
      </c>
      <c r="CI21" s="23"/>
      <c r="CJ21" s="23"/>
      <c r="CK21" s="231"/>
      <c r="CL21" s="231"/>
      <c r="CM21" s="231"/>
      <c r="CN21" s="231"/>
      <c r="CO21" s="643"/>
      <c r="CP21" s="41">
        <v>18</v>
      </c>
      <c r="CQ21" s="5"/>
      <c r="CR21" s="23"/>
      <c r="CS21" s="23"/>
      <c r="CT21" s="23"/>
      <c r="CU21" s="231"/>
      <c r="CV21" s="231"/>
      <c r="CW21" s="231"/>
      <c r="CX21" s="231"/>
      <c r="CY21" s="643"/>
      <c r="CZ21" s="41">
        <v>18</v>
      </c>
      <c r="DA21" s="5"/>
      <c r="DB21" s="753">
        <v>1</v>
      </c>
      <c r="DC21" s="23"/>
      <c r="DD21" s="23"/>
      <c r="DE21" s="231"/>
      <c r="DF21" s="231"/>
      <c r="DG21" s="231"/>
      <c r="DH21" s="231"/>
      <c r="DI21" s="231"/>
      <c r="DJ21" s="41">
        <v>18</v>
      </c>
      <c r="DK21" s="5"/>
      <c r="DL21" s="23"/>
      <c r="DM21" s="750" t="s">
        <v>792</v>
      </c>
      <c r="DN21" s="779">
        <v>1</v>
      </c>
      <c r="DO21" s="231"/>
      <c r="DP21" s="231"/>
      <c r="DQ21" s="792" t="s">
        <v>792</v>
      </c>
      <c r="DR21" s="231"/>
      <c r="DS21" s="783">
        <v>1</v>
      </c>
      <c r="DT21" s="41">
        <v>18</v>
      </c>
      <c r="DU21" s="5"/>
      <c r="DV21" s="753">
        <v>1</v>
      </c>
      <c r="DW21" s="23"/>
      <c r="DX21" s="23"/>
      <c r="DY21" s="231"/>
      <c r="DZ21" s="231"/>
      <c r="EA21" s="231"/>
      <c r="EB21" s="231"/>
      <c r="EC21" s="231"/>
      <c r="ED21" s="41">
        <v>18</v>
      </c>
      <c r="EE21" s="5"/>
      <c r="EF21" s="23"/>
      <c r="EG21" s="23"/>
      <c r="EH21" s="23"/>
      <c r="EI21" s="231"/>
      <c r="EJ21" s="231"/>
      <c r="EK21" s="231"/>
      <c r="EL21" s="231"/>
      <c r="EM21" s="41">
        <v>18</v>
      </c>
      <c r="EN21" s="5"/>
      <c r="EO21" s="23"/>
      <c r="EP21" s="23"/>
      <c r="EQ21" s="23"/>
      <c r="ER21" s="231"/>
      <c r="ES21" s="231"/>
      <c r="ET21" s="231"/>
      <c r="EU21" s="231"/>
      <c r="EV21" s="41">
        <v>18</v>
      </c>
      <c r="EW21" s="5"/>
      <c r="EX21" s="23"/>
      <c r="EY21" s="23"/>
      <c r="EZ21" s="23"/>
      <c r="FA21" s="231"/>
      <c r="FB21" s="231"/>
      <c r="FC21" s="792" t="s">
        <v>792</v>
      </c>
      <c r="FD21" s="231"/>
      <c r="FE21" s="231"/>
    </row>
    <row r="22" spans="1:161">
      <c r="A22" s="721">
        <v>19</v>
      </c>
      <c r="B22" s="717"/>
      <c r="C22" s="717"/>
      <c r="D22" s="721">
        <v>19</v>
      </c>
      <c r="E22" s="758">
        <v>1</v>
      </c>
      <c r="F22" s="754">
        <v>1</v>
      </c>
      <c r="G22" s="721">
        <v>19</v>
      </c>
      <c r="H22" s="92">
        <v>1</v>
      </c>
      <c r="I22" s="818">
        <v>1</v>
      </c>
      <c r="J22" s="750" t="s">
        <v>792</v>
      </c>
      <c r="K22" s="822">
        <v>1</v>
      </c>
      <c r="L22" s="824">
        <v>1</v>
      </c>
      <c r="M22" s="729"/>
      <c r="N22" s="721">
        <v>19</v>
      </c>
      <c r="O22" s="758">
        <v>1</v>
      </c>
      <c r="P22" s="754">
        <v>1</v>
      </c>
      <c r="Q22" s="717"/>
      <c r="R22" s="779">
        <v>1</v>
      </c>
      <c r="S22" s="728"/>
      <c r="T22" s="728"/>
      <c r="U22" s="784">
        <v>1</v>
      </c>
      <c r="V22" s="721">
        <v>19</v>
      </c>
      <c r="W22" s="756">
        <v>1</v>
      </c>
      <c r="X22" s="818">
        <v>1</v>
      </c>
      <c r="Y22" s="831">
        <v>1</v>
      </c>
      <c r="Z22" s="779">
        <v>1</v>
      </c>
      <c r="AA22" s="728"/>
      <c r="AB22" s="728"/>
      <c r="AC22" s="783">
        <v>1</v>
      </c>
      <c r="AD22" s="721">
        <v>19</v>
      </c>
      <c r="AE22" s="717"/>
      <c r="AF22" s="819">
        <v>1</v>
      </c>
      <c r="AG22" s="831">
        <v>1</v>
      </c>
      <c r="AH22" s="781">
        <v>1</v>
      </c>
      <c r="AI22" s="728"/>
      <c r="AJ22" s="728"/>
      <c r="AK22" s="783">
        <v>1</v>
      </c>
      <c r="AL22" s="721">
        <v>19</v>
      </c>
      <c r="AM22" s="717"/>
      <c r="AN22" s="717"/>
      <c r="AO22" s="717"/>
      <c r="AP22" s="781">
        <v>1</v>
      </c>
      <c r="AQ22" s="728"/>
      <c r="AR22" s="728"/>
      <c r="AS22" s="789">
        <v>1</v>
      </c>
      <c r="AT22" s="721">
        <v>19</v>
      </c>
      <c r="AU22" s="717"/>
      <c r="AV22" s="732"/>
      <c r="AW22" s="732"/>
      <c r="AX22" s="732"/>
      <c r="AY22" s="734"/>
      <c r="AZ22" s="734"/>
      <c r="BA22" s="734"/>
      <c r="BB22" s="721">
        <v>19</v>
      </c>
      <c r="BC22" s="717"/>
      <c r="BD22" s="755">
        <v>1</v>
      </c>
      <c r="BE22" s="732"/>
      <c r="BF22" s="732"/>
      <c r="BG22" s="734"/>
      <c r="BH22" s="734"/>
      <c r="BI22" s="734"/>
      <c r="BJ22" s="732"/>
      <c r="BK22" s="734" t="s">
        <v>117</v>
      </c>
      <c r="BL22" s="721">
        <v>19</v>
      </c>
      <c r="BM22" s="717"/>
      <c r="BN22" s="753">
        <v>1</v>
      </c>
      <c r="BO22" s="732"/>
      <c r="BP22" s="732"/>
      <c r="BQ22" s="732"/>
      <c r="BR22" s="732"/>
      <c r="BS22" s="734"/>
      <c r="BT22" s="732"/>
      <c r="BU22" s="371" t="s">
        <v>117</v>
      </c>
      <c r="BV22" s="721">
        <v>19</v>
      </c>
      <c r="BW22" s="5"/>
      <c r="BX22" s="23"/>
      <c r="BY22" s="23"/>
      <c r="BZ22" s="23"/>
      <c r="CA22" s="231"/>
      <c r="CB22" s="231"/>
      <c r="CC22" s="231"/>
      <c r="CD22" s="231"/>
      <c r="CE22" s="643"/>
      <c r="CF22" s="41">
        <v>19</v>
      </c>
      <c r="CG22" s="5"/>
      <c r="CH22" s="754">
        <v>1</v>
      </c>
      <c r="CI22" s="23"/>
      <c r="CJ22" s="23"/>
      <c r="CK22" s="231"/>
      <c r="CL22" s="231"/>
      <c r="CM22" s="231"/>
      <c r="CN22" s="231"/>
      <c r="CO22" s="643"/>
      <c r="CP22" s="41">
        <v>19</v>
      </c>
      <c r="CQ22" s="5"/>
      <c r="CR22" s="23"/>
      <c r="CS22" s="23"/>
      <c r="CT22" s="23"/>
      <c r="CU22" s="231"/>
      <c r="CV22" s="231"/>
      <c r="CW22" s="231"/>
      <c r="CX22" s="231"/>
      <c r="CY22" s="643"/>
      <c r="CZ22" s="41">
        <v>19</v>
      </c>
      <c r="DA22" s="5"/>
      <c r="DB22" s="754">
        <v>1</v>
      </c>
      <c r="DC22" s="23"/>
      <c r="DD22" s="23"/>
      <c r="DE22" s="231"/>
      <c r="DF22" s="231"/>
      <c r="DG22" s="231"/>
      <c r="DH22" s="231"/>
      <c r="DI22" s="231"/>
      <c r="DJ22" s="41">
        <v>19</v>
      </c>
      <c r="DK22" s="5"/>
      <c r="DL22" s="23"/>
      <c r="DM22" s="750" t="s">
        <v>792</v>
      </c>
      <c r="DN22" s="779">
        <v>1</v>
      </c>
      <c r="DO22" s="231"/>
      <c r="DP22" s="801">
        <v>1</v>
      </c>
      <c r="DQ22" s="792" t="s">
        <v>792</v>
      </c>
      <c r="DR22" s="231"/>
      <c r="DS22" s="783">
        <v>1</v>
      </c>
      <c r="DT22" s="41">
        <v>19</v>
      </c>
      <c r="DU22" s="5"/>
      <c r="DV22" s="755">
        <v>1</v>
      </c>
      <c r="DW22" s="23"/>
      <c r="DX22" s="23"/>
      <c r="DY22" s="231"/>
      <c r="EA22" s="231"/>
      <c r="EB22" s="231"/>
      <c r="EC22" s="231"/>
      <c r="ED22" s="41">
        <v>19</v>
      </c>
      <c r="EE22" s="5"/>
      <c r="EF22" s="23"/>
      <c r="EG22" s="23"/>
      <c r="EH22" s="23"/>
      <c r="EI22" s="231"/>
      <c r="EJ22" s="231"/>
      <c r="EK22" s="231"/>
      <c r="EL22" s="231"/>
      <c r="EM22" s="41">
        <v>19</v>
      </c>
      <c r="EN22" s="5"/>
      <c r="EO22" s="23"/>
      <c r="EP22" s="23"/>
      <c r="EQ22" s="23"/>
      <c r="ER22" s="231"/>
      <c r="ES22" s="231"/>
      <c r="ET22" s="231"/>
      <c r="EU22" s="231"/>
      <c r="EV22" s="41">
        <v>19</v>
      </c>
      <c r="EW22" s="5"/>
      <c r="EX22" s="23"/>
      <c r="EY22" s="23"/>
      <c r="EZ22" s="23"/>
      <c r="FA22" s="231"/>
      <c r="FB22" s="231"/>
      <c r="FC22" s="792" t="s">
        <v>792</v>
      </c>
      <c r="FD22" s="231"/>
      <c r="FE22" s="231"/>
    </row>
    <row r="23" spans="1:161">
      <c r="A23" s="721">
        <v>20</v>
      </c>
      <c r="B23" s="717"/>
      <c r="C23" s="717"/>
      <c r="D23" s="721">
        <v>20</v>
      </c>
      <c r="E23" s="757">
        <v>1</v>
      </c>
      <c r="F23" s="755">
        <v>1</v>
      </c>
      <c r="G23" s="721">
        <v>20</v>
      </c>
      <c r="H23" s="93">
        <v>1</v>
      </c>
      <c r="I23" s="820">
        <v>1</v>
      </c>
      <c r="J23" s="750" t="s">
        <v>792</v>
      </c>
      <c r="K23" s="822">
        <v>1</v>
      </c>
      <c r="L23" s="825">
        <v>1</v>
      </c>
      <c r="M23" s="729"/>
      <c r="N23" s="721">
        <v>20</v>
      </c>
      <c r="O23" s="756">
        <v>1</v>
      </c>
      <c r="P23" s="754">
        <v>1</v>
      </c>
      <c r="Q23" s="717"/>
      <c r="R23" s="779">
        <v>1</v>
      </c>
      <c r="S23" s="728"/>
      <c r="T23" s="728"/>
      <c r="U23" s="782">
        <v>1</v>
      </c>
      <c r="V23" s="721">
        <v>20</v>
      </c>
      <c r="W23" s="757">
        <v>1</v>
      </c>
      <c r="X23" s="819">
        <v>1</v>
      </c>
      <c r="Y23" s="831">
        <v>1</v>
      </c>
      <c r="Z23" s="779">
        <v>1</v>
      </c>
      <c r="AA23" s="728"/>
      <c r="AB23" s="728"/>
      <c r="AC23" s="784">
        <v>1</v>
      </c>
      <c r="AD23" s="721">
        <v>20</v>
      </c>
      <c r="AE23" s="717"/>
      <c r="AF23" s="717"/>
      <c r="AG23" s="750">
        <v>1</v>
      </c>
      <c r="AH23" s="732"/>
      <c r="AI23" s="728"/>
      <c r="AJ23" s="728"/>
      <c r="AK23" s="784">
        <v>1</v>
      </c>
      <c r="AL23" s="721">
        <v>20</v>
      </c>
      <c r="AM23" s="717"/>
      <c r="AN23" s="717"/>
      <c r="AO23" s="717"/>
      <c r="AP23" s="732"/>
      <c r="AQ23" s="728"/>
      <c r="AR23" s="769">
        <v>1</v>
      </c>
      <c r="AS23" s="717"/>
      <c r="AT23" s="721">
        <v>20</v>
      </c>
      <c r="AU23" s="717"/>
      <c r="AV23" s="732"/>
      <c r="AW23" s="732"/>
      <c r="AX23" s="732"/>
      <c r="AY23" s="734"/>
      <c r="AZ23" s="769" t="s">
        <v>792</v>
      </c>
      <c r="BA23" s="734"/>
      <c r="BB23" s="721">
        <v>20</v>
      </c>
      <c r="BC23" s="717"/>
      <c r="BD23" s="718"/>
      <c r="BE23" s="732"/>
      <c r="BF23" s="732"/>
      <c r="BG23" s="734"/>
      <c r="BH23" s="769" t="s">
        <v>792</v>
      </c>
      <c r="BI23" s="734"/>
      <c r="BJ23" s="732"/>
      <c r="BK23" s="734" t="s">
        <v>117</v>
      </c>
      <c r="BL23" s="721">
        <v>20</v>
      </c>
      <c r="BM23" s="886" t="s">
        <v>792</v>
      </c>
      <c r="BN23" s="754">
        <v>1</v>
      </c>
      <c r="BO23" s="732"/>
      <c r="BP23" s="732"/>
      <c r="BQ23" s="732"/>
      <c r="BR23" s="732"/>
      <c r="BS23" s="734"/>
      <c r="BT23" s="732"/>
      <c r="BU23" s="371" t="s">
        <v>117</v>
      </c>
      <c r="BV23" s="721">
        <v>20</v>
      </c>
      <c r="BW23" s="5"/>
      <c r="BX23" s="23"/>
      <c r="BY23" s="23"/>
      <c r="BZ23" s="23"/>
      <c r="CA23" s="231"/>
      <c r="CB23" s="231"/>
      <c r="CC23" s="231"/>
      <c r="CD23" s="231"/>
      <c r="CE23" s="643"/>
      <c r="CF23" s="41">
        <v>20</v>
      </c>
      <c r="CG23" s="5"/>
      <c r="CH23" s="755">
        <v>1</v>
      </c>
      <c r="CI23" s="23"/>
      <c r="CJ23" s="23"/>
      <c r="CK23" s="231"/>
      <c r="CL23" s="769">
        <v>1</v>
      </c>
      <c r="CM23" s="1083" t="s">
        <v>792</v>
      </c>
      <c r="CN23" s="795">
        <v>1</v>
      </c>
      <c r="CO23" s="643"/>
      <c r="CP23" s="41">
        <v>20</v>
      </c>
      <c r="CQ23" s="5"/>
      <c r="CR23" s="23"/>
      <c r="CS23" s="23"/>
      <c r="CT23" s="23"/>
      <c r="CU23" s="231"/>
      <c r="CV23" s="231"/>
      <c r="CW23" s="231"/>
      <c r="CX23" s="231"/>
      <c r="CY23" s="643"/>
      <c r="CZ23" s="41">
        <v>20</v>
      </c>
      <c r="DA23" s="5"/>
      <c r="DB23" s="755">
        <v>1</v>
      </c>
      <c r="DC23" s="23"/>
      <c r="DD23" s="23"/>
      <c r="DE23" s="231"/>
      <c r="DF23" s="231"/>
      <c r="DG23" s="231"/>
      <c r="DH23" s="231"/>
      <c r="DI23" s="231"/>
      <c r="DJ23" s="41">
        <v>20</v>
      </c>
      <c r="DK23" s="5"/>
      <c r="DL23" s="23"/>
      <c r="DM23" s="750" t="s">
        <v>792</v>
      </c>
      <c r="DN23" s="779">
        <v>1</v>
      </c>
      <c r="DO23" s="809">
        <v>1</v>
      </c>
      <c r="DP23" s="802">
        <v>1</v>
      </c>
      <c r="DQ23" s="792" t="s">
        <v>792</v>
      </c>
      <c r="DR23" s="231"/>
      <c r="DS23" s="783">
        <v>1</v>
      </c>
      <c r="DT23" s="41">
        <v>20</v>
      </c>
      <c r="DU23" s="5"/>
      <c r="DV23" s="23"/>
      <c r="DW23" s="23"/>
      <c r="DX23" s="23"/>
      <c r="EA23" s="231"/>
      <c r="EB23" s="231"/>
      <c r="EC23" s="231"/>
      <c r="ED23" s="41">
        <v>20</v>
      </c>
      <c r="EE23" s="5"/>
      <c r="EF23" s="23"/>
      <c r="EG23" s="23"/>
      <c r="EH23" s="23"/>
      <c r="EI23" s="231"/>
      <c r="EJ23" s="231"/>
      <c r="EK23" s="231"/>
      <c r="EL23" s="231"/>
      <c r="EM23" s="41">
        <v>20</v>
      </c>
      <c r="EN23" s="5"/>
      <c r="EO23" s="23"/>
      <c r="EP23" s="23"/>
      <c r="EQ23" s="23"/>
      <c r="ER23" s="231"/>
      <c r="ES23" s="231"/>
      <c r="ET23" s="231"/>
      <c r="EU23" s="231"/>
      <c r="EV23" s="41">
        <v>20</v>
      </c>
      <c r="EW23" s="5"/>
      <c r="EX23" s="23"/>
      <c r="EY23" s="23"/>
      <c r="EZ23" s="23"/>
      <c r="FA23" s="231"/>
      <c r="FB23" s="231"/>
      <c r="FC23" s="792" t="s">
        <v>792</v>
      </c>
      <c r="FD23" s="231"/>
      <c r="FE23" s="231"/>
    </row>
    <row r="24" spans="1:161">
      <c r="A24" s="721">
        <v>21</v>
      </c>
      <c r="B24" s="717"/>
      <c r="C24" s="717"/>
      <c r="D24" s="721">
        <v>21</v>
      </c>
      <c r="E24" s="758">
        <v>1</v>
      </c>
      <c r="F24" s="754">
        <v>1</v>
      </c>
      <c r="G24" s="721">
        <v>21</v>
      </c>
      <c r="H24" s="717"/>
      <c r="I24" s="820">
        <v>1</v>
      </c>
      <c r="J24" s="750" t="s">
        <v>792</v>
      </c>
      <c r="K24" s="822">
        <v>1</v>
      </c>
      <c r="L24" s="825">
        <v>1</v>
      </c>
      <c r="M24" s="729"/>
      <c r="N24" s="721">
        <v>21</v>
      </c>
      <c r="O24" s="758">
        <v>1</v>
      </c>
      <c r="P24" s="755">
        <v>1</v>
      </c>
      <c r="Q24" s="717"/>
      <c r="R24" s="779">
        <v>1</v>
      </c>
      <c r="S24" s="728"/>
      <c r="T24" s="728"/>
      <c r="U24" s="785">
        <v>1</v>
      </c>
      <c r="V24" s="721">
        <v>21</v>
      </c>
      <c r="W24" s="757">
        <v>1</v>
      </c>
      <c r="X24" s="818">
        <v>1</v>
      </c>
      <c r="Y24" s="832">
        <v>1</v>
      </c>
      <c r="Z24" s="779">
        <v>1</v>
      </c>
      <c r="AA24" s="728"/>
      <c r="AB24" s="728"/>
      <c r="AC24" s="734"/>
      <c r="AD24" s="721">
        <v>21</v>
      </c>
      <c r="AE24" s="108">
        <v>1</v>
      </c>
      <c r="AF24" s="818">
        <v>1</v>
      </c>
      <c r="AG24" s="750">
        <v>1</v>
      </c>
      <c r="AH24" s="732"/>
      <c r="AI24" s="728"/>
      <c r="AJ24" s="769" t="s">
        <v>792</v>
      </c>
      <c r="AK24" s="729"/>
      <c r="AL24" s="721">
        <v>21</v>
      </c>
      <c r="AM24" s="756">
        <v>1</v>
      </c>
      <c r="AN24" s="717"/>
      <c r="AO24" s="717"/>
      <c r="AP24" s="732"/>
      <c r="AQ24" s="728"/>
      <c r="AR24" s="770">
        <v>1</v>
      </c>
      <c r="AS24" s="717"/>
      <c r="AT24" s="721">
        <v>21</v>
      </c>
      <c r="AU24" s="756">
        <v>1</v>
      </c>
      <c r="AV24" s="732"/>
      <c r="AW24" s="732"/>
      <c r="AX24" s="732"/>
      <c r="AY24" s="734"/>
      <c r="AZ24" s="770" t="s">
        <v>792</v>
      </c>
      <c r="BA24" s="734"/>
      <c r="BB24" s="721">
        <v>21</v>
      </c>
      <c r="BC24" s="718"/>
      <c r="BD24" s="732"/>
      <c r="BE24" s="749">
        <v>1</v>
      </c>
      <c r="BF24" s="732"/>
      <c r="BG24" s="734"/>
      <c r="BH24" s="770" t="s">
        <v>792</v>
      </c>
      <c r="BI24" s="734"/>
      <c r="BJ24" s="732"/>
      <c r="BK24" s="734" t="s">
        <v>117</v>
      </c>
      <c r="BL24" s="721">
        <v>21</v>
      </c>
      <c r="BM24" s="718"/>
      <c r="BN24" s="755">
        <v>1</v>
      </c>
      <c r="BO24" s="732"/>
      <c r="BP24" s="732"/>
      <c r="BQ24" s="732"/>
      <c r="BR24" s="732"/>
      <c r="BS24" s="734"/>
      <c r="BT24" s="732"/>
      <c r="BU24" s="371" t="s">
        <v>117</v>
      </c>
      <c r="BV24" s="721">
        <v>21</v>
      </c>
      <c r="BW24" s="15"/>
      <c r="BX24" s="23"/>
      <c r="BY24" s="23"/>
      <c r="BZ24" s="23"/>
      <c r="CA24" s="231"/>
      <c r="CB24" s="231"/>
      <c r="CC24" s="790">
        <v>1</v>
      </c>
      <c r="CD24" s="231"/>
      <c r="CE24" s="643"/>
      <c r="CF24" s="41">
        <v>21</v>
      </c>
      <c r="CG24" s="756">
        <v>1</v>
      </c>
      <c r="CH24" s="23"/>
      <c r="CI24" s="23"/>
      <c r="CJ24" s="780">
        <v>1</v>
      </c>
      <c r="CK24" s="231"/>
      <c r="CL24" s="770">
        <v>1</v>
      </c>
      <c r="CM24" s="1084" t="s">
        <v>792</v>
      </c>
      <c r="CN24" s="796">
        <v>1</v>
      </c>
      <c r="CO24" s="643"/>
      <c r="CP24" s="41">
        <v>21</v>
      </c>
      <c r="CQ24" s="15"/>
      <c r="CR24" s="23"/>
      <c r="CS24" s="23"/>
      <c r="CT24" s="23"/>
      <c r="CU24" s="231"/>
      <c r="CV24" s="231"/>
      <c r="CW24" s="231"/>
      <c r="CX24" s="231"/>
      <c r="CY24" s="643"/>
      <c r="CZ24" s="41">
        <v>21</v>
      </c>
      <c r="DA24" s="15"/>
      <c r="DC24" s="23"/>
      <c r="DD24" s="23"/>
      <c r="DE24" s="231"/>
      <c r="DF24" s="231"/>
      <c r="DG24" s="231"/>
      <c r="DH24" s="231"/>
      <c r="DI24" s="231"/>
      <c r="DJ24" s="41">
        <v>21</v>
      </c>
      <c r="DK24" s="15"/>
      <c r="DL24" s="23"/>
      <c r="DM24" s="750" t="s">
        <v>792</v>
      </c>
      <c r="DN24" s="779">
        <v>1</v>
      </c>
      <c r="DO24" s="810">
        <v>1</v>
      </c>
      <c r="DP24" s="802">
        <v>1</v>
      </c>
      <c r="DQ24" s="792" t="s">
        <v>792</v>
      </c>
      <c r="DR24" s="231"/>
      <c r="DS24" s="784">
        <v>1</v>
      </c>
      <c r="DT24" s="41">
        <v>21</v>
      </c>
      <c r="DU24" s="15"/>
      <c r="DV24" s="23"/>
      <c r="DW24" s="23"/>
      <c r="DX24" s="23"/>
      <c r="EA24" s="231"/>
      <c r="EB24" s="231"/>
      <c r="EC24" s="231"/>
      <c r="ED24" s="41">
        <v>21</v>
      </c>
      <c r="EE24" s="15"/>
      <c r="EF24" s="23"/>
      <c r="EG24" s="23"/>
      <c r="EH24" s="780">
        <v>1</v>
      </c>
      <c r="EI24" s="231"/>
      <c r="EJ24" s="231"/>
      <c r="EK24" s="231"/>
      <c r="EL24" s="231"/>
      <c r="EM24" s="41">
        <v>21</v>
      </c>
      <c r="EN24" s="15"/>
      <c r="EO24" s="23"/>
      <c r="EP24" s="23"/>
      <c r="EQ24" s="23"/>
      <c r="ER24" s="231"/>
      <c r="ES24" s="231"/>
      <c r="ET24" s="231"/>
      <c r="EU24" s="231"/>
      <c r="EV24" s="41">
        <v>21</v>
      </c>
      <c r="EW24" s="15"/>
      <c r="EX24" s="23"/>
      <c r="EY24" s="23"/>
      <c r="EZ24" s="23"/>
      <c r="FA24" s="231"/>
      <c r="FB24" s="231"/>
      <c r="FC24" s="791" t="s">
        <v>792</v>
      </c>
      <c r="FD24" s="231"/>
      <c r="FE24" s="231"/>
    </row>
    <row r="25" spans="1:161">
      <c r="A25" s="721">
        <v>22</v>
      </c>
      <c r="B25" s="717"/>
      <c r="C25" s="717"/>
      <c r="D25" s="721">
        <v>22</v>
      </c>
      <c r="E25" s="757">
        <v>1</v>
      </c>
      <c r="F25" s="755">
        <v>1</v>
      </c>
      <c r="G25" s="721">
        <v>22</v>
      </c>
      <c r="H25" s="108">
        <v>1</v>
      </c>
      <c r="I25" s="820">
        <v>1</v>
      </c>
      <c r="J25" s="750" t="s">
        <v>792</v>
      </c>
      <c r="K25" s="822">
        <v>1</v>
      </c>
      <c r="L25" s="825">
        <v>1</v>
      </c>
      <c r="M25" s="782">
        <v>1</v>
      </c>
      <c r="N25" s="721">
        <v>22</v>
      </c>
      <c r="O25" s="757">
        <v>1</v>
      </c>
      <c r="P25" s="754">
        <v>1</v>
      </c>
      <c r="Q25" s="717"/>
      <c r="R25" s="779">
        <v>1</v>
      </c>
      <c r="S25" s="728"/>
      <c r="T25" s="769" t="s">
        <v>792</v>
      </c>
      <c r="U25" s="371"/>
      <c r="V25" s="721">
        <v>22</v>
      </c>
      <c r="W25" s="758">
        <v>1</v>
      </c>
      <c r="X25" s="755">
        <v>1</v>
      </c>
      <c r="Y25" s="717"/>
      <c r="Z25" s="779">
        <v>1</v>
      </c>
      <c r="AA25" s="728"/>
      <c r="AB25" s="728"/>
      <c r="AC25" s="785">
        <v>1</v>
      </c>
      <c r="AD25" s="721">
        <v>22</v>
      </c>
      <c r="AE25" s="92">
        <v>1</v>
      </c>
      <c r="AF25" s="819">
        <v>1</v>
      </c>
      <c r="AG25" s="751">
        <v>1</v>
      </c>
      <c r="AH25" s="732"/>
      <c r="AI25" s="836">
        <v>1</v>
      </c>
      <c r="AJ25" s="770" t="s">
        <v>792</v>
      </c>
      <c r="AK25" s="782">
        <v>1</v>
      </c>
      <c r="AL25" s="721">
        <v>22</v>
      </c>
      <c r="AM25" s="758">
        <v>1</v>
      </c>
      <c r="AN25" s="717"/>
      <c r="AO25" s="717"/>
      <c r="AP25" s="732"/>
      <c r="AQ25" s="728"/>
      <c r="AR25" s="771">
        <v>1</v>
      </c>
      <c r="AS25" s="717"/>
      <c r="AT25" s="721">
        <v>22</v>
      </c>
      <c r="AU25" s="758">
        <v>1</v>
      </c>
      <c r="AV25" s="732"/>
      <c r="AW25" s="732"/>
      <c r="AX25" s="732"/>
      <c r="AY25" s="734"/>
      <c r="AZ25" s="770" t="s">
        <v>792</v>
      </c>
      <c r="BA25" s="734"/>
      <c r="BB25" s="721">
        <v>22</v>
      </c>
      <c r="BC25" s="717"/>
      <c r="BD25" s="732"/>
      <c r="BE25" s="750">
        <v>1</v>
      </c>
      <c r="BF25" s="732"/>
      <c r="BG25" s="734"/>
      <c r="BH25" s="770" t="s">
        <v>792</v>
      </c>
      <c r="BI25" s="734"/>
      <c r="BJ25" s="732"/>
      <c r="BK25" s="734" t="s">
        <v>117</v>
      </c>
      <c r="BL25" s="721">
        <v>22</v>
      </c>
      <c r="BM25" s="717"/>
      <c r="BN25" s="732"/>
      <c r="BO25" s="732"/>
      <c r="BP25" s="732"/>
      <c r="BQ25" s="732"/>
      <c r="BR25" s="732"/>
      <c r="BS25" s="734"/>
      <c r="BT25" s="732"/>
      <c r="BU25" s="371" t="s">
        <v>117</v>
      </c>
      <c r="BV25" s="721">
        <v>22</v>
      </c>
      <c r="BW25" s="5"/>
      <c r="BX25" s="23"/>
      <c r="BY25" s="23"/>
      <c r="BZ25" s="23"/>
      <c r="CA25" s="231"/>
      <c r="CB25" s="15"/>
      <c r="CC25" s="791">
        <v>1</v>
      </c>
      <c r="CD25" s="231"/>
      <c r="CE25" s="643"/>
      <c r="CF25" s="41">
        <v>22</v>
      </c>
      <c r="CG25" s="757">
        <v>1</v>
      </c>
      <c r="CH25" s="23"/>
      <c r="CI25" s="23"/>
      <c r="CJ25" s="779">
        <v>1</v>
      </c>
      <c r="CK25" s="231"/>
      <c r="CL25" s="770">
        <v>1</v>
      </c>
      <c r="CM25" s="1084" t="s">
        <v>792</v>
      </c>
      <c r="CN25" s="796">
        <v>1</v>
      </c>
      <c r="CO25" s="643"/>
      <c r="CP25" s="41">
        <v>22</v>
      </c>
      <c r="CQ25" s="5"/>
      <c r="CR25" s="23"/>
      <c r="CS25" s="23"/>
      <c r="CT25" s="23"/>
      <c r="CU25" s="231"/>
      <c r="CV25" s="15"/>
      <c r="CW25" s="231"/>
      <c r="CX25" s="231"/>
      <c r="CY25" s="643"/>
      <c r="CZ25" s="41">
        <v>22</v>
      </c>
      <c r="DA25" s="5"/>
      <c r="DC25" s="23"/>
      <c r="DD25" s="23"/>
      <c r="DE25" s="231"/>
      <c r="DF25" s="231"/>
      <c r="DG25" s="231"/>
      <c r="DH25" s="231"/>
      <c r="DI25" s="231"/>
      <c r="DJ25" s="41">
        <v>22</v>
      </c>
      <c r="DK25" s="5"/>
      <c r="DL25" s="753">
        <v>1</v>
      </c>
      <c r="DM25" s="750" t="s">
        <v>792</v>
      </c>
      <c r="DN25" s="779">
        <v>1</v>
      </c>
      <c r="DO25" s="811">
        <v>1</v>
      </c>
      <c r="DP25" s="802">
        <v>1</v>
      </c>
      <c r="DQ25" s="792" t="s">
        <v>792</v>
      </c>
      <c r="DR25" s="231"/>
      <c r="DS25" s="242">
        <v>1</v>
      </c>
      <c r="DT25" s="41">
        <v>22</v>
      </c>
      <c r="DU25" s="5"/>
      <c r="DV25" s="753">
        <v>1</v>
      </c>
      <c r="DW25" s="23"/>
      <c r="DX25" s="23"/>
      <c r="EA25" s="231"/>
      <c r="EB25" s="231"/>
      <c r="EC25" s="231"/>
      <c r="ED25" s="41">
        <v>22</v>
      </c>
      <c r="EE25" s="5"/>
      <c r="EF25" s="23"/>
      <c r="EG25" s="23"/>
      <c r="EH25" s="779">
        <v>1</v>
      </c>
      <c r="EI25" s="231"/>
      <c r="EJ25" s="15"/>
      <c r="EK25" s="231"/>
      <c r="EL25" s="231"/>
      <c r="EM25" s="41">
        <v>22</v>
      </c>
      <c r="EN25" s="5"/>
      <c r="EO25" s="23"/>
      <c r="EP25" s="23"/>
      <c r="EQ25" s="23"/>
      <c r="ER25" s="231"/>
      <c r="ES25" s="15"/>
      <c r="ET25" s="231"/>
      <c r="EU25" s="231"/>
      <c r="EV25" s="41">
        <v>22</v>
      </c>
      <c r="EW25" s="5"/>
      <c r="EX25" s="23"/>
      <c r="EY25" s="23"/>
      <c r="EZ25" s="23"/>
      <c r="FA25" s="231"/>
      <c r="FB25" s="15"/>
      <c r="FC25" s="231"/>
      <c r="FD25" s="231"/>
      <c r="FE25" s="231"/>
    </row>
    <row r="26" spans="1:161">
      <c r="A26" s="721">
        <v>23</v>
      </c>
      <c r="B26" s="717"/>
      <c r="C26" s="717"/>
      <c r="D26" s="721">
        <v>23</v>
      </c>
      <c r="E26" s="758">
        <v>1</v>
      </c>
      <c r="F26" s="753">
        <v>1</v>
      </c>
      <c r="G26" s="721">
        <v>23</v>
      </c>
      <c r="H26" s="93">
        <v>1</v>
      </c>
      <c r="I26" s="819">
        <v>1</v>
      </c>
      <c r="J26" s="750" t="s">
        <v>792</v>
      </c>
      <c r="K26" s="822">
        <v>1</v>
      </c>
      <c r="L26" s="825">
        <v>1</v>
      </c>
      <c r="M26" s="783">
        <v>1</v>
      </c>
      <c r="N26" s="721">
        <v>23</v>
      </c>
      <c r="O26" s="758">
        <v>1</v>
      </c>
      <c r="P26" s="755">
        <v>1</v>
      </c>
      <c r="Q26" s="717"/>
      <c r="R26" s="779">
        <v>1</v>
      </c>
      <c r="S26" s="728"/>
      <c r="T26" s="770" t="s">
        <v>792</v>
      </c>
      <c r="U26" s="786">
        <v>1</v>
      </c>
      <c r="V26" s="721">
        <v>23</v>
      </c>
      <c r="W26" s="756">
        <v>1</v>
      </c>
      <c r="X26" s="717"/>
      <c r="Y26" s="717"/>
      <c r="Z26" s="779">
        <v>1</v>
      </c>
      <c r="AA26" s="728"/>
      <c r="AB26" s="728"/>
      <c r="AC26" s="734"/>
      <c r="AD26" s="721">
        <v>23</v>
      </c>
      <c r="AE26" s="93">
        <v>1</v>
      </c>
      <c r="AF26" s="754">
        <v>1</v>
      </c>
      <c r="AG26" s="717"/>
      <c r="AH26" s="732"/>
      <c r="AI26" s="837">
        <v>1</v>
      </c>
      <c r="AJ26" s="770" t="s">
        <v>792</v>
      </c>
      <c r="AK26" s="783">
        <v>1</v>
      </c>
      <c r="AL26" s="721">
        <v>23</v>
      </c>
      <c r="AM26" s="717"/>
      <c r="AN26" s="717"/>
      <c r="AO26" s="717"/>
      <c r="AP26" s="732"/>
      <c r="AQ26" s="728"/>
      <c r="AR26" s="728"/>
      <c r="AS26" s="717"/>
      <c r="AT26" s="721">
        <v>23</v>
      </c>
      <c r="AU26" s="717"/>
      <c r="AV26" s="732"/>
      <c r="AW26" s="732"/>
      <c r="AX26" s="732"/>
      <c r="AY26" s="734"/>
      <c r="AZ26" s="770" t="s">
        <v>792</v>
      </c>
      <c r="BA26" s="734"/>
      <c r="BB26" s="721">
        <v>23</v>
      </c>
      <c r="BC26" s="717"/>
      <c r="BD26" s="732"/>
      <c r="BE26" s="751">
        <v>1</v>
      </c>
      <c r="BF26" s="732"/>
      <c r="BG26" s="734"/>
      <c r="BH26" s="770" t="s">
        <v>792</v>
      </c>
      <c r="BI26" s="734"/>
      <c r="BJ26" s="732"/>
      <c r="BK26" s="734" t="s">
        <v>117</v>
      </c>
      <c r="BL26" s="721">
        <v>23</v>
      </c>
      <c r="BM26" s="717"/>
      <c r="BN26" s="732"/>
      <c r="BO26" s="732"/>
      <c r="BP26" s="732"/>
      <c r="BQ26" s="732"/>
      <c r="BR26" s="732"/>
      <c r="BS26" s="734"/>
      <c r="BT26" s="732"/>
      <c r="BU26" s="371" t="s">
        <v>117</v>
      </c>
      <c r="BV26" s="721">
        <v>23</v>
      </c>
      <c r="BW26" s="5"/>
      <c r="BX26" s="23"/>
      <c r="BY26" s="23"/>
      <c r="BZ26" s="23"/>
      <c r="CA26" s="231"/>
      <c r="CB26" s="231"/>
      <c r="CC26" s="231"/>
      <c r="CD26" s="795" t="s">
        <v>792</v>
      </c>
      <c r="CE26" s="643"/>
      <c r="CF26" s="41">
        <v>23</v>
      </c>
      <c r="CG26" s="757">
        <v>1</v>
      </c>
      <c r="CH26" s="23"/>
      <c r="CI26" s="23"/>
      <c r="CJ26" s="779">
        <v>1</v>
      </c>
      <c r="CK26" s="231"/>
      <c r="CL26" s="770">
        <v>1</v>
      </c>
      <c r="CM26" s="1085" t="s">
        <v>792</v>
      </c>
      <c r="CN26" s="796">
        <v>1</v>
      </c>
      <c r="CO26" s="643"/>
      <c r="CP26" s="41">
        <v>23</v>
      </c>
      <c r="CQ26" s="5"/>
      <c r="CR26" s="23"/>
      <c r="CS26" s="23"/>
      <c r="CT26" s="23"/>
      <c r="CU26" s="231"/>
      <c r="CV26" s="231"/>
      <c r="CW26" s="231"/>
      <c r="CX26" s="231"/>
      <c r="CY26" s="643"/>
      <c r="CZ26" s="41">
        <v>23</v>
      </c>
      <c r="DA26" s="5"/>
      <c r="DB26" s="753">
        <v>1</v>
      </c>
      <c r="DC26" s="23"/>
      <c r="DD26" s="23"/>
      <c r="DE26" s="231"/>
      <c r="DF26" s="231"/>
      <c r="DG26" s="231"/>
      <c r="DH26" s="231"/>
      <c r="DI26" s="231"/>
      <c r="DJ26" s="41">
        <v>23</v>
      </c>
      <c r="DK26" s="756">
        <v>1</v>
      </c>
      <c r="DL26" s="754">
        <v>1</v>
      </c>
      <c r="DM26" s="750" t="s">
        <v>792</v>
      </c>
      <c r="DN26" s="779">
        <v>1</v>
      </c>
      <c r="DO26" s="231"/>
      <c r="DP26" s="802">
        <v>1</v>
      </c>
      <c r="DQ26" s="792" t="s">
        <v>792</v>
      </c>
      <c r="DR26" s="231"/>
      <c r="DS26" s="784">
        <v>1</v>
      </c>
      <c r="DT26" s="41">
        <v>23</v>
      </c>
      <c r="DU26" s="5"/>
      <c r="DV26" s="754">
        <v>1</v>
      </c>
      <c r="DW26" s="23"/>
      <c r="DX26" s="23"/>
      <c r="DY26" s="231"/>
      <c r="EA26" s="231"/>
      <c r="EB26" s="231"/>
      <c r="EC26" s="231"/>
      <c r="ED26" s="41">
        <v>23</v>
      </c>
      <c r="EE26" s="5"/>
      <c r="EF26" s="23"/>
      <c r="EG26" s="23"/>
      <c r="EH26" s="779">
        <v>1</v>
      </c>
      <c r="EI26" s="231"/>
      <c r="EJ26" s="231"/>
      <c r="EK26" s="231"/>
      <c r="EL26" s="231"/>
      <c r="EM26" s="41">
        <v>23</v>
      </c>
      <c r="EN26" s="5"/>
      <c r="EO26" s="23"/>
      <c r="EP26" s="23"/>
      <c r="EQ26" s="23"/>
      <c r="ER26" s="231"/>
      <c r="ES26" s="231"/>
      <c r="ET26" s="231"/>
      <c r="EU26" s="231"/>
      <c r="EV26" s="41">
        <v>23</v>
      </c>
      <c r="EW26" s="5"/>
      <c r="EX26" s="23"/>
      <c r="EY26" s="23"/>
      <c r="EZ26" s="23"/>
      <c r="FA26" s="231"/>
      <c r="FB26" s="231"/>
      <c r="FC26" s="231"/>
      <c r="FD26" s="231"/>
      <c r="FE26" s="231"/>
    </row>
    <row r="27" spans="1:161">
      <c r="A27" s="721">
        <v>24</v>
      </c>
      <c r="B27" s="756">
        <v>1</v>
      </c>
      <c r="C27" s="717"/>
      <c r="D27" s="721">
        <v>24</v>
      </c>
      <c r="E27" s="757">
        <v>1</v>
      </c>
      <c r="F27" s="755">
        <v>1</v>
      </c>
      <c r="G27" s="721">
        <v>24</v>
      </c>
      <c r="H27" s="92">
        <v>1</v>
      </c>
      <c r="I27" s="820">
        <v>1</v>
      </c>
      <c r="J27" s="750" t="s">
        <v>792</v>
      </c>
      <c r="K27" s="822">
        <v>1</v>
      </c>
      <c r="L27" s="825">
        <v>1</v>
      </c>
      <c r="M27" s="783">
        <v>1</v>
      </c>
      <c r="N27" s="721">
        <v>24</v>
      </c>
      <c r="O27" s="757">
        <v>1</v>
      </c>
      <c r="P27" s="717"/>
      <c r="Q27" s="717"/>
      <c r="R27" s="779">
        <v>1</v>
      </c>
      <c r="S27" s="728"/>
      <c r="T27" s="770" t="s">
        <v>792</v>
      </c>
      <c r="U27" s="784">
        <v>1</v>
      </c>
      <c r="V27" s="721">
        <v>24</v>
      </c>
      <c r="W27" s="758">
        <v>1</v>
      </c>
      <c r="X27" s="753">
        <v>1</v>
      </c>
      <c r="Y27" s="717"/>
      <c r="Z27" s="779">
        <v>1</v>
      </c>
      <c r="AA27" s="728"/>
      <c r="AB27" s="728"/>
      <c r="AC27" s="785">
        <v>1</v>
      </c>
      <c r="AD27" s="721">
        <v>24</v>
      </c>
      <c r="AE27" s="717"/>
      <c r="AF27" s="754">
        <v>1</v>
      </c>
      <c r="AG27" s="717"/>
      <c r="AH27" s="732"/>
      <c r="AI27" s="837">
        <v>1</v>
      </c>
      <c r="AJ27" s="770" t="s">
        <v>792</v>
      </c>
      <c r="AK27" s="784">
        <v>1</v>
      </c>
      <c r="AL27" s="721">
        <v>24</v>
      </c>
      <c r="AM27" s="717"/>
      <c r="AN27" s="717"/>
      <c r="AO27" s="717"/>
      <c r="AP27" s="732"/>
      <c r="AQ27" s="728"/>
      <c r="AR27" s="728"/>
      <c r="AS27" s="734"/>
      <c r="AT27" s="721">
        <v>24</v>
      </c>
      <c r="AU27" s="717"/>
      <c r="AV27" s="717"/>
      <c r="AW27" s="717"/>
      <c r="AX27" s="732"/>
      <c r="AY27" s="728"/>
      <c r="AZ27" s="770" t="s">
        <v>792</v>
      </c>
      <c r="BA27" s="734"/>
      <c r="BB27" s="721">
        <v>24</v>
      </c>
      <c r="BC27" s="717"/>
      <c r="BD27" s="717"/>
      <c r="BE27" s="717"/>
      <c r="BF27" s="732"/>
      <c r="BG27" s="728"/>
      <c r="BH27" s="770" t="s">
        <v>792</v>
      </c>
      <c r="BI27" s="734"/>
      <c r="BJ27" s="732"/>
      <c r="BK27" s="734" t="s">
        <v>117</v>
      </c>
      <c r="BL27" s="721">
        <v>24</v>
      </c>
      <c r="BM27" s="717"/>
      <c r="BN27" s="717"/>
      <c r="BO27" s="717"/>
      <c r="BP27" s="732"/>
      <c r="BQ27" s="732"/>
      <c r="BR27" s="732"/>
      <c r="BS27" s="734"/>
      <c r="BT27" s="732"/>
      <c r="BU27" s="371" t="s">
        <v>117</v>
      </c>
      <c r="BV27" s="721">
        <v>24</v>
      </c>
      <c r="BW27" s="5"/>
      <c r="BX27" s="5"/>
      <c r="BY27" s="5"/>
      <c r="BZ27" s="23"/>
      <c r="CA27" s="105"/>
      <c r="CB27" s="231"/>
      <c r="CC27" s="231"/>
      <c r="CD27" s="796" t="s">
        <v>792</v>
      </c>
      <c r="CE27" s="643"/>
      <c r="CF27" s="41">
        <v>24</v>
      </c>
      <c r="CG27" s="758">
        <v>1</v>
      </c>
      <c r="CH27" s="5"/>
      <c r="CI27" s="5"/>
      <c r="CJ27" s="781">
        <v>1</v>
      </c>
      <c r="CK27" s="105"/>
      <c r="CL27" s="770">
        <v>1</v>
      </c>
      <c r="CM27" s="231"/>
      <c r="CN27" s="796">
        <v>1</v>
      </c>
      <c r="CO27" s="643"/>
      <c r="CP27" s="41">
        <v>24</v>
      </c>
      <c r="CQ27" s="756">
        <v>1</v>
      </c>
      <c r="CR27" s="5"/>
      <c r="CS27" s="5"/>
      <c r="CT27" s="23"/>
      <c r="CU27" s="105"/>
      <c r="CV27" s="231"/>
      <c r="CW27" s="231"/>
      <c r="CX27" s="231"/>
      <c r="CY27" s="643"/>
      <c r="CZ27" s="41">
        <v>24</v>
      </c>
      <c r="DA27" s="5"/>
      <c r="DB27" s="754">
        <v>1</v>
      </c>
      <c r="DC27" s="5"/>
      <c r="DD27" s="23"/>
      <c r="DE27" s="105"/>
      <c r="DF27" s="231"/>
      <c r="DG27" s="231"/>
      <c r="DH27" s="231"/>
      <c r="DI27" s="231"/>
      <c r="DJ27" s="41">
        <v>24</v>
      </c>
      <c r="DK27" s="757">
        <v>1</v>
      </c>
      <c r="DL27" s="754">
        <v>1</v>
      </c>
      <c r="DM27" s="750" t="s">
        <v>792</v>
      </c>
      <c r="DN27" s="779">
        <v>1</v>
      </c>
      <c r="DO27" s="105"/>
      <c r="DP27" s="802">
        <v>1</v>
      </c>
      <c r="DQ27" s="792" t="s">
        <v>792</v>
      </c>
      <c r="DR27" s="231"/>
      <c r="DS27" s="785">
        <v>1</v>
      </c>
      <c r="DT27" s="41">
        <v>24</v>
      </c>
      <c r="DU27" s="5"/>
      <c r="DV27" s="755">
        <v>1</v>
      </c>
      <c r="DW27" s="5"/>
      <c r="DX27" s="23"/>
      <c r="DY27" s="105"/>
      <c r="EA27" s="231"/>
      <c r="EB27" s="231"/>
      <c r="EC27" s="782">
        <v>1</v>
      </c>
      <c r="ED27" s="41">
        <v>24</v>
      </c>
      <c r="EE27" s="5"/>
      <c r="EF27" s="5"/>
      <c r="EG27" s="5"/>
      <c r="EH27" s="779">
        <v>1</v>
      </c>
      <c r="EI27" s="105"/>
      <c r="EJ27" s="231"/>
      <c r="EK27" s="231"/>
      <c r="EL27" s="231"/>
      <c r="EM27" s="41">
        <v>24</v>
      </c>
      <c r="EN27" s="5"/>
      <c r="EO27" s="5"/>
      <c r="EP27" s="5"/>
      <c r="EQ27" s="23"/>
      <c r="ER27" s="105"/>
      <c r="ES27" s="231"/>
      <c r="ET27" s="231"/>
      <c r="EU27" s="231"/>
      <c r="EV27" s="41">
        <v>24</v>
      </c>
      <c r="EW27" s="5"/>
      <c r="EX27" s="5"/>
      <c r="EY27" s="5"/>
      <c r="EZ27" s="23"/>
      <c r="FA27" s="105"/>
      <c r="FB27" s="231"/>
      <c r="FC27" s="231"/>
      <c r="FD27" s="231"/>
      <c r="FE27" s="231"/>
    </row>
    <row r="28" spans="1:161">
      <c r="A28" s="721">
        <v>25</v>
      </c>
      <c r="B28" s="758">
        <v>1</v>
      </c>
      <c r="C28" s="717"/>
      <c r="D28" s="721">
        <v>25</v>
      </c>
      <c r="E28" s="757">
        <v>1</v>
      </c>
      <c r="F28" s="754">
        <v>1</v>
      </c>
      <c r="G28" s="721">
        <v>25</v>
      </c>
      <c r="H28" s="93">
        <v>1</v>
      </c>
      <c r="I28" s="820">
        <v>1</v>
      </c>
      <c r="J28" s="750" t="s">
        <v>792</v>
      </c>
      <c r="K28" s="822">
        <v>1</v>
      </c>
      <c r="L28" s="825">
        <v>1</v>
      </c>
      <c r="M28" s="783">
        <v>1</v>
      </c>
      <c r="N28" s="721">
        <v>25</v>
      </c>
      <c r="O28" s="93">
        <v>1</v>
      </c>
      <c r="P28" s="753">
        <v>1</v>
      </c>
      <c r="Q28" s="717"/>
      <c r="R28" s="779">
        <v>1</v>
      </c>
      <c r="S28" s="728"/>
      <c r="T28" s="770" t="s">
        <v>792</v>
      </c>
      <c r="U28" s="729"/>
      <c r="V28" s="721">
        <v>25</v>
      </c>
      <c r="W28" s="757">
        <v>1</v>
      </c>
      <c r="X28" s="754">
        <v>1</v>
      </c>
      <c r="Y28" s="717"/>
      <c r="Z28" s="779">
        <v>1</v>
      </c>
      <c r="AA28" s="728"/>
      <c r="AB28" s="728"/>
      <c r="AC28" s="785">
        <v>1</v>
      </c>
      <c r="AD28" s="721">
        <v>25</v>
      </c>
      <c r="AE28" s="108">
        <v>1</v>
      </c>
      <c r="AF28" s="754">
        <v>1</v>
      </c>
      <c r="AG28" s="717"/>
      <c r="AH28" s="732"/>
      <c r="AI28" s="838">
        <v>1</v>
      </c>
      <c r="AJ28" s="770" t="s">
        <v>792</v>
      </c>
      <c r="AK28" s="729"/>
      <c r="AL28" s="721">
        <v>25</v>
      </c>
      <c r="AM28" s="717"/>
      <c r="AN28" s="753">
        <v>1</v>
      </c>
      <c r="AO28" s="717"/>
      <c r="AP28" s="732"/>
      <c r="AQ28" s="728"/>
      <c r="AR28" s="728"/>
      <c r="AS28" s="734"/>
      <c r="AT28" s="721">
        <v>25</v>
      </c>
      <c r="AU28" s="717"/>
      <c r="AV28" s="753">
        <v>1</v>
      </c>
      <c r="AW28" s="717"/>
      <c r="AX28" s="732"/>
      <c r="AY28" s="728"/>
      <c r="AZ28" s="770" t="s">
        <v>792</v>
      </c>
      <c r="BA28" s="734"/>
      <c r="BB28" s="721">
        <v>25</v>
      </c>
      <c r="BC28" s="717"/>
      <c r="BD28" s="753">
        <v>1</v>
      </c>
      <c r="BE28" s="717"/>
      <c r="BF28" s="732"/>
      <c r="BG28" s="728"/>
      <c r="BH28" s="770" t="s">
        <v>792</v>
      </c>
      <c r="BI28" s="728"/>
      <c r="BJ28" s="732"/>
      <c r="BK28" s="782">
        <v>1</v>
      </c>
      <c r="BL28" s="721">
        <v>25</v>
      </c>
      <c r="BM28" s="717"/>
      <c r="BN28" s="717"/>
      <c r="BO28" s="717"/>
      <c r="BP28" s="732"/>
      <c r="BQ28" s="732"/>
      <c r="BR28" s="732"/>
      <c r="BS28" s="790">
        <v>1</v>
      </c>
      <c r="BT28" s="732"/>
      <c r="BU28" s="371" t="s">
        <v>117</v>
      </c>
      <c r="BV28" s="721">
        <v>25</v>
      </c>
      <c r="BW28" s="5"/>
      <c r="BX28" s="5"/>
      <c r="BY28" s="5"/>
      <c r="BZ28" s="23"/>
      <c r="CA28" s="105"/>
      <c r="CB28" s="105"/>
      <c r="CD28" s="796" t="s">
        <v>792</v>
      </c>
      <c r="CE28" s="643"/>
      <c r="CF28" s="41">
        <v>25</v>
      </c>
      <c r="CG28" s="5"/>
      <c r="CH28" s="5"/>
      <c r="CI28" s="5"/>
      <c r="CJ28" s="23"/>
      <c r="CK28" s="105"/>
      <c r="CL28" s="770">
        <v>1</v>
      </c>
      <c r="CM28" s="1086">
        <v>1</v>
      </c>
      <c r="CN28" s="796">
        <v>1</v>
      </c>
      <c r="CO28" s="643"/>
      <c r="CP28" s="41">
        <v>25</v>
      </c>
      <c r="CQ28" s="758">
        <v>1</v>
      </c>
      <c r="CR28" s="5"/>
      <c r="CS28" s="5"/>
      <c r="CT28" s="23"/>
      <c r="CU28" s="105"/>
      <c r="CV28" s="105"/>
      <c r="CW28" s="231"/>
      <c r="CX28" s="231"/>
      <c r="CY28" s="643"/>
      <c r="CZ28" s="41">
        <v>25</v>
      </c>
      <c r="DA28" s="5"/>
      <c r="DB28" s="754">
        <v>1</v>
      </c>
      <c r="DC28" s="5"/>
      <c r="DD28" s="23"/>
      <c r="DE28" s="105"/>
      <c r="DF28" s="105"/>
      <c r="DG28" s="231"/>
      <c r="DH28" s="231"/>
      <c r="DI28" s="231"/>
      <c r="DJ28" s="41">
        <v>25</v>
      </c>
      <c r="DK28" s="757">
        <v>1</v>
      </c>
      <c r="DL28" s="754">
        <v>1</v>
      </c>
      <c r="DM28" s="750" t="s">
        <v>792</v>
      </c>
      <c r="DN28" s="779">
        <v>1</v>
      </c>
      <c r="DO28" s="105"/>
      <c r="DP28" s="802">
        <v>1</v>
      </c>
      <c r="DQ28" s="792" t="s">
        <v>792</v>
      </c>
      <c r="DR28" s="803" t="s">
        <v>792</v>
      </c>
      <c r="DS28" s="747"/>
      <c r="DT28" s="41">
        <v>25</v>
      </c>
      <c r="DU28" s="5"/>
      <c r="DV28" s="5"/>
      <c r="DW28" s="5"/>
      <c r="DX28" s="23"/>
      <c r="DY28" s="105"/>
      <c r="EA28" s="105"/>
      <c r="EB28" s="105"/>
      <c r="EC28" s="783">
        <v>1</v>
      </c>
      <c r="ED28" s="41">
        <v>25</v>
      </c>
      <c r="EE28" s="5"/>
      <c r="EF28" s="5"/>
      <c r="EG28" s="5"/>
      <c r="EH28" s="779">
        <v>1</v>
      </c>
      <c r="EI28" s="105"/>
      <c r="EJ28" s="105"/>
      <c r="EK28" s="105"/>
      <c r="EL28" s="231"/>
      <c r="EM28" s="41">
        <v>25</v>
      </c>
      <c r="EN28" s="5"/>
      <c r="EO28" s="5"/>
      <c r="EP28" s="5"/>
      <c r="EQ28" s="23"/>
      <c r="ER28" s="105"/>
      <c r="ES28" s="105"/>
      <c r="ET28" s="105"/>
      <c r="EU28" s="231"/>
      <c r="EV28" s="41">
        <v>25</v>
      </c>
      <c r="EW28" s="5"/>
      <c r="EX28" s="5"/>
      <c r="EY28" s="5"/>
      <c r="EZ28" s="23"/>
      <c r="FA28" s="105"/>
      <c r="FB28" s="105"/>
      <c r="FC28" s="105"/>
      <c r="FD28" s="105"/>
      <c r="FE28" s="231"/>
    </row>
    <row r="29" spans="1:161">
      <c r="A29" s="721">
        <v>26</v>
      </c>
      <c r="B29" s="717"/>
      <c r="C29" s="717"/>
      <c r="D29" s="721">
        <v>26</v>
      </c>
      <c r="E29" s="758">
        <v>1</v>
      </c>
      <c r="F29" s="755">
        <v>1</v>
      </c>
      <c r="G29" s="721">
        <v>26</v>
      </c>
      <c r="H29" s="816">
        <v>1</v>
      </c>
      <c r="I29" s="819">
        <v>1</v>
      </c>
      <c r="J29" s="750" t="s">
        <v>792</v>
      </c>
      <c r="K29" s="822">
        <v>1</v>
      </c>
      <c r="L29" s="826">
        <v>1</v>
      </c>
      <c r="M29" s="783">
        <v>1</v>
      </c>
      <c r="N29" s="721">
        <v>26</v>
      </c>
      <c r="O29" s="92">
        <v>1</v>
      </c>
      <c r="P29" s="755">
        <v>1</v>
      </c>
      <c r="Q29" s="717"/>
      <c r="R29" s="779">
        <v>1</v>
      </c>
      <c r="S29" s="728"/>
      <c r="T29" s="770" t="s">
        <v>792</v>
      </c>
      <c r="U29" s="785">
        <v>1</v>
      </c>
      <c r="V29" s="721">
        <v>26</v>
      </c>
      <c r="W29" s="758">
        <v>1</v>
      </c>
      <c r="X29" s="754">
        <v>1</v>
      </c>
      <c r="Y29" s="717"/>
      <c r="Z29" s="779">
        <v>1</v>
      </c>
      <c r="AA29" s="728"/>
      <c r="AB29" s="728"/>
      <c r="AC29" s="783">
        <v>1</v>
      </c>
      <c r="AD29" s="721">
        <v>26</v>
      </c>
      <c r="AE29" s="93">
        <v>1</v>
      </c>
      <c r="AF29" s="755">
        <v>1</v>
      </c>
      <c r="AG29" s="749" t="s">
        <v>792</v>
      </c>
      <c r="AH29" s="732"/>
      <c r="AI29" s="728"/>
      <c r="AJ29" s="770" t="s">
        <v>792</v>
      </c>
      <c r="AK29" s="729"/>
      <c r="AL29" s="721">
        <v>26</v>
      </c>
      <c r="AM29" s="108">
        <v>1</v>
      </c>
      <c r="AN29" s="754">
        <v>1</v>
      </c>
      <c r="AO29" s="717"/>
      <c r="AP29" s="732"/>
      <c r="AQ29" s="728"/>
      <c r="AR29" s="728"/>
      <c r="AS29" s="734"/>
      <c r="AT29" s="721">
        <v>26</v>
      </c>
      <c r="AU29" s="717"/>
      <c r="AV29" s="754">
        <v>1</v>
      </c>
      <c r="AW29" s="717"/>
      <c r="AX29" s="732"/>
      <c r="AY29" s="728"/>
      <c r="AZ29" s="770" t="s">
        <v>792</v>
      </c>
      <c r="BA29" s="734"/>
      <c r="BB29" s="721">
        <v>26</v>
      </c>
      <c r="BC29" s="717"/>
      <c r="BD29" s="755">
        <v>1</v>
      </c>
      <c r="BE29" s="717"/>
      <c r="BF29" s="732"/>
      <c r="BG29" s="728"/>
      <c r="BH29" s="770" t="s">
        <v>792</v>
      </c>
      <c r="BI29" s="728"/>
      <c r="BJ29" s="732"/>
      <c r="BK29" s="783">
        <v>1</v>
      </c>
      <c r="BL29" s="721">
        <v>26</v>
      </c>
      <c r="BM29" s="717"/>
      <c r="BN29" s="717"/>
      <c r="BO29" s="717"/>
      <c r="BP29" s="732"/>
      <c r="BQ29" s="732"/>
      <c r="BR29" s="732"/>
      <c r="BS29" s="792">
        <v>1</v>
      </c>
      <c r="BT29" s="732"/>
      <c r="BU29" s="371" t="s">
        <v>117</v>
      </c>
      <c r="BV29" s="721">
        <v>26</v>
      </c>
      <c r="BW29" s="5"/>
      <c r="BX29" s="5"/>
      <c r="BY29" s="5"/>
      <c r="BZ29" s="23"/>
      <c r="CA29" s="105"/>
      <c r="CB29" s="105"/>
      <c r="CD29" s="796" t="s">
        <v>792</v>
      </c>
      <c r="CE29" s="643"/>
      <c r="CF29" s="41">
        <v>26</v>
      </c>
      <c r="CG29" s="5"/>
      <c r="CH29" s="753">
        <v>1</v>
      </c>
      <c r="CI29" s="5"/>
      <c r="CJ29" s="23"/>
      <c r="CK29" s="105"/>
      <c r="CL29" s="770">
        <v>1</v>
      </c>
      <c r="CM29" s="1087">
        <v>1</v>
      </c>
      <c r="CN29" s="797">
        <v>1</v>
      </c>
      <c r="CO29" s="643"/>
      <c r="CP29" s="41">
        <v>26</v>
      </c>
      <c r="CQ29" s="5"/>
      <c r="CR29" s="5"/>
      <c r="CS29" s="5"/>
      <c r="CT29" s="23"/>
      <c r="CU29" s="105"/>
      <c r="CV29" s="105"/>
      <c r="CW29" s="231"/>
      <c r="CX29" s="231"/>
      <c r="CY29" s="643"/>
      <c r="CZ29" s="41">
        <v>26</v>
      </c>
      <c r="DA29" s="5"/>
      <c r="DB29" s="755">
        <v>1</v>
      </c>
      <c r="DC29" s="5"/>
      <c r="DD29" s="23"/>
      <c r="DE29" s="105"/>
      <c r="DF29" s="105"/>
      <c r="DG29" s="231"/>
      <c r="DH29" s="231"/>
      <c r="DI29" s="231"/>
      <c r="DJ29" s="41">
        <v>26</v>
      </c>
      <c r="DK29" s="757">
        <v>1</v>
      </c>
      <c r="DL29" s="754">
        <v>1</v>
      </c>
      <c r="DM29" s="750" t="s">
        <v>792</v>
      </c>
      <c r="DN29" s="779">
        <v>1</v>
      </c>
      <c r="DO29" s="809">
        <v>1</v>
      </c>
      <c r="DP29" s="327">
        <v>1</v>
      </c>
      <c r="DQ29" s="792" t="s">
        <v>792</v>
      </c>
      <c r="DR29" s="804" t="s">
        <v>792</v>
      </c>
      <c r="DS29" s="747"/>
      <c r="DT29" s="41">
        <v>26</v>
      </c>
      <c r="DU29" s="5"/>
      <c r="DV29" s="5"/>
      <c r="DW29" s="5"/>
      <c r="DX29" s="23"/>
      <c r="DY29" s="105"/>
      <c r="EA29" s="105"/>
      <c r="EB29" s="105"/>
      <c r="EC29" s="784">
        <v>1</v>
      </c>
      <c r="ED29" s="41">
        <v>26</v>
      </c>
      <c r="EE29" s="5"/>
      <c r="EF29" s="5"/>
      <c r="EG29" s="5"/>
      <c r="EH29" s="781">
        <v>1</v>
      </c>
      <c r="EI29" s="105"/>
      <c r="EJ29" s="105"/>
      <c r="EK29" s="105"/>
      <c r="EL29" s="231"/>
      <c r="EM29" s="41">
        <v>26</v>
      </c>
      <c r="EN29" s="5"/>
      <c r="EO29" s="5"/>
      <c r="EP29" s="5"/>
      <c r="EQ29" s="23"/>
      <c r="ER29" s="105"/>
      <c r="ES29" s="105"/>
      <c r="ET29" s="105"/>
      <c r="EU29" s="231"/>
      <c r="EV29" s="41">
        <v>26</v>
      </c>
      <c r="EW29" s="5"/>
      <c r="EX29" s="5"/>
      <c r="EY29" s="5"/>
      <c r="EZ29" s="23"/>
      <c r="FA29" s="105"/>
      <c r="FB29" s="105"/>
      <c r="FC29" s="105"/>
      <c r="FD29" s="105"/>
      <c r="FE29" s="231"/>
    </row>
    <row r="30" spans="1:161">
      <c r="A30" s="721">
        <v>27</v>
      </c>
      <c r="B30" s="108">
        <v>1</v>
      </c>
      <c r="C30" s="753">
        <v>1</v>
      </c>
      <c r="D30" s="721">
        <v>27</v>
      </c>
      <c r="E30" s="717"/>
      <c r="F30" s="717"/>
      <c r="G30" s="721">
        <v>27</v>
      </c>
      <c r="H30" s="817">
        <v>1</v>
      </c>
      <c r="I30" s="820">
        <v>1</v>
      </c>
      <c r="J30" s="750" t="s">
        <v>792</v>
      </c>
      <c r="K30" s="822">
        <v>1</v>
      </c>
      <c r="L30" s="825">
        <v>1</v>
      </c>
      <c r="M30" s="783">
        <v>1</v>
      </c>
      <c r="N30" s="721">
        <v>27</v>
      </c>
      <c r="O30" s="93">
        <v>1</v>
      </c>
      <c r="P30" s="754">
        <v>1</v>
      </c>
      <c r="Q30" s="717"/>
      <c r="R30" s="779">
        <v>1</v>
      </c>
      <c r="S30" s="728"/>
      <c r="T30" s="770" t="s">
        <v>792</v>
      </c>
      <c r="U30" s="785">
        <v>1</v>
      </c>
      <c r="V30" s="721">
        <v>27</v>
      </c>
      <c r="W30" s="757">
        <v>1</v>
      </c>
      <c r="X30" s="754">
        <v>1</v>
      </c>
      <c r="Y30" s="717"/>
      <c r="Z30" s="779">
        <v>1</v>
      </c>
      <c r="AA30" s="728"/>
      <c r="AB30" s="728"/>
      <c r="AC30" s="784">
        <v>1</v>
      </c>
      <c r="AD30" s="721">
        <v>27</v>
      </c>
      <c r="AE30" s="717"/>
      <c r="AF30" s="754">
        <v>1</v>
      </c>
      <c r="AG30" s="750" t="s">
        <v>792</v>
      </c>
      <c r="AH30" s="732"/>
      <c r="AI30" s="728"/>
      <c r="AJ30" s="770" t="s">
        <v>792</v>
      </c>
      <c r="AK30" s="729"/>
      <c r="AL30" s="721">
        <v>27</v>
      </c>
      <c r="AM30" s="93">
        <v>1</v>
      </c>
      <c r="AN30" s="754">
        <v>1</v>
      </c>
      <c r="AO30" s="717"/>
      <c r="AP30" s="732"/>
      <c r="AQ30" s="772">
        <v>1</v>
      </c>
      <c r="AR30" s="728"/>
      <c r="AS30" s="734"/>
      <c r="AT30" s="721">
        <v>27</v>
      </c>
      <c r="AU30" s="717"/>
      <c r="AV30" s="754">
        <v>1</v>
      </c>
      <c r="AW30" s="717"/>
      <c r="AX30" s="732"/>
      <c r="AY30" s="728"/>
      <c r="AZ30" s="770" t="s">
        <v>792</v>
      </c>
      <c r="BA30" s="734"/>
      <c r="BB30" s="721">
        <v>27</v>
      </c>
      <c r="BC30" s="717"/>
      <c r="BD30" s="717"/>
      <c r="BE30" s="717"/>
      <c r="BF30" s="732"/>
      <c r="BG30" s="728"/>
      <c r="BH30" s="770" t="s">
        <v>792</v>
      </c>
      <c r="BI30" s="728"/>
      <c r="BJ30" s="732"/>
      <c r="BK30" s="784">
        <v>1</v>
      </c>
      <c r="BL30" s="721">
        <v>27</v>
      </c>
      <c r="BM30" s="717"/>
      <c r="BN30" s="717"/>
      <c r="BO30" s="717"/>
      <c r="BP30" s="732"/>
      <c r="BQ30" s="732"/>
      <c r="BR30" s="732"/>
      <c r="BS30" s="792">
        <v>1</v>
      </c>
      <c r="BT30" s="732"/>
      <c r="BU30" s="371" t="s">
        <v>117</v>
      </c>
      <c r="BV30" s="721">
        <v>27</v>
      </c>
      <c r="BW30" s="5"/>
      <c r="BX30" s="5"/>
      <c r="BY30" s="5"/>
      <c r="BZ30" s="23"/>
      <c r="CA30" s="105"/>
      <c r="CB30" s="105"/>
      <c r="CD30" s="796" t="s">
        <v>792</v>
      </c>
      <c r="CE30" s="643"/>
      <c r="CF30" s="41">
        <v>27</v>
      </c>
      <c r="CG30" s="5"/>
      <c r="CH30" s="755">
        <v>1</v>
      </c>
      <c r="CI30" s="5"/>
      <c r="CJ30" s="23"/>
      <c r="CK30" s="105"/>
      <c r="CL30" s="770">
        <v>1</v>
      </c>
      <c r="CM30" s="1081">
        <v>1</v>
      </c>
      <c r="CN30" s="795">
        <v>1</v>
      </c>
      <c r="CO30" s="643"/>
      <c r="CP30" s="41">
        <v>27</v>
      </c>
      <c r="CQ30" s="756">
        <v>1</v>
      </c>
      <c r="CR30" s="5"/>
      <c r="CS30" s="5"/>
      <c r="CT30" s="23"/>
      <c r="CU30" s="105"/>
      <c r="CV30" s="105"/>
      <c r="CW30" s="231"/>
      <c r="CX30" s="231"/>
      <c r="CY30" s="643"/>
      <c r="CZ30" s="41">
        <v>27</v>
      </c>
      <c r="DA30" s="5"/>
      <c r="DB30" s="5"/>
      <c r="DC30" s="5"/>
      <c r="DD30" s="23"/>
      <c r="DE30" s="105"/>
      <c r="DF30" s="105"/>
      <c r="DG30" s="231"/>
      <c r="DH30" s="231"/>
      <c r="DI30" s="231"/>
      <c r="DJ30" s="41">
        <v>27</v>
      </c>
      <c r="DK30" s="758">
        <v>1</v>
      </c>
      <c r="DL30" s="754">
        <v>1</v>
      </c>
      <c r="DM30" s="750" t="s">
        <v>792</v>
      </c>
      <c r="DN30" s="779">
        <v>1</v>
      </c>
      <c r="DO30" s="810">
        <v>1</v>
      </c>
      <c r="DP30" s="226">
        <v>1</v>
      </c>
      <c r="DQ30" s="792" t="s">
        <v>792</v>
      </c>
      <c r="DR30" s="804" t="s">
        <v>792</v>
      </c>
      <c r="DS30" s="242">
        <v>1</v>
      </c>
      <c r="DT30" s="41">
        <v>27</v>
      </c>
      <c r="DU30" s="5"/>
      <c r="DV30" s="5"/>
      <c r="DW30" s="5"/>
      <c r="DX30" s="23"/>
      <c r="DY30" s="105"/>
      <c r="EA30" s="105"/>
      <c r="EB30" s="105"/>
      <c r="EC30" s="231"/>
      <c r="ED30" s="41">
        <v>27</v>
      </c>
      <c r="EE30" s="5"/>
      <c r="EF30" s="5"/>
      <c r="EG30" s="5"/>
      <c r="EH30" s="23"/>
      <c r="EI30" s="105"/>
      <c r="EJ30" s="105"/>
      <c r="EK30" s="105"/>
      <c r="EL30" s="231"/>
      <c r="EM30" s="41">
        <v>27</v>
      </c>
      <c r="EN30" s="5"/>
      <c r="EO30" s="5"/>
      <c r="EP30" s="5"/>
      <c r="EQ30" s="23"/>
      <c r="ER30" s="105"/>
      <c r="ES30" s="105"/>
      <c r="ET30" s="105"/>
      <c r="EU30" s="231"/>
      <c r="EV30" s="41">
        <v>27</v>
      </c>
      <c r="EW30" s="5"/>
      <c r="EX30" s="5"/>
      <c r="EY30" s="5"/>
      <c r="EZ30" s="23"/>
      <c r="FA30" s="105"/>
      <c r="FB30" s="105"/>
      <c r="FC30" s="105"/>
      <c r="FD30" s="105"/>
      <c r="FE30" s="231"/>
    </row>
    <row r="31" spans="1:161">
      <c r="A31" s="721">
        <v>28</v>
      </c>
      <c r="B31" s="93">
        <v>1</v>
      </c>
      <c r="C31" s="754">
        <v>1</v>
      </c>
      <c r="D31" s="721">
        <v>28</v>
      </c>
      <c r="E31" s="717"/>
      <c r="F31" s="717"/>
      <c r="G31" s="721">
        <v>28</v>
      </c>
      <c r="H31" s="717"/>
      <c r="I31" s="819">
        <v>1</v>
      </c>
      <c r="J31" s="750" t="s">
        <v>792</v>
      </c>
      <c r="K31" s="822">
        <v>1</v>
      </c>
      <c r="L31" s="825">
        <v>1</v>
      </c>
      <c r="M31" s="783">
        <v>1</v>
      </c>
      <c r="N31" s="721">
        <v>28</v>
      </c>
      <c r="O31" s="717"/>
      <c r="P31" s="755">
        <v>1</v>
      </c>
      <c r="Q31" s="717"/>
      <c r="R31" s="779">
        <v>1</v>
      </c>
      <c r="S31" s="728"/>
      <c r="T31" s="770" t="s">
        <v>792</v>
      </c>
      <c r="U31" s="783">
        <v>1</v>
      </c>
      <c r="V31" s="721">
        <v>28</v>
      </c>
      <c r="W31" s="757">
        <v>1</v>
      </c>
      <c r="X31" s="754">
        <v>1</v>
      </c>
      <c r="Y31" s="717"/>
      <c r="Z31" s="779">
        <v>1</v>
      </c>
      <c r="AA31" s="728"/>
      <c r="AB31" s="728"/>
      <c r="AC31" s="785">
        <v>1</v>
      </c>
      <c r="AD31" s="721">
        <v>28</v>
      </c>
      <c r="AE31" s="108">
        <v>1</v>
      </c>
      <c r="AF31" s="755">
        <v>1</v>
      </c>
      <c r="AG31" s="750" t="s">
        <v>792</v>
      </c>
      <c r="AH31" s="732"/>
      <c r="AI31" s="836">
        <v>1</v>
      </c>
      <c r="AJ31" s="770" t="s">
        <v>792</v>
      </c>
      <c r="AK31" s="782">
        <v>1</v>
      </c>
      <c r="AL31" s="721">
        <v>28</v>
      </c>
      <c r="AM31" s="717"/>
      <c r="AN31" s="754">
        <v>1</v>
      </c>
      <c r="AO31" s="717"/>
      <c r="AP31" s="732"/>
      <c r="AQ31" s="773">
        <v>1</v>
      </c>
      <c r="AR31" s="728"/>
      <c r="AS31" s="785">
        <v>1</v>
      </c>
      <c r="AT31" s="721">
        <v>28</v>
      </c>
      <c r="AU31" s="717"/>
      <c r="AV31" s="755">
        <v>1</v>
      </c>
      <c r="AW31" s="717"/>
      <c r="AX31" s="732"/>
      <c r="AY31" s="728"/>
      <c r="AZ31" s="770" t="s">
        <v>792</v>
      </c>
      <c r="BA31" s="734"/>
      <c r="BB31" s="721">
        <v>28</v>
      </c>
      <c r="BC31" s="717"/>
      <c r="BD31" s="717"/>
      <c r="BE31" s="717"/>
      <c r="BF31" s="732"/>
      <c r="BG31" s="728"/>
      <c r="BH31" s="770" t="s">
        <v>792</v>
      </c>
      <c r="BI31" s="793">
        <v>1</v>
      </c>
      <c r="BJ31" s="732"/>
      <c r="BK31" s="734" t="s">
        <v>117</v>
      </c>
      <c r="BL31" s="721">
        <v>28</v>
      </c>
      <c r="BM31" s="717"/>
      <c r="BN31" s="717"/>
      <c r="BO31" s="717"/>
      <c r="BP31" s="732"/>
      <c r="BQ31" s="732"/>
      <c r="BR31" s="732"/>
      <c r="BS31" s="791">
        <v>1</v>
      </c>
      <c r="BT31" s="732"/>
      <c r="BU31" s="371" t="s">
        <v>117</v>
      </c>
      <c r="BV31" s="721">
        <v>28</v>
      </c>
      <c r="BW31" s="5"/>
      <c r="BX31" s="5"/>
      <c r="BY31" s="5"/>
      <c r="BZ31" s="23"/>
      <c r="CA31" s="105"/>
      <c r="CB31" s="105"/>
      <c r="CD31" s="796" t="s">
        <v>792</v>
      </c>
      <c r="CE31" s="643"/>
      <c r="CF31" s="41">
        <v>28</v>
      </c>
      <c r="CG31" s="5"/>
      <c r="CH31" s="5"/>
      <c r="CI31" s="5"/>
      <c r="CJ31" s="23"/>
      <c r="CK31" s="105"/>
      <c r="CL31" s="771">
        <v>1</v>
      </c>
      <c r="CM31" s="105"/>
      <c r="CN31" s="797">
        <v>1</v>
      </c>
      <c r="CO31" s="643"/>
      <c r="CP31" s="41">
        <v>28</v>
      </c>
      <c r="CQ31" s="758">
        <v>1</v>
      </c>
      <c r="CR31" s="5"/>
      <c r="CS31" s="5"/>
      <c r="CT31" s="23"/>
      <c r="CU31" s="105"/>
      <c r="CV31" s="105"/>
      <c r="CW31" s="231"/>
      <c r="CX31" s="231"/>
      <c r="CY31" s="643"/>
      <c r="CZ31" s="41">
        <v>28</v>
      </c>
      <c r="DA31" s="5"/>
      <c r="DB31" s="753">
        <v>1</v>
      </c>
      <c r="DC31" s="5"/>
      <c r="DD31" s="23"/>
      <c r="DE31" s="105"/>
      <c r="DF31" s="105"/>
      <c r="DG31" s="231"/>
      <c r="DH31" s="231"/>
      <c r="DI31" s="231"/>
      <c r="DJ31" s="41">
        <v>28</v>
      </c>
      <c r="DK31" s="5"/>
      <c r="DL31" s="755">
        <v>1</v>
      </c>
      <c r="DM31" s="750" t="s">
        <v>792</v>
      </c>
      <c r="DN31" s="779">
        <v>1</v>
      </c>
      <c r="DO31" s="810">
        <v>1</v>
      </c>
      <c r="DP31" s="105"/>
      <c r="DQ31" s="791" t="s">
        <v>792</v>
      </c>
      <c r="DR31" s="804" t="s">
        <v>792</v>
      </c>
      <c r="DS31" s="170">
        <v>1</v>
      </c>
      <c r="DT31" s="41">
        <v>28</v>
      </c>
      <c r="DU31" s="5"/>
      <c r="DW31" s="5"/>
      <c r="DX31" s="23"/>
      <c r="DY31" s="105"/>
      <c r="DZ31" s="105"/>
      <c r="EA31" s="105"/>
      <c r="EB31" s="105"/>
      <c r="EC31" s="231"/>
      <c r="ED31" s="41">
        <v>28</v>
      </c>
      <c r="EE31" s="5"/>
      <c r="EF31" s="5"/>
      <c r="EG31" s="5"/>
      <c r="EH31" s="23"/>
      <c r="EI31" s="105"/>
      <c r="EJ31" s="105"/>
      <c r="EK31" s="795">
        <v>1</v>
      </c>
      <c r="EL31" s="231"/>
      <c r="EM31" s="41">
        <v>28</v>
      </c>
      <c r="EN31" s="5"/>
      <c r="EO31" s="5"/>
      <c r="EP31" s="5"/>
      <c r="EQ31" s="23"/>
      <c r="ER31" s="105"/>
      <c r="ES31" s="105"/>
      <c r="ET31" s="105"/>
      <c r="EU31" s="231"/>
      <c r="EV31" s="41">
        <v>28</v>
      </c>
      <c r="EW31" s="5"/>
      <c r="EX31" s="5"/>
      <c r="EY31" s="5"/>
      <c r="EZ31" s="23"/>
      <c r="FA31" s="105"/>
      <c r="FB31" s="105"/>
      <c r="FC31" s="105"/>
      <c r="FD31" s="105"/>
      <c r="FE31" s="231"/>
    </row>
    <row r="32" spans="1:161">
      <c r="A32" s="721">
        <v>29</v>
      </c>
      <c r="B32" s="717"/>
      <c r="C32" s="755">
        <v>1</v>
      </c>
      <c r="D32" s="721">
        <v>29</v>
      </c>
      <c r="E32" s="756">
        <v>1</v>
      </c>
      <c r="F32" s="717"/>
      <c r="G32" s="721">
        <v>29</v>
      </c>
      <c r="H32" s="108">
        <v>1</v>
      </c>
      <c r="I32" s="820">
        <v>1</v>
      </c>
      <c r="J32" s="750" t="s">
        <v>792</v>
      </c>
      <c r="K32" s="822">
        <v>1</v>
      </c>
      <c r="L32" s="825">
        <v>1</v>
      </c>
      <c r="M32" s="783">
        <v>1</v>
      </c>
      <c r="N32" s="721">
        <v>29</v>
      </c>
      <c r="O32" s="756">
        <v>1</v>
      </c>
      <c r="P32" s="717"/>
      <c r="Q32" s="717"/>
      <c r="R32" s="779">
        <v>1</v>
      </c>
      <c r="S32" s="728"/>
      <c r="T32" s="770" t="s">
        <v>792</v>
      </c>
      <c r="U32" s="784">
        <v>1</v>
      </c>
      <c r="V32" s="721">
        <v>29</v>
      </c>
      <c r="W32" s="758">
        <v>1</v>
      </c>
      <c r="X32" s="755">
        <v>1</v>
      </c>
      <c r="Y32" s="717"/>
      <c r="Z32" s="781">
        <v>1</v>
      </c>
      <c r="AA32" s="728"/>
      <c r="AB32" s="728"/>
      <c r="AC32" s="784">
        <v>1</v>
      </c>
      <c r="AD32" s="721">
        <v>29</v>
      </c>
      <c r="AE32" s="92">
        <v>1</v>
      </c>
      <c r="AF32" s="754">
        <v>1</v>
      </c>
      <c r="AG32" s="750" t="s">
        <v>792</v>
      </c>
      <c r="AH32" s="732"/>
      <c r="AI32" s="837">
        <v>1</v>
      </c>
      <c r="AJ32" s="770" t="s">
        <v>792</v>
      </c>
      <c r="AK32" s="783">
        <v>1</v>
      </c>
      <c r="AL32" s="721">
        <v>29</v>
      </c>
      <c r="AM32" s="717"/>
      <c r="AN32" s="754">
        <v>1</v>
      </c>
      <c r="AO32" s="717"/>
      <c r="AP32" s="732"/>
      <c r="AQ32" s="773">
        <v>1</v>
      </c>
      <c r="AR32" s="728"/>
      <c r="AS32" s="734"/>
      <c r="AT32" s="721">
        <v>29</v>
      </c>
      <c r="AU32" s="717"/>
      <c r="AV32" s="717"/>
      <c r="AW32" s="717"/>
      <c r="AX32" s="732"/>
      <c r="AY32" s="728"/>
      <c r="AZ32" s="770" t="s">
        <v>792</v>
      </c>
      <c r="BA32" s="718"/>
      <c r="BB32" s="721">
        <v>29</v>
      </c>
      <c r="BC32" s="717"/>
      <c r="BD32" s="717"/>
      <c r="BE32" s="717"/>
      <c r="BF32" s="732"/>
      <c r="BG32" s="728"/>
      <c r="BH32" s="770" t="s">
        <v>792</v>
      </c>
      <c r="BI32" s="794">
        <v>1</v>
      </c>
      <c r="BJ32" s="1042">
        <v>1</v>
      </c>
      <c r="BK32" s="734" t="s">
        <v>117</v>
      </c>
      <c r="BL32" s="721">
        <v>29</v>
      </c>
      <c r="BM32" s="717"/>
      <c r="BN32" s="717"/>
      <c r="BO32" s="717"/>
      <c r="BP32" s="732"/>
      <c r="BQ32" s="732"/>
      <c r="BR32" s="732"/>
      <c r="BS32" s="728"/>
      <c r="BT32" s="732"/>
      <c r="BU32" s="371" t="s">
        <v>117</v>
      </c>
      <c r="BV32" s="721">
        <v>29</v>
      </c>
      <c r="BW32" s="5"/>
      <c r="BX32" s="5"/>
      <c r="BY32" s="5"/>
      <c r="BZ32" s="23"/>
      <c r="CA32" s="105"/>
      <c r="CB32" s="105"/>
      <c r="CC32" s="105"/>
      <c r="CD32" s="796" t="s">
        <v>792</v>
      </c>
      <c r="CE32" s="643"/>
      <c r="CF32" s="41">
        <v>29</v>
      </c>
      <c r="CG32" s="5"/>
      <c r="CH32" s="5"/>
      <c r="CI32" s="5"/>
      <c r="CJ32" s="23"/>
      <c r="CK32" s="105"/>
      <c r="CL32" s="105"/>
      <c r="CM32" s="105"/>
      <c r="CN32" s="231"/>
      <c r="CO32" s="643"/>
      <c r="CP32" s="41">
        <v>29</v>
      </c>
      <c r="CQ32" s="5"/>
      <c r="CR32" s="5"/>
      <c r="CS32" s="5"/>
      <c r="CT32" s="23"/>
      <c r="CU32" s="105"/>
      <c r="CV32" s="105"/>
      <c r="CW32" s="105"/>
      <c r="CX32" s="231"/>
      <c r="CY32" s="643"/>
      <c r="CZ32" s="41">
        <v>29</v>
      </c>
      <c r="DA32" s="5"/>
      <c r="DB32" s="754">
        <v>1</v>
      </c>
      <c r="DC32" s="5"/>
      <c r="DD32" s="780">
        <v>1</v>
      </c>
      <c r="DE32" s="809" t="s">
        <v>1047</v>
      </c>
      <c r="DF32" s="105"/>
      <c r="DG32" s="105"/>
      <c r="DH32" s="231"/>
      <c r="DI32" s="782">
        <v>1</v>
      </c>
      <c r="DJ32" s="41">
        <v>29</v>
      </c>
      <c r="DK32" s="756">
        <v>1</v>
      </c>
      <c r="DL32" s="5"/>
      <c r="DM32" s="750" t="s">
        <v>792</v>
      </c>
      <c r="DN32" s="779">
        <v>1</v>
      </c>
      <c r="DO32" s="363">
        <v>1</v>
      </c>
      <c r="DP32" s="769">
        <v>1</v>
      </c>
      <c r="DQ32" s="105"/>
      <c r="DR32" s="796" t="s">
        <v>792</v>
      </c>
      <c r="DS32" s="747"/>
      <c r="DT32" s="41">
        <v>29</v>
      </c>
      <c r="DU32" s="5"/>
      <c r="DV32" s="753">
        <v>1</v>
      </c>
      <c r="DW32" s="5"/>
      <c r="DX32" s="23"/>
      <c r="DY32" s="105"/>
      <c r="DZ32" s="105"/>
      <c r="EA32" s="105"/>
      <c r="EB32" s="105"/>
      <c r="EC32" s="231"/>
      <c r="ED32" s="41"/>
      <c r="EE32" s="5"/>
      <c r="EF32" s="5"/>
      <c r="EG32" s="5"/>
      <c r="EH32" s="23"/>
      <c r="EI32" s="105"/>
      <c r="EJ32" s="105"/>
      <c r="EK32" s="105"/>
      <c r="EL32" s="231"/>
      <c r="EM32" s="41">
        <v>29</v>
      </c>
      <c r="EN32" s="5"/>
      <c r="EO32" s="5"/>
      <c r="EP32" s="5"/>
      <c r="EQ32" s="23"/>
      <c r="ER32" s="105"/>
      <c r="ES32" s="105"/>
      <c r="ET32" s="105"/>
      <c r="EU32" s="231"/>
      <c r="EV32" s="41">
        <v>29</v>
      </c>
      <c r="EW32" s="5"/>
      <c r="EX32" s="5"/>
      <c r="EY32" s="5"/>
      <c r="EZ32" s="23"/>
      <c r="FA32" s="105"/>
      <c r="FB32" s="105"/>
      <c r="FC32" s="105"/>
      <c r="FD32" s="105"/>
      <c r="FE32" s="231"/>
    </row>
    <row r="33" spans="1:161">
      <c r="A33" s="721">
        <v>30</v>
      </c>
      <c r="B33" s="756">
        <v>1</v>
      </c>
      <c r="C33" s="91">
        <v>1</v>
      </c>
      <c r="D33" s="721">
        <v>30</v>
      </c>
      <c r="E33" s="758">
        <v>1</v>
      </c>
      <c r="F33" s="768">
        <v>1</v>
      </c>
      <c r="G33" s="721">
        <v>30</v>
      </c>
      <c r="H33" s="92">
        <v>1</v>
      </c>
      <c r="I33" s="820">
        <v>1</v>
      </c>
      <c r="J33" s="750" t="s">
        <v>792</v>
      </c>
      <c r="K33" s="822">
        <v>1</v>
      </c>
      <c r="L33" s="825">
        <v>1</v>
      </c>
      <c r="M33" s="783">
        <v>1</v>
      </c>
      <c r="N33" s="721">
        <v>30</v>
      </c>
      <c r="O33" s="93">
        <v>1</v>
      </c>
      <c r="P33" s="753">
        <v>1</v>
      </c>
      <c r="Q33" s="717"/>
      <c r="R33" s="779">
        <v>1</v>
      </c>
      <c r="S33" s="728"/>
      <c r="T33" s="770" t="s">
        <v>792</v>
      </c>
      <c r="U33" s="729"/>
      <c r="V33" s="721"/>
      <c r="W33" s="717"/>
      <c r="X33" s="717"/>
      <c r="Y33" s="717"/>
      <c r="Z33" s="717"/>
      <c r="AA33" s="728"/>
      <c r="AB33" s="728"/>
      <c r="AC33" s="734"/>
      <c r="AD33" s="721">
        <v>30</v>
      </c>
      <c r="AE33" s="93">
        <v>1</v>
      </c>
      <c r="AF33" s="755">
        <v>1</v>
      </c>
      <c r="AG33" s="750" t="s">
        <v>792</v>
      </c>
      <c r="AH33" s="732"/>
      <c r="AI33" s="838">
        <v>1</v>
      </c>
      <c r="AJ33" s="770" t="s">
        <v>792</v>
      </c>
      <c r="AK33" s="783">
        <v>1</v>
      </c>
      <c r="AL33" s="721">
        <v>30</v>
      </c>
      <c r="AM33" s="717"/>
      <c r="AN33" s="755">
        <v>1</v>
      </c>
      <c r="AO33" s="717"/>
      <c r="AP33" s="732"/>
      <c r="AQ33" s="774">
        <v>1</v>
      </c>
      <c r="AR33" s="728"/>
      <c r="AS33" s="734"/>
      <c r="AT33" s="721">
        <v>30</v>
      </c>
      <c r="AU33" s="732"/>
      <c r="AV33" s="732"/>
      <c r="AW33" s="732"/>
      <c r="AX33" s="732"/>
      <c r="AY33" s="734"/>
      <c r="AZ33" s="770" t="s">
        <v>792</v>
      </c>
      <c r="BA33" s="782">
        <v>1</v>
      </c>
      <c r="BB33" s="721">
        <v>30</v>
      </c>
      <c r="BC33" s="732"/>
      <c r="BD33" s="732"/>
      <c r="BE33" s="732"/>
      <c r="BF33" s="732"/>
      <c r="BG33" s="734"/>
      <c r="BH33" s="771" t="s">
        <v>792</v>
      </c>
      <c r="BI33" s="728"/>
      <c r="BJ33" s="1043">
        <v>1</v>
      </c>
      <c r="BK33" s="734" t="s">
        <v>117</v>
      </c>
      <c r="BL33" s="721">
        <v>30</v>
      </c>
      <c r="BM33" s="732"/>
      <c r="BN33" s="732"/>
      <c r="BO33" s="732"/>
      <c r="BP33" s="732"/>
      <c r="BQ33" s="732"/>
      <c r="BR33" s="732"/>
      <c r="BS33" s="734"/>
      <c r="BT33" s="732"/>
      <c r="BU33" s="371" t="s">
        <v>117</v>
      </c>
      <c r="BV33" s="721">
        <v>30</v>
      </c>
      <c r="BW33" s="23"/>
      <c r="BX33" s="23"/>
      <c r="BY33" s="23"/>
      <c r="BZ33" s="23"/>
      <c r="CA33" s="231"/>
      <c r="CB33" s="231"/>
      <c r="CC33" s="231"/>
      <c r="CD33" s="796" t="s">
        <v>792</v>
      </c>
      <c r="CE33" s="643"/>
      <c r="CF33" s="41">
        <v>30</v>
      </c>
      <c r="CG33" s="23"/>
      <c r="CH33" s="23"/>
      <c r="CI33" s="23"/>
      <c r="CJ33" s="23"/>
      <c r="CK33" s="231"/>
      <c r="CL33" s="231"/>
      <c r="CM33" s="231"/>
      <c r="CN33" s="231"/>
      <c r="CO33" s="643"/>
      <c r="CP33" s="41">
        <v>30</v>
      </c>
      <c r="CQ33" s="23"/>
      <c r="CR33" s="23"/>
      <c r="CS33" s="23"/>
      <c r="CT33" s="23"/>
      <c r="CU33" s="231"/>
      <c r="CV33" s="231"/>
      <c r="CW33" s="231"/>
      <c r="CX33" s="231"/>
      <c r="CY33" s="643"/>
      <c r="CZ33" s="41">
        <v>30</v>
      </c>
      <c r="DA33" s="23"/>
      <c r="DB33" s="755">
        <v>1</v>
      </c>
      <c r="DC33" s="23"/>
      <c r="DD33" s="781">
        <v>1</v>
      </c>
      <c r="DE33" s="811" t="s">
        <v>1047</v>
      </c>
      <c r="DF33" s="231"/>
      <c r="DG33" s="231"/>
      <c r="DH33" s="231"/>
      <c r="DI33" s="783">
        <v>1</v>
      </c>
      <c r="DJ33" s="41">
        <v>30</v>
      </c>
      <c r="DK33" s="758">
        <v>1</v>
      </c>
      <c r="DL33" s="23"/>
      <c r="DM33" s="750" t="s">
        <v>792</v>
      </c>
      <c r="DN33" s="779">
        <v>1</v>
      </c>
      <c r="DO33" s="231"/>
      <c r="DP33" s="770">
        <v>1</v>
      </c>
      <c r="DQ33" s="231"/>
      <c r="DR33" s="796" t="s">
        <v>792</v>
      </c>
      <c r="DS33" s="105"/>
      <c r="DT33" s="41">
        <v>30</v>
      </c>
      <c r="DU33" s="23"/>
      <c r="DV33" s="755">
        <v>1</v>
      </c>
      <c r="DW33" s="23"/>
      <c r="DX33" s="23"/>
      <c r="DY33" s="231"/>
      <c r="DZ33" s="231"/>
      <c r="EA33" s="231"/>
      <c r="EB33" s="231"/>
      <c r="EC33" s="231"/>
      <c r="ED33" s="41"/>
      <c r="EE33" s="23"/>
      <c r="EF33" s="23"/>
      <c r="EG33" s="23"/>
      <c r="EH33" s="23"/>
      <c r="EI33" s="231"/>
      <c r="EJ33" s="231"/>
      <c r="EK33" s="231"/>
      <c r="EL33" s="231"/>
      <c r="EM33" s="41">
        <v>30</v>
      </c>
      <c r="EN33" s="23"/>
      <c r="EO33" s="23"/>
      <c r="EP33" s="23"/>
      <c r="EQ33" s="23"/>
      <c r="ER33" s="231"/>
      <c r="ES33" s="231"/>
      <c r="ET33" s="231"/>
      <c r="EU33" s="231"/>
      <c r="EV33" s="41">
        <v>30</v>
      </c>
      <c r="EW33" s="23"/>
      <c r="EX33" s="23"/>
      <c r="EY33" s="23"/>
      <c r="EZ33" s="23"/>
      <c r="FA33" s="231"/>
      <c r="FB33" s="231"/>
      <c r="FC33" s="231"/>
      <c r="FD33" s="231"/>
      <c r="FE33" s="231"/>
    </row>
    <row r="34" spans="1:161">
      <c r="A34" s="722">
        <v>31</v>
      </c>
      <c r="B34" s="758">
        <v>1</v>
      </c>
      <c r="C34" s="90">
        <v>1</v>
      </c>
      <c r="D34" s="722"/>
      <c r="E34" s="720"/>
      <c r="F34" s="720"/>
      <c r="G34" s="722">
        <v>31</v>
      </c>
      <c r="H34" s="93">
        <v>1</v>
      </c>
      <c r="I34" s="819">
        <v>1</v>
      </c>
      <c r="J34" s="751" t="s">
        <v>792</v>
      </c>
      <c r="K34" s="823">
        <v>1</v>
      </c>
      <c r="L34" s="826">
        <v>1</v>
      </c>
      <c r="M34" s="784">
        <v>1</v>
      </c>
      <c r="N34" s="722">
        <v>31</v>
      </c>
      <c r="O34" s="720"/>
      <c r="P34" s="755">
        <v>1</v>
      </c>
      <c r="Q34" s="720"/>
      <c r="R34" s="781">
        <v>1</v>
      </c>
      <c r="S34" s="733"/>
      <c r="T34" s="771" t="s">
        <v>792</v>
      </c>
      <c r="U34" s="785">
        <v>1</v>
      </c>
      <c r="V34" s="722"/>
      <c r="W34" s="720"/>
      <c r="X34" s="720"/>
      <c r="Y34" s="720"/>
      <c r="Z34" s="720"/>
      <c r="AA34" s="733"/>
      <c r="AB34" s="733"/>
      <c r="AC34" s="733"/>
      <c r="AD34" s="722">
        <v>31</v>
      </c>
      <c r="AE34" s="720"/>
      <c r="AF34" s="755">
        <v>1</v>
      </c>
      <c r="AG34" s="751" t="s">
        <v>792</v>
      </c>
      <c r="AH34" s="720"/>
      <c r="AI34" s="838">
        <v>1</v>
      </c>
      <c r="AJ34" s="771" t="s">
        <v>792</v>
      </c>
      <c r="AK34" s="784">
        <v>1</v>
      </c>
      <c r="AL34" s="722"/>
      <c r="AM34" s="720"/>
      <c r="AN34" s="720"/>
      <c r="AO34" s="720"/>
      <c r="AP34" s="720"/>
      <c r="AQ34" s="733"/>
      <c r="AR34" s="733"/>
      <c r="AS34" s="733"/>
      <c r="AT34" s="722">
        <v>31</v>
      </c>
      <c r="AU34" s="738"/>
      <c r="AV34" s="739"/>
      <c r="AW34" s="739"/>
      <c r="AX34" s="739"/>
      <c r="AY34" s="739"/>
      <c r="AZ34" s="771" t="s">
        <v>792</v>
      </c>
      <c r="BA34" s="784">
        <v>1</v>
      </c>
      <c r="BB34" s="722"/>
      <c r="BC34" s="738"/>
      <c r="BD34" s="739"/>
      <c r="BE34" s="739"/>
      <c r="BF34" s="739"/>
      <c r="BG34" s="739"/>
      <c r="BH34" s="733"/>
      <c r="BI34" s="733"/>
      <c r="BJ34" s="739"/>
      <c r="BK34" s="739"/>
      <c r="BL34" s="722">
        <v>31</v>
      </c>
      <c r="BM34" s="738"/>
      <c r="BN34" s="739"/>
      <c r="BO34" s="739"/>
      <c r="BP34" s="739"/>
      <c r="BQ34" s="739"/>
      <c r="BR34" s="739"/>
      <c r="BS34" s="733"/>
      <c r="BT34" s="739"/>
      <c r="BU34" s="1073" t="s">
        <v>117</v>
      </c>
      <c r="BV34" s="722">
        <v>31</v>
      </c>
      <c r="BW34" s="514"/>
      <c r="BX34" s="10"/>
      <c r="BY34" s="10"/>
      <c r="BZ34" s="10"/>
      <c r="CA34" s="10"/>
      <c r="CB34" s="106"/>
      <c r="CC34" s="106"/>
      <c r="CD34" s="797" t="s">
        <v>792</v>
      </c>
      <c r="CE34" s="644"/>
      <c r="CF34" s="42"/>
      <c r="CG34" s="514"/>
      <c r="CH34" s="10"/>
      <c r="CI34" s="10"/>
      <c r="CJ34" s="10"/>
      <c r="CK34" s="10"/>
      <c r="CL34" s="106"/>
      <c r="CM34" s="106"/>
      <c r="CN34" s="106"/>
      <c r="CO34" s="644"/>
      <c r="CP34" s="42">
        <v>31</v>
      </c>
      <c r="CQ34" s="514"/>
      <c r="CR34" s="10"/>
      <c r="CS34" s="10"/>
      <c r="CT34" s="10"/>
      <c r="CU34" s="10"/>
      <c r="CV34" s="106"/>
      <c r="CW34" s="106"/>
      <c r="CX34" s="106"/>
      <c r="CY34" s="644"/>
      <c r="CZ34" s="42"/>
      <c r="DA34" s="514"/>
      <c r="DB34" s="10"/>
      <c r="DC34" s="10"/>
      <c r="DD34" s="10"/>
      <c r="DE34" s="10"/>
      <c r="DF34" s="106"/>
      <c r="DG34" s="106"/>
      <c r="DH34" s="106"/>
      <c r="DI34" s="10"/>
      <c r="DJ34" s="42">
        <v>31</v>
      </c>
      <c r="DK34" s="775">
        <v>1</v>
      </c>
      <c r="DL34" s="626"/>
      <c r="DM34" s="751" t="s">
        <v>792</v>
      </c>
      <c r="DN34" s="812">
        <v>1</v>
      </c>
      <c r="DO34" s="981">
        <v>1</v>
      </c>
      <c r="DP34" s="771">
        <v>1</v>
      </c>
      <c r="DQ34" s="827">
        <v>1</v>
      </c>
      <c r="DR34" s="797" t="s">
        <v>792</v>
      </c>
      <c r="DS34" s="245">
        <v>1</v>
      </c>
      <c r="DT34" s="42">
        <v>31</v>
      </c>
      <c r="DU34" s="514"/>
      <c r="DV34" s="10"/>
      <c r="DW34" s="10"/>
      <c r="DX34" s="515"/>
      <c r="DY34" s="515"/>
      <c r="DZ34" s="106"/>
      <c r="EA34" s="106"/>
      <c r="EB34" s="106"/>
      <c r="EC34" s="10"/>
      <c r="ED34" s="42"/>
      <c r="EE34" s="514"/>
      <c r="EF34" s="10"/>
      <c r="EG34" s="10"/>
      <c r="EH34" s="10"/>
      <c r="EI34" s="10"/>
      <c r="EJ34" s="106"/>
      <c r="EK34" s="106"/>
      <c r="EL34" s="10"/>
      <c r="EM34" s="42">
        <v>31</v>
      </c>
      <c r="EN34" s="514"/>
      <c r="EO34" s="10"/>
      <c r="EP34" s="10"/>
      <c r="EQ34" s="10"/>
      <c r="ER34" s="10"/>
      <c r="ES34" s="106"/>
      <c r="ET34" s="106"/>
      <c r="EU34" s="10"/>
      <c r="EV34" s="42"/>
      <c r="EW34" s="514"/>
      <c r="EX34" s="10"/>
      <c r="EY34" s="10"/>
      <c r="EZ34" s="10"/>
      <c r="FA34" s="10"/>
      <c r="FB34" s="106"/>
      <c r="FC34" s="106"/>
      <c r="FD34" s="106"/>
      <c r="FE34" s="10"/>
    </row>
    <row r="35" spans="1:161" s="6" customFormat="1">
      <c r="A35" s="723"/>
      <c r="B35" s="730">
        <f>SUM(B16:B34)</f>
        <v>8</v>
      </c>
      <c r="C35" s="730">
        <f>SUM(C30:C34)</f>
        <v>5</v>
      </c>
      <c r="D35" s="723"/>
      <c r="E35" s="730">
        <f>SUM(E4:E34)</f>
        <v>22</v>
      </c>
      <c r="F35" s="730">
        <f>SUM(F4:F34)</f>
        <v>23</v>
      </c>
      <c r="G35" s="723"/>
      <c r="H35" s="730">
        <f>SUM(H4:H34)</f>
        <v>16</v>
      </c>
      <c r="I35" s="730">
        <f>SUM(I4:I34)</f>
        <v>27</v>
      </c>
      <c r="J35" s="730">
        <v>2</v>
      </c>
      <c r="K35" s="730">
        <f>SUM(K18:K34)</f>
        <v>17</v>
      </c>
      <c r="L35" s="730">
        <f>SUM(L22:L34)</f>
        <v>13</v>
      </c>
      <c r="M35" s="730">
        <f>SUM(M25:M34)</f>
        <v>10</v>
      </c>
      <c r="N35" s="723"/>
      <c r="O35" s="730">
        <f>SUM(O4:O34)</f>
        <v>26</v>
      </c>
      <c r="P35" s="730">
        <f>SUM(P4:P34)</f>
        <v>27</v>
      </c>
      <c r="Q35" s="730">
        <f>SUM(Q11:Q34)</f>
        <v>7</v>
      </c>
      <c r="R35" s="730">
        <v>22</v>
      </c>
      <c r="S35" s="730">
        <f>SUM(S4:S34)</f>
        <v>13</v>
      </c>
      <c r="T35" s="730">
        <v>0</v>
      </c>
      <c r="U35" s="730">
        <f>SUM(U4:U34)</f>
        <v>13</v>
      </c>
      <c r="V35" s="723"/>
      <c r="W35" s="730">
        <f>SUM(W4:W34)</f>
        <v>27</v>
      </c>
      <c r="X35" s="730">
        <f>SUM(X4:X34)</f>
        <v>26</v>
      </c>
      <c r="Y35" s="730">
        <f>SUM(Y4:Y34)</f>
        <v>7</v>
      </c>
      <c r="Z35" s="730">
        <f>SUM(Z4:Z34)</f>
        <v>29</v>
      </c>
      <c r="AA35" s="730"/>
      <c r="AB35" s="730"/>
      <c r="AC35" s="730">
        <f>SUM(AC4:AC34)</f>
        <v>22</v>
      </c>
      <c r="AD35" s="723"/>
      <c r="AE35" s="730">
        <f>SUM(AE4:AE34)</f>
        <v>20</v>
      </c>
      <c r="AF35" s="730">
        <f>SUM(AF4:AF34)</f>
        <v>28</v>
      </c>
      <c r="AG35" s="730">
        <f>SUM(AG4:AG34)</f>
        <v>5</v>
      </c>
      <c r="AH35" s="735">
        <f>SUM(AH4:AH34)</f>
        <v>19</v>
      </c>
      <c r="AI35" s="730">
        <f>SUM(AI4:AI34)</f>
        <v>8</v>
      </c>
      <c r="AJ35" s="730"/>
      <c r="AK35" s="736">
        <f>SUM(AK4:AK34)</f>
        <v>24</v>
      </c>
      <c r="AL35" s="723"/>
      <c r="AM35" s="730">
        <f>SUM(AM4:AM34)</f>
        <v>9</v>
      </c>
      <c r="AN35" s="730">
        <f>SUM(AN4:AN34)</f>
        <v>20</v>
      </c>
      <c r="AO35" s="730">
        <v>0</v>
      </c>
      <c r="AP35" s="735">
        <f>SUM(AP4:AP34)</f>
        <v>14</v>
      </c>
      <c r="AQ35" s="730">
        <f>SUM(AQ4:AQ34)</f>
        <v>7</v>
      </c>
      <c r="AR35" s="737">
        <f>SUM(AR4:AR34)</f>
        <v>6</v>
      </c>
      <c r="AS35" s="730">
        <f>SUM(AS4:AS34)</f>
        <v>16</v>
      </c>
      <c r="AT35" s="723"/>
      <c r="AU35" s="730">
        <f>SUM(AU4:AU34)</f>
        <v>6</v>
      </c>
      <c r="AV35" s="730">
        <f>SUM(AV4:AV34)</f>
        <v>4</v>
      </c>
      <c r="AW35" s="730">
        <v>0</v>
      </c>
      <c r="AX35" s="735">
        <f>SUM(AX4:AX34)</f>
        <v>18</v>
      </c>
      <c r="AY35" s="730">
        <f>SUM(AY4:AY34)</f>
        <v>0</v>
      </c>
      <c r="AZ35" s="737">
        <v>0</v>
      </c>
      <c r="BA35" s="730">
        <f>SUM(BA4:BA34)</f>
        <v>5</v>
      </c>
      <c r="BB35" s="726"/>
      <c r="BC35" s="730">
        <f>SUM(BC4:BC34)</f>
        <v>4</v>
      </c>
      <c r="BD35" s="730">
        <f>SUM(BD4:BD34)</f>
        <v>8</v>
      </c>
      <c r="BE35" s="730">
        <f>SUM(BE4:BE34)</f>
        <v>6</v>
      </c>
      <c r="BF35" s="735">
        <f>SUM(BF4:BF34)</f>
        <v>0</v>
      </c>
      <c r="BG35" s="730">
        <f>SUM(BG4:BG34)</f>
        <v>0</v>
      </c>
      <c r="BH35" s="737">
        <v>0</v>
      </c>
      <c r="BI35" s="737">
        <f>SUM(BI4:BI34)</f>
        <v>2</v>
      </c>
      <c r="BJ35" s="735">
        <f>SUM(BJ4:BJ34)</f>
        <v>2</v>
      </c>
      <c r="BK35" s="730">
        <f>SUM(BK4:BK34)</f>
        <v>8</v>
      </c>
      <c r="BL35" s="726"/>
      <c r="BM35" s="730">
        <f>SUM(BM4:BM34)</f>
        <v>0</v>
      </c>
      <c r="BN35" s="730">
        <f>SUM(BN4:BN34)</f>
        <v>5</v>
      </c>
      <c r="BO35" s="730">
        <v>0</v>
      </c>
      <c r="BP35" s="735">
        <f>SUM(BP4:BP34)</f>
        <v>0</v>
      </c>
      <c r="BQ35" s="735">
        <f>SUM(BQ4:BQ34)</f>
        <v>0</v>
      </c>
      <c r="BR35" s="735">
        <v>0</v>
      </c>
      <c r="BS35" s="737">
        <f>SUM(BS4:BS34)</f>
        <v>4</v>
      </c>
      <c r="BT35" s="735">
        <f>SUM(BT4:BT34)</f>
        <v>3</v>
      </c>
      <c r="BU35" s="735">
        <f>SUM(BU4:BU34)</f>
        <v>0</v>
      </c>
      <c r="BV35" s="726"/>
      <c r="BW35" s="442">
        <f>SUM(BW4:BW34)</f>
        <v>5</v>
      </c>
      <c r="BX35" s="442">
        <f>SUM(BX4:BX34)</f>
        <v>7</v>
      </c>
      <c r="BY35" s="1076">
        <f t="shared" ref="BY35:BZ35" si="0">SUM(BY4:BY34)</f>
        <v>0</v>
      </c>
      <c r="BZ35" s="1076">
        <f t="shared" si="0"/>
        <v>0</v>
      </c>
      <c r="CA35" s="442">
        <f>SUM(CA4:CA34)</f>
        <v>0</v>
      </c>
      <c r="CB35" s="1076">
        <f>SUM(CB4:CB34)</f>
        <v>0</v>
      </c>
      <c r="CC35" s="448">
        <f>SUM(CC4:CC34)</f>
        <v>10</v>
      </c>
      <c r="CD35" s="1076">
        <f>SUM(CD4:CD34)</f>
        <v>3</v>
      </c>
      <c r="CE35" s="442">
        <f>SUM(CE4:CE34)</f>
        <v>0</v>
      </c>
      <c r="CF35" s="442"/>
      <c r="CG35" s="442">
        <f t="shared" ref="CG35:CO35" si="1">SUM(CG4:CG34)</f>
        <v>6</v>
      </c>
      <c r="CH35" s="442">
        <f t="shared" si="1"/>
        <v>10</v>
      </c>
      <c r="CI35" s="442">
        <f t="shared" si="1"/>
        <v>2</v>
      </c>
      <c r="CJ35" s="1076">
        <f t="shared" si="1"/>
        <v>4</v>
      </c>
      <c r="CK35" s="442">
        <f t="shared" si="1"/>
        <v>0</v>
      </c>
      <c r="CL35" s="448">
        <f t="shared" si="1"/>
        <v>9</v>
      </c>
      <c r="CM35" s="448">
        <f t="shared" si="1"/>
        <v>3</v>
      </c>
      <c r="CN35" s="448">
        <f t="shared" si="1"/>
        <v>9</v>
      </c>
      <c r="CO35" s="442">
        <f t="shared" si="1"/>
        <v>0</v>
      </c>
      <c r="CP35" s="442"/>
      <c r="CQ35" s="442">
        <f>SUM(CQ4:CQ34)</f>
        <v>9</v>
      </c>
      <c r="CR35" s="442">
        <f>SUM(CR4:CR34)</f>
        <v>5</v>
      </c>
      <c r="CS35" s="448">
        <f t="shared" ref="CS35:CT35" si="2">SUM(CS4:CS34)</f>
        <v>0</v>
      </c>
      <c r="CT35" s="448">
        <f t="shared" si="2"/>
        <v>0</v>
      </c>
      <c r="CU35" s="442">
        <f>SUM(CU4:CU34)</f>
        <v>0</v>
      </c>
      <c r="CV35" s="448">
        <f>SUM(CV4:CV34)</f>
        <v>0</v>
      </c>
      <c r="CW35" s="448">
        <f>SUM(CW4:CW34)</f>
        <v>0</v>
      </c>
      <c r="CX35" s="448">
        <f>SUM(CX4:CX34)</f>
        <v>0</v>
      </c>
      <c r="CY35" s="442">
        <f>SUM(CY4:CY34)</f>
        <v>0</v>
      </c>
      <c r="CZ35" s="442"/>
      <c r="DA35" s="442">
        <f>SUM(DA4:DA34)</f>
        <v>4</v>
      </c>
      <c r="DB35" s="442">
        <f>SUM(DB4:DB34)</f>
        <v>22</v>
      </c>
      <c r="DC35" s="442">
        <f>SUM(DC16:DC34)</f>
        <v>5</v>
      </c>
      <c r="DD35" s="248">
        <f>SUM(DD16:DD34)</f>
        <v>2</v>
      </c>
      <c r="DE35" s="442">
        <f>SUM(DE4:DE34)</f>
        <v>0</v>
      </c>
      <c r="DF35" s="448">
        <f>SUM(DF4:DF34)</f>
        <v>0</v>
      </c>
      <c r="DG35" s="448">
        <f>SUM(DG4:DG34)</f>
        <v>0</v>
      </c>
      <c r="DH35" s="1076">
        <f>SUM(DH4:DH34)</f>
        <v>0</v>
      </c>
      <c r="DI35" s="442">
        <f>SUM(DI4:DI34)</f>
        <v>6</v>
      </c>
      <c r="DJ35" s="442"/>
      <c r="DK35" s="442">
        <f t="shared" ref="DK35:DS35" si="3">SUM(DK4:DK34)</f>
        <v>12</v>
      </c>
      <c r="DL35" s="442">
        <f t="shared" si="3"/>
        <v>9</v>
      </c>
      <c r="DM35" s="1076">
        <f t="shared" si="3"/>
        <v>0</v>
      </c>
      <c r="DN35" s="248">
        <f t="shared" si="3"/>
        <v>20</v>
      </c>
      <c r="DO35" s="442">
        <f t="shared" si="3"/>
        <v>13</v>
      </c>
      <c r="DP35" s="448">
        <f t="shared" si="3"/>
        <v>12</v>
      </c>
      <c r="DQ35" s="448">
        <f t="shared" si="3"/>
        <v>1</v>
      </c>
      <c r="DR35" s="1076">
        <f t="shared" si="3"/>
        <v>0</v>
      </c>
      <c r="DS35" s="442">
        <f t="shared" si="3"/>
        <v>18</v>
      </c>
      <c r="DT35" s="442"/>
      <c r="DU35" s="442">
        <f t="shared" ref="DU35:EC35" si="4">SUM(DU4:DU34)</f>
        <v>8</v>
      </c>
      <c r="DV35" s="442">
        <f>SUM(DV4:DV34)</f>
        <v>18</v>
      </c>
      <c r="DW35" s="442">
        <f t="shared" si="4"/>
        <v>7</v>
      </c>
      <c r="DX35" s="248">
        <f t="shared" si="4"/>
        <v>3</v>
      </c>
      <c r="DY35" s="442">
        <f t="shared" si="4"/>
        <v>1</v>
      </c>
      <c r="DZ35" s="448">
        <f t="shared" si="4"/>
        <v>3</v>
      </c>
      <c r="EA35" s="448">
        <f>SUM(EA4:EA34)</f>
        <v>12</v>
      </c>
      <c r="EB35" s="1076">
        <f t="shared" ref="EB35" si="5">SUM(EB4:EB34)</f>
        <v>0</v>
      </c>
      <c r="EC35" s="442">
        <f t="shared" si="4"/>
        <v>4</v>
      </c>
      <c r="ED35" s="442"/>
      <c r="EE35" s="442">
        <f>SUM(EE4:EE34)</f>
        <v>0</v>
      </c>
      <c r="EF35" s="1076">
        <f t="shared" ref="EF35:EL35" si="6">SUM(EF4:EF34)</f>
        <v>9</v>
      </c>
      <c r="EG35" s="1076">
        <f t="shared" si="6"/>
        <v>0</v>
      </c>
      <c r="EH35" s="1076">
        <f t="shared" si="6"/>
        <v>6</v>
      </c>
      <c r="EI35" s="1076">
        <f t="shared" si="6"/>
        <v>0</v>
      </c>
      <c r="EJ35" s="1076">
        <f t="shared" si="6"/>
        <v>0</v>
      </c>
      <c r="EK35" s="1076">
        <f t="shared" si="6"/>
        <v>1</v>
      </c>
      <c r="EL35" s="1076">
        <f t="shared" si="6"/>
        <v>0</v>
      </c>
      <c r="EM35" s="631"/>
      <c r="EN35" s="631">
        <f>SUM(EN4:EN34)</f>
        <v>0</v>
      </c>
      <c r="EO35" s="1076">
        <f t="shared" ref="EO35:EU35" si="7">SUM(EO4:EO34)</f>
        <v>0</v>
      </c>
      <c r="EP35" s="1076">
        <f t="shared" si="7"/>
        <v>0</v>
      </c>
      <c r="EQ35" s="1076">
        <f t="shared" si="7"/>
        <v>0</v>
      </c>
      <c r="ER35" s="1076">
        <f t="shared" si="7"/>
        <v>0</v>
      </c>
      <c r="ES35" s="1076">
        <f t="shared" si="7"/>
        <v>0</v>
      </c>
      <c r="ET35" s="1076">
        <f t="shared" si="7"/>
        <v>3</v>
      </c>
      <c r="EU35" s="1076">
        <f t="shared" si="7"/>
        <v>0</v>
      </c>
      <c r="EV35" s="748"/>
      <c r="EW35" s="748">
        <f>SUM(EW4:EW34)</f>
        <v>0</v>
      </c>
      <c r="EX35" s="1076">
        <f t="shared" ref="EX35:FE35" si="8">SUM(EX4:EX34)</f>
        <v>0</v>
      </c>
      <c r="EY35" s="1076">
        <f t="shared" si="8"/>
        <v>0</v>
      </c>
      <c r="EZ35" s="1076">
        <f t="shared" si="8"/>
        <v>0</v>
      </c>
      <c r="FA35" s="1076">
        <f t="shared" si="8"/>
        <v>0</v>
      </c>
      <c r="FB35" s="1076">
        <f t="shared" si="8"/>
        <v>0</v>
      </c>
      <c r="FC35" s="1076">
        <f t="shared" si="8"/>
        <v>0</v>
      </c>
      <c r="FD35" s="1076">
        <f t="shared" si="8"/>
        <v>0</v>
      </c>
      <c r="FE35" s="1076">
        <f t="shared" si="8"/>
        <v>0</v>
      </c>
    </row>
    <row r="36" spans="1:161">
      <c r="A36" s="722"/>
      <c r="B36" s="731">
        <f>+B35/31</f>
        <v>0.25806451612903225</v>
      </c>
      <c r="C36" s="731">
        <f>+C35/31</f>
        <v>0.16129032258064516</v>
      </c>
      <c r="D36" s="722"/>
      <c r="E36" s="731">
        <f>+E35/30</f>
        <v>0.73333333333333328</v>
      </c>
      <c r="F36" s="731">
        <f>+F35/30</f>
        <v>0.76666666666666672</v>
      </c>
      <c r="G36" s="722"/>
      <c r="H36" s="731">
        <f t="shared" ref="H36:M36" si="9">+H35/31</f>
        <v>0.5161290322580645</v>
      </c>
      <c r="I36" s="731">
        <f t="shared" si="9"/>
        <v>0.87096774193548387</v>
      </c>
      <c r="J36" s="731">
        <f t="shared" si="9"/>
        <v>6.4516129032258063E-2</v>
      </c>
      <c r="K36" s="731">
        <f t="shared" si="9"/>
        <v>0.54838709677419351</v>
      </c>
      <c r="L36" s="731">
        <f t="shared" si="9"/>
        <v>0.41935483870967744</v>
      </c>
      <c r="M36" s="731">
        <f t="shared" si="9"/>
        <v>0.32258064516129031</v>
      </c>
      <c r="N36" s="722"/>
      <c r="O36" s="731">
        <f t="shared" ref="O36:U36" si="10">+O35/31</f>
        <v>0.83870967741935487</v>
      </c>
      <c r="P36" s="731">
        <f t="shared" si="10"/>
        <v>0.87096774193548387</v>
      </c>
      <c r="Q36" s="731">
        <f t="shared" si="10"/>
        <v>0.22580645161290322</v>
      </c>
      <c r="R36" s="731">
        <f t="shared" si="10"/>
        <v>0.70967741935483875</v>
      </c>
      <c r="S36" s="731">
        <f t="shared" si="10"/>
        <v>0.41935483870967744</v>
      </c>
      <c r="T36" s="731">
        <f t="shared" si="10"/>
        <v>0</v>
      </c>
      <c r="U36" s="731">
        <f t="shared" si="10"/>
        <v>0.41935483870967744</v>
      </c>
      <c r="V36" s="722"/>
      <c r="W36" s="731">
        <f>+W35/29</f>
        <v>0.93103448275862066</v>
      </c>
      <c r="X36" s="731">
        <f t="shared" ref="X36:AC36" si="11">+X35/29</f>
        <v>0.89655172413793105</v>
      </c>
      <c r="Y36" s="731">
        <f t="shared" si="11"/>
        <v>0.2413793103448276</v>
      </c>
      <c r="Z36" s="731">
        <f t="shared" si="11"/>
        <v>1</v>
      </c>
      <c r="AA36" s="731">
        <f t="shared" si="11"/>
        <v>0</v>
      </c>
      <c r="AB36" s="731">
        <f t="shared" si="11"/>
        <v>0</v>
      </c>
      <c r="AC36" s="731">
        <f t="shared" si="11"/>
        <v>0.75862068965517238</v>
      </c>
      <c r="AD36" s="722"/>
      <c r="AE36" s="731">
        <f>+AE35/31</f>
        <v>0.64516129032258063</v>
      </c>
      <c r="AF36" s="731">
        <f t="shared" ref="AF36:AK36" si="12">+AF35/31</f>
        <v>0.90322580645161288</v>
      </c>
      <c r="AG36" s="731">
        <f t="shared" si="12"/>
        <v>0.16129032258064516</v>
      </c>
      <c r="AH36" s="731">
        <f t="shared" si="12"/>
        <v>0.61290322580645162</v>
      </c>
      <c r="AI36" s="731">
        <f t="shared" si="12"/>
        <v>0.25806451612903225</v>
      </c>
      <c r="AJ36" s="731">
        <f t="shared" si="12"/>
        <v>0</v>
      </c>
      <c r="AK36" s="731">
        <f t="shared" si="12"/>
        <v>0.77419354838709675</v>
      </c>
      <c r="AL36" s="722"/>
      <c r="AM36" s="731">
        <f>+AM35/30</f>
        <v>0.3</v>
      </c>
      <c r="AN36" s="731">
        <f>+AN35/30</f>
        <v>0.66666666666666663</v>
      </c>
      <c r="AO36" s="731">
        <f t="shared" ref="AO36" si="13">+AO35/30</f>
        <v>0</v>
      </c>
      <c r="AP36" s="731">
        <f>+AP35/30</f>
        <v>0.46666666666666667</v>
      </c>
      <c r="AQ36" s="731">
        <f>+AQ35/30</f>
        <v>0.23333333333333334</v>
      </c>
      <c r="AR36" s="731">
        <f>+AR35/30</f>
        <v>0.2</v>
      </c>
      <c r="AS36" s="731">
        <f>+AS35/30</f>
        <v>0.53333333333333333</v>
      </c>
      <c r="AT36" s="723"/>
      <c r="AU36" s="731">
        <f>+AU35/31</f>
        <v>0.19354838709677419</v>
      </c>
      <c r="AV36" s="731">
        <f t="shared" ref="AV36:BA36" si="14">+AV35/31</f>
        <v>0.12903225806451613</v>
      </c>
      <c r="AW36" s="731">
        <f t="shared" si="14"/>
        <v>0</v>
      </c>
      <c r="AX36" s="731">
        <f t="shared" si="14"/>
        <v>0.58064516129032262</v>
      </c>
      <c r="AY36" s="731">
        <f t="shared" si="14"/>
        <v>0</v>
      </c>
      <c r="AZ36" s="731">
        <f t="shared" si="14"/>
        <v>0</v>
      </c>
      <c r="BA36" s="731">
        <f t="shared" si="14"/>
        <v>0.16129032258064516</v>
      </c>
      <c r="BB36" s="725"/>
      <c r="BC36" s="731">
        <f>+BC35/30</f>
        <v>0.13333333333333333</v>
      </c>
      <c r="BD36" s="731">
        <f t="shared" ref="BD36:BK36" si="15">+BD35/30</f>
        <v>0.26666666666666666</v>
      </c>
      <c r="BE36" s="731">
        <f t="shared" si="15"/>
        <v>0.2</v>
      </c>
      <c r="BF36" s="731">
        <f t="shared" si="15"/>
        <v>0</v>
      </c>
      <c r="BG36" s="731">
        <f t="shared" si="15"/>
        <v>0</v>
      </c>
      <c r="BH36" s="731">
        <f t="shared" si="15"/>
        <v>0</v>
      </c>
      <c r="BI36" s="731">
        <f>+BI35/30</f>
        <v>6.6666666666666666E-2</v>
      </c>
      <c r="BJ36" s="731">
        <f t="shared" ref="BJ36" si="16">+BJ35/30</f>
        <v>6.6666666666666666E-2</v>
      </c>
      <c r="BK36" s="731">
        <f t="shared" si="15"/>
        <v>0.26666666666666666</v>
      </c>
      <c r="BL36" s="725"/>
      <c r="BM36" s="731">
        <f>+BM35/31</f>
        <v>0</v>
      </c>
      <c r="BN36" s="731">
        <f t="shared" ref="BN36:BU36" si="17">+BN35/31</f>
        <v>0.16129032258064516</v>
      </c>
      <c r="BO36" s="731">
        <f t="shared" si="17"/>
        <v>0</v>
      </c>
      <c r="BP36" s="731">
        <f t="shared" si="17"/>
        <v>0</v>
      </c>
      <c r="BQ36" s="731">
        <f t="shared" si="17"/>
        <v>0</v>
      </c>
      <c r="BR36" s="731">
        <f t="shared" si="17"/>
        <v>0</v>
      </c>
      <c r="BS36" s="731">
        <f t="shared" si="17"/>
        <v>0.12903225806451613</v>
      </c>
      <c r="BT36" s="731">
        <f t="shared" ref="BT36" si="18">+BT35/31</f>
        <v>9.6774193548387094E-2</v>
      </c>
      <c r="BU36" s="731">
        <f t="shared" si="17"/>
        <v>0</v>
      </c>
      <c r="BV36" s="725"/>
      <c r="BW36" s="444">
        <f>+BW35/31</f>
        <v>0.16129032258064516</v>
      </c>
      <c r="BX36" s="444">
        <f t="shared" ref="BX36" si="19">+BX35/31</f>
        <v>0.22580645161290322</v>
      </c>
      <c r="BY36" s="444">
        <f t="shared" ref="BY36:CA36" si="20">+BY35/31</f>
        <v>0</v>
      </c>
      <c r="BZ36" s="444">
        <f t="shared" si="20"/>
        <v>0</v>
      </c>
      <c r="CA36" s="444">
        <f t="shared" si="20"/>
        <v>0</v>
      </c>
      <c r="CB36" s="444">
        <f t="shared" ref="CB36" si="21">+CB35/31</f>
        <v>0</v>
      </c>
      <c r="CC36" s="444">
        <f t="shared" ref="CC36:CD36" si="22">+CC35/31</f>
        <v>0.32258064516129031</v>
      </c>
      <c r="CD36" s="444">
        <f t="shared" si="22"/>
        <v>9.6774193548387094E-2</v>
      </c>
      <c r="CE36" s="444">
        <f t="shared" ref="CE36" si="23">+CE35/31</f>
        <v>0</v>
      </c>
      <c r="CF36" s="95"/>
      <c r="CG36" s="444">
        <f>+CG35/30</f>
        <v>0.2</v>
      </c>
      <c r="CH36" s="444">
        <f t="shared" ref="CH36:CO36" si="24">+CH35/30</f>
        <v>0.33333333333333331</v>
      </c>
      <c r="CI36" s="444">
        <f t="shared" si="24"/>
        <v>6.6666666666666666E-2</v>
      </c>
      <c r="CJ36" s="444">
        <f t="shared" ref="CJ36" si="25">+CJ35/30</f>
        <v>0.13333333333333333</v>
      </c>
      <c r="CK36" s="444">
        <f t="shared" si="24"/>
        <v>0</v>
      </c>
      <c r="CL36" s="444">
        <f t="shared" si="24"/>
        <v>0.3</v>
      </c>
      <c r="CM36" s="444">
        <f>+CM35/30</f>
        <v>0.1</v>
      </c>
      <c r="CN36" s="444">
        <f>+CN35/30</f>
        <v>0.3</v>
      </c>
      <c r="CO36" s="444">
        <f t="shared" si="24"/>
        <v>0</v>
      </c>
      <c r="CP36" s="95"/>
      <c r="CQ36" s="444">
        <f>+CQ35/31</f>
        <v>0.29032258064516131</v>
      </c>
      <c r="CR36" s="444">
        <f t="shared" ref="CR36:CT36" si="26">+CR35/31</f>
        <v>0.16129032258064516</v>
      </c>
      <c r="CS36" s="444">
        <f t="shared" si="26"/>
        <v>0</v>
      </c>
      <c r="CT36" s="444">
        <f t="shared" si="26"/>
        <v>0</v>
      </c>
      <c r="CU36" s="444">
        <f t="shared" ref="CU36:CV36" si="27">+CU35/31</f>
        <v>0</v>
      </c>
      <c r="CV36" s="444">
        <f t="shared" si="27"/>
        <v>0</v>
      </c>
      <c r="CW36" s="444">
        <f t="shared" ref="CW36" si="28">+CW35/31</f>
        <v>0</v>
      </c>
      <c r="CX36" s="444">
        <f t="shared" ref="CX36" si="29">+CX35/31</f>
        <v>0</v>
      </c>
      <c r="CY36" s="444">
        <f t="shared" ref="CY36" si="30">+CY35/31</f>
        <v>0</v>
      </c>
      <c r="CZ36" s="95"/>
      <c r="DA36" s="444">
        <f>+DA35/30</f>
        <v>0.13333333333333333</v>
      </c>
      <c r="DB36" s="444">
        <f t="shared" ref="DB36" si="31">+DB35/30</f>
        <v>0.73333333333333328</v>
      </c>
      <c r="DC36" s="444">
        <f t="shared" ref="DC36" si="32">+DC35/30</f>
        <v>0.16666666666666666</v>
      </c>
      <c r="DD36" s="444">
        <f t="shared" ref="DD36" si="33">+DD35/30</f>
        <v>6.6666666666666666E-2</v>
      </c>
      <c r="DE36" s="444">
        <f t="shared" ref="DE36" si="34">+DE35/30</f>
        <v>0</v>
      </c>
      <c r="DF36" s="444">
        <f t="shared" ref="DF36" si="35">+DF35/30</f>
        <v>0</v>
      </c>
      <c r="DG36" s="444">
        <f>+DG35/30</f>
        <v>0</v>
      </c>
      <c r="DH36" s="444">
        <f>+DH35/30</f>
        <v>0</v>
      </c>
      <c r="DI36" s="444">
        <f t="shared" ref="DI36" si="36">+DI35/30</f>
        <v>0.2</v>
      </c>
      <c r="DJ36" s="95"/>
      <c r="DK36" s="444">
        <f>+DK35/31</f>
        <v>0.38709677419354838</v>
      </c>
      <c r="DL36" s="444">
        <f t="shared" ref="DL36:DM36" si="37">+DL35/31</f>
        <v>0.29032258064516131</v>
      </c>
      <c r="DM36" s="444">
        <f t="shared" si="37"/>
        <v>0</v>
      </c>
      <c r="DN36" s="444">
        <f t="shared" ref="DN36" si="38">+DN35/31</f>
        <v>0.64516129032258063</v>
      </c>
      <c r="DO36" s="444">
        <f t="shared" ref="DO36" si="39">+DO35/31</f>
        <v>0.41935483870967744</v>
      </c>
      <c r="DP36" s="444">
        <f t="shared" ref="DP36:DR36" si="40">+DP35/31</f>
        <v>0.38709677419354838</v>
      </c>
      <c r="DQ36" s="444">
        <f t="shared" si="40"/>
        <v>3.2258064516129031E-2</v>
      </c>
      <c r="DR36" s="444">
        <f t="shared" si="40"/>
        <v>0</v>
      </c>
      <c r="DS36" s="444">
        <f t="shared" ref="DS36" si="41">+DS35/31</f>
        <v>0.58064516129032262</v>
      </c>
      <c r="DT36" s="95"/>
      <c r="DU36" s="444">
        <f>+DU35/31</f>
        <v>0.25806451612903225</v>
      </c>
      <c r="DV36" s="444">
        <f t="shared" ref="DV36" si="42">+DV35/31</f>
        <v>0.58064516129032262</v>
      </c>
      <c r="DW36" s="444">
        <f t="shared" ref="DW36" si="43">+DW35/31</f>
        <v>0.22580645161290322</v>
      </c>
      <c r="DX36" s="444">
        <f t="shared" ref="DX36" si="44">+DX35/31</f>
        <v>9.6774193548387094E-2</v>
      </c>
      <c r="DY36" s="444">
        <f t="shared" ref="DY36" si="45">+DY35/31</f>
        <v>3.2258064516129031E-2</v>
      </c>
      <c r="DZ36" s="444">
        <f t="shared" ref="DZ36:EA36" si="46">+DZ35/31</f>
        <v>9.6774193548387094E-2</v>
      </c>
      <c r="EA36" s="444">
        <f t="shared" si="46"/>
        <v>0.38709677419354838</v>
      </c>
      <c r="EB36" s="444">
        <f>+EB35/31</f>
        <v>0</v>
      </c>
      <c r="EC36" s="444">
        <f t="shared" ref="EC36" si="47">+EC35/31</f>
        <v>0.12903225806451613</v>
      </c>
      <c r="ED36" s="95"/>
      <c r="EE36" s="444">
        <f>+EE35/28</f>
        <v>0</v>
      </c>
      <c r="EF36" s="444">
        <f t="shared" ref="EF36:EL36" si="48">+EF35/28</f>
        <v>0.32142857142857145</v>
      </c>
      <c r="EG36" s="444">
        <f t="shared" si="48"/>
        <v>0</v>
      </c>
      <c r="EH36" s="444">
        <f t="shared" si="48"/>
        <v>0.21428571428571427</v>
      </c>
      <c r="EI36" s="444">
        <f t="shared" si="48"/>
        <v>0</v>
      </c>
      <c r="EJ36" s="444">
        <f t="shared" si="48"/>
        <v>0</v>
      </c>
      <c r="EK36" s="444">
        <f t="shared" si="48"/>
        <v>3.5714285714285712E-2</v>
      </c>
      <c r="EL36" s="444">
        <f t="shared" si="48"/>
        <v>0</v>
      </c>
      <c r="EM36" s="95"/>
      <c r="EN36" s="444">
        <f>+EN35/31</f>
        <v>0</v>
      </c>
      <c r="EO36" s="444">
        <f t="shared" ref="EO36:EU36" si="49">+EO35/31</f>
        <v>0</v>
      </c>
      <c r="EP36" s="444">
        <f t="shared" si="49"/>
        <v>0</v>
      </c>
      <c r="EQ36" s="444">
        <f t="shared" si="49"/>
        <v>0</v>
      </c>
      <c r="ER36" s="444">
        <f t="shared" si="49"/>
        <v>0</v>
      </c>
      <c r="ES36" s="444">
        <f t="shared" si="49"/>
        <v>0</v>
      </c>
      <c r="ET36" s="444">
        <f t="shared" si="49"/>
        <v>9.6774193548387094E-2</v>
      </c>
      <c r="EU36" s="444">
        <f t="shared" si="49"/>
        <v>0</v>
      </c>
      <c r="EV36" s="95"/>
      <c r="EW36" s="444">
        <f>+EW35/30</f>
        <v>0</v>
      </c>
      <c r="EX36" s="444">
        <f t="shared" ref="EX36:FE36" si="50">+EX35/30</f>
        <v>0</v>
      </c>
      <c r="EY36" s="444">
        <f t="shared" si="50"/>
        <v>0</v>
      </c>
      <c r="EZ36" s="444">
        <f t="shared" si="50"/>
        <v>0</v>
      </c>
      <c r="FA36" s="444">
        <f t="shared" si="50"/>
        <v>0</v>
      </c>
      <c r="FB36" s="444">
        <f t="shared" si="50"/>
        <v>0</v>
      </c>
      <c r="FC36" s="444">
        <f t="shared" si="50"/>
        <v>0</v>
      </c>
      <c r="FD36" s="444">
        <f t="shared" si="50"/>
        <v>0</v>
      </c>
      <c r="FE36" s="444">
        <f t="shared" si="50"/>
        <v>0</v>
      </c>
    </row>
  </sheetData>
  <mergeCells count="19">
    <mergeCell ref="A1:C1"/>
    <mergeCell ref="D1:F1"/>
    <mergeCell ref="G1:I1"/>
    <mergeCell ref="N1:P1"/>
    <mergeCell ref="AL1:AN1"/>
    <mergeCell ref="V1:X1"/>
    <mergeCell ref="AD1:AF1"/>
    <mergeCell ref="EV1:FE1"/>
    <mergeCell ref="CP1:CY1"/>
    <mergeCell ref="AT1:AV1"/>
    <mergeCell ref="BB1:BK1"/>
    <mergeCell ref="BL1:BU1"/>
    <mergeCell ref="BV1:CE1"/>
    <mergeCell ref="CF1:CO1"/>
    <mergeCell ref="CZ1:DI1"/>
    <mergeCell ref="DJ1:DS1"/>
    <mergeCell ref="DT1:EC1"/>
    <mergeCell ref="ED1:EL1"/>
    <mergeCell ref="EM1:EU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00"/>
  </sheetPr>
  <dimension ref="B1:B5"/>
  <sheetViews>
    <sheetView workbookViewId="0">
      <selection activeCell="B12" sqref="B12"/>
    </sheetView>
  </sheetViews>
  <sheetFormatPr defaultRowHeight="14.5"/>
  <cols>
    <col min="2" max="2" width="35.453125" bestFit="1" customWidth="1"/>
  </cols>
  <sheetData>
    <row r="1" spans="2:2">
      <c r="B1" s="9" t="s">
        <v>894</v>
      </c>
    </row>
    <row r="2" spans="2:2">
      <c r="B2" t="s">
        <v>895</v>
      </c>
    </row>
    <row r="3" spans="2:2">
      <c r="B3" t="s">
        <v>896</v>
      </c>
    </row>
    <row r="4" spans="2:2">
      <c r="B4" t="s">
        <v>979</v>
      </c>
    </row>
    <row r="5" spans="2:2">
      <c r="B5" t="s">
        <v>1304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66FF"/>
  </sheetPr>
  <dimension ref="A1:I78"/>
  <sheetViews>
    <sheetView workbookViewId="0">
      <pane ySplit="1" topLeftCell="A59" activePane="bottomLeft" state="frozen"/>
      <selection pane="bottomLeft" activeCell="D79" sqref="D79"/>
    </sheetView>
  </sheetViews>
  <sheetFormatPr defaultRowHeight="14.5"/>
  <cols>
    <col min="1" max="1" width="2.54296875" style="180" customWidth="1"/>
    <col min="2" max="2" width="9.54296875" customWidth="1"/>
    <col min="3" max="3" width="10.7265625" style="62" bestFit="1" customWidth="1"/>
    <col min="4" max="4" width="6.54296875" style="119" customWidth="1"/>
    <col min="5" max="5" width="2.54296875" style="180" customWidth="1"/>
    <col min="6" max="6" width="13.453125" style="53" customWidth="1"/>
    <col min="7" max="7" width="9.1796875" style="6" customWidth="1"/>
    <col min="8" max="8" width="8.453125" style="8" customWidth="1"/>
    <col min="9" max="9" width="46.1796875" style="171" customWidth="1"/>
    <col min="10" max="10" width="7.1796875" customWidth="1"/>
  </cols>
  <sheetData>
    <row r="1" spans="1:9">
      <c r="A1" s="179"/>
      <c r="B1" s="240" t="s">
        <v>286</v>
      </c>
      <c r="C1" s="78" t="s">
        <v>5</v>
      </c>
      <c r="D1" s="176" t="s">
        <v>321</v>
      </c>
      <c r="E1" s="179"/>
    </row>
    <row r="2" spans="1:9">
      <c r="B2" s="172" t="s">
        <v>320</v>
      </c>
      <c r="C2" s="173"/>
    </row>
    <row r="3" spans="1:9">
      <c r="B3" s="172" t="s">
        <v>319</v>
      </c>
      <c r="C3" s="173">
        <v>300</v>
      </c>
    </row>
    <row r="4" spans="1:9">
      <c r="B4" s="172" t="s">
        <v>287</v>
      </c>
      <c r="C4" s="173">
        <v>300</v>
      </c>
    </row>
    <row r="5" spans="1:9">
      <c r="A5" s="181"/>
      <c r="E5" s="181"/>
      <c r="F5" s="62"/>
    </row>
    <row r="6" spans="1:9">
      <c r="B6" s="174" t="s">
        <v>293</v>
      </c>
      <c r="C6" s="175">
        <v>50</v>
      </c>
      <c r="D6" s="119" t="s">
        <v>846</v>
      </c>
    </row>
    <row r="7" spans="1:9">
      <c r="B7" s="174" t="s">
        <v>294</v>
      </c>
      <c r="C7" s="175">
        <v>50</v>
      </c>
      <c r="D7" s="119" t="s">
        <v>846</v>
      </c>
    </row>
    <row r="8" spans="1:9">
      <c r="B8" t="s">
        <v>322</v>
      </c>
      <c r="C8" s="62">
        <v>250</v>
      </c>
      <c r="D8" s="119" t="s">
        <v>846</v>
      </c>
    </row>
    <row r="10" spans="1:9">
      <c r="B10" s="207" t="s">
        <v>343</v>
      </c>
    </row>
    <row r="11" spans="1:9">
      <c r="B11" s="206">
        <v>45302</v>
      </c>
      <c r="C11" s="62">
        <v>250</v>
      </c>
      <c r="D11" s="119" t="s">
        <v>846</v>
      </c>
    </row>
    <row r="12" spans="1:9">
      <c r="A12" s="181"/>
      <c r="B12" s="206">
        <v>45307</v>
      </c>
      <c r="C12" s="62">
        <v>250</v>
      </c>
      <c r="D12" s="119" t="s">
        <v>846</v>
      </c>
      <c r="E12" s="181"/>
      <c r="F12" s="62"/>
    </row>
    <row r="13" spans="1:9">
      <c r="A13" s="182"/>
      <c r="B13" s="206">
        <v>45309</v>
      </c>
      <c r="C13" s="62">
        <v>250</v>
      </c>
      <c r="D13" s="119" t="s">
        <v>846</v>
      </c>
      <c r="E13" s="182"/>
      <c r="F13" s="176"/>
    </row>
    <row r="15" spans="1:9">
      <c r="B15" s="207" t="s">
        <v>325</v>
      </c>
    </row>
    <row r="16" spans="1:9">
      <c r="B16" s="206">
        <v>45313</v>
      </c>
      <c r="C16" s="62">
        <v>125</v>
      </c>
      <c r="D16" s="119" t="s">
        <v>846</v>
      </c>
      <c r="F16" s="320"/>
      <c r="G16" s="266" t="s">
        <v>266</v>
      </c>
      <c r="H16" s="627" t="s">
        <v>827</v>
      </c>
      <c r="I16" s="266" t="s">
        <v>670</v>
      </c>
    </row>
    <row r="17" spans="1:9" ht="26.5">
      <c r="B17" s="206">
        <v>45314</v>
      </c>
      <c r="C17" s="62">
        <v>250</v>
      </c>
      <c r="D17" s="119" t="s">
        <v>846</v>
      </c>
      <c r="F17" s="320"/>
      <c r="G17" s="849" t="s">
        <v>458</v>
      </c>
      <c r="H17" s="1092" t="s">
        <v>1288</v>
      </c>
      <c r="I17" s="706" t="s">
        <v>1320</v>
      </c>
    </row>
    <row r="18" spans="1:9" ht="26.5">
      <c r="B18" s="206">
        <v>45316</v>
      </c>
      <c r="C18" s="62">
        <v>250</v>
      </c>
      <c r="D18" s="119" t="s">
        <v>846</v>
      </c>
      <c r="F18" s="320"/>
      <c r="G18" s="267" t="s">
        <v>459</v>
      </c>
      <c r="H18" s="850" t="s">
        <v>136</v>
      </c>
      <c r="I18" s="706" t="s">
        <v>1319</v>
      </c>
    </row>
    <row r="19" spans="1:9">
      <c r="B19" s="206">
        <v>45321</v>
      </c>
      <c r="C19" s="62">
        <v>250</v>
      </c>
      <c r="D19" s="119" t="s">
        <v>846</v>
      </c>
      <c r="F19" s="320"/>
      <c r="G19" s="267" t="s">
        <v>460</v>
      </c>
      <c r="H19" s="1075"/>
      <c r="I19" s="706"/>
    </row>
    <row r="20" spans="1:9">
      <c r="B20" s="328"/>
      <c r="C20" s="111">
        <f>SUM(C16:C19)</f>
        <v>875</v>
      </c>
      <c r="D20" s="329"/>
      <c r="F20" s="320"/>
      <c r="G20" s="267" t="s">
        <v>461</v>
      </c>
      <c r="H20" s="1092"/>
      <c r="I20" s="287"/>
    </row>
    <row r="21" spans="1:9">
      <c r="B21" s="206">
        <v>45323</v>
      </c>
      <c r="C21" s="62">
        <v>250</v>
      </c>
      <c r="D21" s="119" t="s">
        <v>846</v>
      </c>
      <c r="F21" s="320"/>
      <c r="G21" s="851" t="s">
        <v>462</v>
      </c>
      <c r="H21" s="852" t="s">
        <v>1327</v>
      </c>
      <c r="I21" s="706" t="s">
        <v>1328</v>
      </c>
    </row>
    <row r="22" spans="1:9">
      <c r="A22" s="181"/>
      <c r="B22" s="206">
        <v>45328</v>
      </c>
      <c r="C22" s="62">
        <v>250</v>
      </c>
      <c r="D22" s="119" t="s">
        <v>846</v>
      </c>
      <c r="E22" s="181"/>
      <c r="F22" s="270"/>
      <c r="G22" s="334" t="s">
        <v>1315</v>
      </c>
      <c r="H22" s="296" t="s">
        <v>37</v>
      </c>
      <c r="I22" s="287" t="s">
        <v>1329</v>
      </c>
    </row>
    <row r="23" spans="1:9">
      <c r="B23" s="206">
        <v>45331</v>
      </c>
      <c r="C23" s="62">
        <v>250</v>
      </c>
      <c r="D23" s="119" t="s">
        <v>846</v>
      </c>
      <c r="F23" s="320"/>
      <c r="G23" s="334" t="s">
        <v>1316</v>
      </c>
      <c r="H23" s="296"/>
      <c r="I23" s="287"/>
    </row>
    <row r="24" spans="1:9">
      <c r="B24" s="206">
        <v>45334</v>
      </c>
      <c r="C24" s="62">
        <v>250</v>
      </c>
      <c r="D24" s="119" t="s">
        <v>846</v>
      </c>
      <c r="F24" s="321"/>
      <c r="G24" s="14"/>
      <c r="H24" s="168"/>
    </row>
    <row r="25" spans="1:9">
      <c r="B25" s="206">
        <v>45335</v>
      </c>
      <c r="C25" s="62">
        <v>250</v>
      </c>
      <c r="D25" s="119" t="s">
        <v>846</v>
      </c>
      <c r="F25" s="320"/>
      <c r="G25" s="246" t="s">
        <v>325</v>
      </c>
      <c r="H25" s="627" t="s">
        <v>827</v>
      </c>
      <c r="I25" s="266"/>
    </row>
    <row r="26" spans="1:9">
      <c r="B26" s="206">
        <v>45338</v>
      </c>
      <c r="C26" s="62">
        <v>250</v>
      </c>
      <c r="D26" s="119" t="s">
        <v>846</v>
      </c>
      <c r="F26" s="320"/>
      <c r="G26" s="849" t="s">
        <v>458</v>
      </c>
      <c r="H26" s="850" t="s">
        <v>129</v>
      </c>
      <c r="I26" s="1074" t="s">
        <v>1317</v>
      </c>
    </row>
    <row r="27" spans="1:9">
      <c r="B27" s="206">
        <v>45342</v>
      </c>
      <c r="C27" s="62">
        <v>250</v>
      </c>
      <c r="D27" s="119" t="s">
        <v>846</v>
      </c>
      <c r="F27" s="320"/>
      <c r="G27" s="267" t="s">
        <v>459</v>
      </c>
      <c r="H27" s="268" t="s">
        <v>129</v>
      </c>
      <c r="I27" s="706" t="s">
        <v>1318</v>
      </c>
    </row>
    <row r="28" spans="1:9">
      <c r="B28" s="206">
        <v>45345</v>
      </c>
      <c r="C28" s="62">
        <v>250</v>
      </c>
      <c r="D28" s="119" t="s">
        <v>846</v>
      </c>
      <c r="F28" s="320"/>
      <c r="G28" s="267" t="s">
        <v>460</v>
      </c>
      <c r="H28" s="268"/>
      <c r="I28" s="287"/>
    </row>
    <row r="29" spans="1:9">
      <c r="B29" s="206">
        <v>45348</v>
      </c>
      <c r="C29" s="62">
        <v>250</v>
      </c>
      <c r="D29" s="119" t="s">
        <v>846</v>
      </c>
      <c r="F29" s="320"/>
      <c r="G29" s="267" t="s">
        <v>461</v>
      </c>
      <c r="H29" s="268" t="s">
        <v>129</v>
      </c>
      <c r="I29" s="706" t="s">
        <v>1323</v>
      </c>
    </row>
    <row r="30" spans="1:9">
      <c r="B30" s="206">
        <v>45349</v>
      </c>
      <c r="C30" s="62">
        <v>250</v>
      </c>
      <c r="D30" s="119" t="s">
        <v>846</v>
      </c>
      <c r="F30" s="320"/>
      <c r="G30" s="851" t="s">
        <v>462</v>
      </c>
      <c r="H30" s="296" t="s">
        <v>129</v>
      </c>
      <c r="I30" s="287" t="s">
        <v>1324</v>
      </c>
    </row>
    <row r="31" spans="1:9">
      <c r="B31" s="206">
        <v>45351</v>
      </c>
      <c r="C31" s="62">
        <v>250</v>
      </c>
      <c r="D31" s="119" t="s">
        <v>846</v>
      </c>
      <c r="F31" s="320"/>
      <c r="G31" s="334" t="s">
        <v>1315</v>
      </c>
      <c r="H31" s="296" t="s">
        <v>129</v>
      </c>
      <c r="I31" s="287" t="s">
        <v>1325</v>
      </c>
    </row>
    <row r="32" spans="1:9">
      <c r="B32" s="35"/>
      <c r="C32" s="111">
        <f>SUM(C21:C31)</f>
        <v>2750</v>
      </c>
      <c r="D32" s="329"/>
      <c r="F32" s="320"/>
      <c r="G32" s="334" t="s">
        <v>1316</v>
      </c>
      <c r="H32" s="296" t="s">
        <v>129</v>
      </c>
      <c r="I32" s="287" t="s">
        <v>1326</v>
      </c>
    </row>
    <row r="33" spans="2:9">
      <c r="B33" s="206">
        <v>45356</v>
      </c>
      <c r="C33" s="62">
        <v>250</v>
      </c>
      <c r="D33" s="119" t="s">
        <v>846</v>
      </c>
      <c r="G33" s="14"/>
      <c r="H33" s="168"/>
    </row>
    <row r="34" spans="2:9">
      <c r="B34" s="206">
        <v>45358</v>
      </c>
      <c r="C34" s="62">
        <v>250</v>
      </c>
      <c r="D34" s="119" t="s">
        <v>846</v>
      </c>
      <c r="F34" s="320"/>
      <c r="G34" s="246" t="s">
        <v>450</v>
      </c>
      <c r="H34" s="627" t="s">
        <v>827</v>
      </c>
      <c r="I34" s="266"/>
    </row>
    <row r="35" spans="2:9">
      <c r="B35" s="206">
        <v>45363</v>
      </c>
      <c r="C35" s="62">
        <v>250</v>
      </c>
      <c r="D35" s="119" t="s">
        <v>846</v>
      </c>
      <c r="F35" s="320"/>
      <c r="G35" s="849" t="s">
        <v>458</v>
      </c>
      <c r="H35" s="853"/>
      <c r="I35" s="854"/>
    </row>
    <row r="36" spans="2:9" ht="26.5">
      <c r="B36" s="206">
        <v>45366</v>
      </c>
      <c r="C36" s="62">
        <v>250</v>
      </c>
      <c r="D36" s="119" t="s">
        <v>610</v>
      </c>
      <c r="G36" s="267" t="s">
        <v>459</v>
      </c>
      <c r="H36" s="850" t="s">
        <v>978</v>
      </c>
      <c r="I36" s="706" t="s">
        <v>1322</v>
      </c>
    </row>
    <row r="37" spans="2:9">
      <c r="B37" s="206">
        <v>45370</v>
      </c>
      <c r="C37" s="62">
        <v>250</v>
      </c>
      <c r="D37" s="119" t="s">
        <v>846</v>
      </c>
      <c r="G37" s="267" t="s">
        <v>460</v>
      </c>
      <c r="H37" s="850" t="s">
        <v>786</v>
      </c>
      <c r="I37" s="706" t="s">
        <v>1321</v>
      </c>
    </row>
    <row r="38" spans="2:9">
      <c r="B38" s="206">
        <v>45372</v>
      </c>
      <c r="C38" s="62">
        <v>500</v>
      </c>
      <c r="D38" s="119" t="s">
        <v>846</v>
      </c>
      <c r="G38" s="267" t="s">
        <v>461</v>
      </c>
      <c r="H38" s="268"/>
      <c r="I38" s="287"/>
    </row>
    <row r="39" spans="2:9">
      <c r="B39" s="206">
        <v>45377</v>
      </c>
      <c r="C39" s="62">
        <v>250</v>
      </c>
      <c r="D39" s="119" t="s">
        <v>846</v>
      </c>
      <c r="G39" s="851" t="s">
        <v>462</v>
      </c>
      <c r="H39" s="296"/>
      <c r="I39" s="287"/>
    </row>
    <row r="40" spans="2:9">
      <c r="B40" s="206">
        <v>45379</v>
      </c>
      <c r="C40" s="62">
        <v>250</v>
      </c>
      <c r="D40" s="119" t="s">
        <v>846</v>
      </c>
      <c r="G40" s="334" t="s">
        <v>1315</v>
      </c>
      <c r="H40" s="296"/>
      <c r="I40" s="287"/>
    </row>
    <row r="41" spans="2:9">
      <c r="B41" s="35"/>
      <c r="C41" s="111">
        <f>SUM(C33:C40)</f>
        <v>2250</v>
      </c>
      <c r="D41" s="329"/>
      <c r="G41" s="334" t="s">
        <v>1316</v>
      </c>
      <c r="H41" s="296"/>
      <c r="I41" s="287"/>
    </row>
    <row r="42" spans="2:9">
      <c r="B42" s="206">
        <v>45384</v>
      </c>
      <c r="C42" s="62">
        <v>250</v>
      </c>
      <c r="D42" s="119" t="s">
        <v>846</v>
      </c>
    </row>
    <row r="43" spans="2:9">
      <c r="B43" s="206">
        <v>45387</v>
      </c>
      <c r="C43" s="62">
        <v>250</v>
      </c>
      <c r="D43" s="119" t="s">
        <v>846</v>
      </c>
    </row>
    <row r="44" spans="2:9">
      <c r="B44" s="206">
        <v>45391</v>
      </c>
      <c r="C44" s="62">
        <v>250</v>
      </c>
      <c r="D44" s="119" t="s">
        <v>846</v>
      </c>
    </row>
    <row r="45" spans="2:9">
      <c r="B45" s="206">
        <v>45392</v>
      </c>
      <c r="C45" s="62">
        <v>250</v>
      </c>
      <c r="D45" s="119" t="s">
        <v>846</v>
      </c>
    </row>
    <row r="46" spans="2:9">
      <c r="B46" s="206">
        <v>45398</v>
      </c>
      <c r="C46" s="62">
        <v>250</v>
      </c>
      <c r="D46" s="119" t="s">
        <v>846</v>
      </c>
    </row>
    <row r="47" spans="2:9">
      <c r="B47" s="206">
        <v>45400</v>
      </c>
      <c r="C47" s="62">
        <v>250</v>
      </c>
      <c r="D47" s="119" t="s">
        <v>610</v>
      </c>
    </row>
    <row r="48" spans="2:9">
      <c r="B48" s="206">
        <v>45405</v>
      </c>
      <c r="C48" s="62">
        <v>250</v>
      </c>
      <c r="D48" s="119" t="s">
        <v>846</v>
      </c>
    </row>
    <row r="49" spans="2:4">
      <c r="B49" s="206">
        <v>45407</v>
      </c>
      <c r="C49" s="62">
        <v>250</v>
      </c>
      <c r="D49" s="119" t="s">
        <v>846</v>
      </c>
    </row>
    <row r="50" spans="2:4">
      <c r="B50" s="206">
        <v>45411</v>
      </c>
      <c r="C50" s="62">
        <v>250</v>
      </c>
      <c r="D50" s="119" t="s">
        <v>610</v>
      </c>
    </row>
    <row r="51" spans="2:4">
      <c r="B51" s="35"/>
      <c r="C51" s="111">
        <f>SUM(C42:C50)</f>
        <v>2250</v>
      </c>
      <c r="D51" s="329"/>
    </row>
    <row r="52" spans="2:4">
      <c r="B52" s="206">
        <v>45415</v>
      </c>
      <c r="C52" s="62">
        <v>250</v>
      </c>
      <c r="D52" s="119" t="s">
        <v>610</v>
      </c>
    </row>
    <row r="53" spans="2:4">
      <c r="B53" s="206">
        <v>45419</v>
      </c>
      <c r="C53" s="62">
        <v>250</v>
      </c>
      <c r="D53" s="119" t="s">
        <v>610</v>
      </c>
    </row>
    <row r="54" spans="2:4">
      <c r="B54" s="206">
        <v>45422</v>
      </c>
      <c r="C54" s="62">
        <v>250</v>
      </c>
      <c r="D54" s="119" t="s">
        <v>610</v>
      </c>
    </row>
    <row r="55" spans="2:4">
      <c r="B55" s="206">
        <v>45426</v>
      </c>
      <c r="C55" s="62">
        <v>250</v>
      </c>
      <c r="D55" s="119" t="s">
        <v>610</v>
      </c>
    </row>
    <row r="56" spans="2:4">
      <c r="B56" s="206">
        <v>45428</v>
      </c>
      <c r="C56" s="62">
        <v>250</v>
      </c>
      <c r="D56" s="119" t="s">
        <v>610</v>
      </c>
    </row>
    <row r="57" spans="2:4">
      <c r="B57" s="206">
        <v>45433</v>
      </c>
      <c r="C57" s="62">
        <v>250</v>
      </c>
      <c r="D57" s="119" t="s">
        <v>610</v>
      </c>
    </row>
    <row r="58" spans="2:4">
      <c r="B58" s="206">
        <v>45435</v>
      </c>
      <c r="C58" s="62">
        <v>250</v>
      </c>
      <c r="D58" s="119" t="s">
        <v>610</v>
      </c>
    </row>
    <row r="59" spans="2:4">
      <c r="B59" s="206">
        <v>45440</v>
      </c>
      <c r="C59" s="62">
        <v>250</v>
      </c>
      <c r="D59" s="119" t="s">
        <v>610</v>
      </c>
    </row>
    <row r="60" spans="2:4">
      <c r="B60" s="206">
        <v>45442</v>
      </c>
      <c r="C60" s="62">
        <v>250</v>
      </c>
      <c r="D60" s="119" t="s">
        <v>610</v>
      </c>
    </row>
    <row r="61" spans="2:4">
      <c r="B61" s="35"/>
      <c r="C61" s="111">
        <f>SUM(C52:C60)</f>
        <v>2250</v>
      </c>
      <c r="D61" s="329"/>
    </row>
    <row r="62" spans="2:4">
      <c r="B62" s="742">
        <v>45447</v>
      </c>
      <c r="C62" s="318">
        <v>250</v>
      </c>
      <c r="D62" s="743" t="s">
        <v>846</v>
      </c>
    </row>
    <row r="63" spans="2:4">
      <c r="B63" s="744">
        <v>45449</v>
      </c>
      <c r="C63" s="62">
        <v>250</v>
      </c>
      <c r="D63" s="745" t="s">
        <v>846</v>
      </c>
    </row>
    <row r="64" spans="2:4">
      <c r="B64" s="744">
        <v>45454</v>
      </c>
      <c r="C64" s="62">
        <v>250</v>
      </c>
      <c r="D64" s="745" t="s">
        <v>846</v>
      </c>
    </row>
    <row r="65" spans="2:4">
      <c r="B65" s="744">
        <v>45456</v>
      </c>
      <c r="C65" s="62">
        <v>250</v>
      </c>
      <c r="D65" s="745" t="s">
        <v>846</v>
      </c>
    </row>
    <row r="66" spans="2:4">
      <c r="B66" s="744">
        <v>45461</v>
      </c>
      <c r="C66" s="62">
        <v>250</v>
      </c>
      <c r="D66" s="745" t="s">
        <v>610</v>
      </c>
    </row>
    <row r="67" spans="2:4">
      <c r="B67" s="744">
        <v>45463</v>
      </c>
      <c r="C67" s="62">
        <v>250</v>
      </c>
      <c r="D67" s="745" t="s">
        <v>846</v>
      </c>
    </row>
    <row r="68" spans="2:4">
      <c r="B68" s="744">
        <v>45468</v>
      </c>
      <c r="C68" s="62">
        <v>250</v>
      </c>
      <c r="D68" s="745" t="s">
        <v>846</v>
      </c>
    </row>
    <row r="69" spans="2:4">
      <c r="B69" s="744">
        <v>45471</v>
      </c>
      <c r="C69" s="62">
        <v>250</v>
      </c>
      <c r="D69" s="745" t="s">
        <v>846</v>
      </c>
    </row>
    <row r="70" spans="2:4">
      <c r="B70" s="35"/>
      <c r="C70" s="111">
        <f>SUM(C62:C69)</f>
        <v>2000</v>
      </c>
      <c r="D70" s="329"/>
    </row>
    <row r="71" spans="2:4">
      <c r="B71" s="742">
        <v>45475</v>
      </c>
      <c r="C71" s="318">
        <v>250</v>
      </c>
      <c r="D71" s="743" t="s">
        <v>610</v>
      </c>
    </row>
    <row r="72" spans="2:4">
      <c r="B72" s="744">
        <v>45482</v>
      </c>
      <c r="C72" s="62">
        <v>250</v>
      </c>
      <c r="D72" s="745" t="s">
        <v>846</v>
      </c>
    </row>
    <row r="73" spans="2:4">
      <c r="B73" s="744">
        <v>45489</v>
      </c>
      <c r="C73" s="62">
        <v>250</v>
      </c>
      <c r="D73" s="745" t="s">
        <v>846</v>
      </c>
    </row>
    <row r="74" spans="2:4">
      <c r="B74" s="744">
        <v>45496</v>
      </c>
      <c r="C74" s="62">
        <v>250</v>
      </c>
      <c r="D74" s="745" t="s">
        <v>846</v>
      </c>
    </row>
    <row r="75" spans="2:4">
      <c r="B75" s="35"/>
      <c r="C75" s="111">
        <f>SUM(C71:C74)</f>
        <v>1000</v>
      </c>
      <c r="D75" s="329"/>
    </row>
    <row r="76" spans="2:4">
      <c r="B76" s="206">
        <v>45505</v>
      </c>
      <c r="C76" s="62">
        <v>250</v>
      </c>
      <c r="D76" s="119" t="s">
        <v>610</v>
      </c>
    </row>
    <row r="77" spans="2:4">
      <c r="B77" s="206">
        <v>45510</v>
      </c>
      <c r="C77" s="62">
        <v>250</v>
      </c>
      <c r="D77" s="745" t="s">
        <v>1289</v>
      </c>
    </row>
    <row r="78" spans="2:4">
      <c r="B78" s="206">
        <v>45517</v>
      </c>
      <c r="C78" s="62">
        <v>250</v>
      </c>
      <c r="D78" s="119" t="s">
        <v>610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2060"/>
  </sheetPr>
  <dimension ref="A1:P24"/>
  <sheetViews>
    <sheetView workbookViewId="0">
      <selection activeCell="F25" sqref="F25"/>
    </sheetView>
  </sheetViews>
  <sheetFormatPr defaultRowHeight="14.5"/>
  <cols>
    <col min="1" max="1" width="11.453125" bestFit="1" customWidth="1"/>
    <col min="2" max="2" width="12" customWidth="1"/>
    <col min="3" max="3" width="5.81640625" bestFit="1" customWidth="1"/>
    <col min="4" max="4" width="6.1796875" bestFit="1" customWidth="1"/>
    <col min="6" max="6" width="10" bestFit="1" customWidth="1"/>
    <col min="7" max="7" width="9.81640625" bestFit="1" customWidth="1"/>
    <col min="8" max="8" width="8.1796875" bestFit="1" customWidth="1"/>
    <col min="9" max="9" width="7.54296875" style="600" bestFit="1" customWidth="1"/>
    <col min="10" max="10" width="6.7265625" style="600" bestFit="1" customWidth="1"/>
    <col min="11" max="11" width="5.453125" style="600" bestFit="1" customWidth="1"/>
    <col min="12" max="12" width="4.7265625" bestFit="1" customWidth="1"/>
    <col min="13" max="14" width="5.26953125" bestFit="1" customWidth="1"/>
    <col min="15" max="15" width="4.81640625" customWidth="1"/>
    <col min="16" max="16" width="48" style="364" customWidth="1"/>
  </cols>
  <sheetData>
    <row r="1" spans="1:16">
      <c r="B1" s="335"/>
      <c r="E1" s="341" t="s">
        <v>607</v>
      </c>
      <c r="F1" s="344" t="s">
        <v>606</v>
      </c>
      <c r="G1" s="347" t="s">
        <v>471</v>
      </c>
      <c r="H1" s="607" t="s">
        <v>797</v>
      </c>
      <c r="I1" s="608" t="s">
        <v>797</v>
      </c>
      <c r="J1" s="608" t="s">
        <v>801</v>
      </c>
      <c r="K1" s="608" t="s">
        <v>903</v>
      </c>
      <c r="L1" s="603"/>
      <c r="M1" s="603"/>
      <c r="N1" s="603"/>
      <c r="O1" s="603"/>
      <c r="P1" s="365"/>
    </row>
    <row r="2" spans="1:16">
      <c r="B2" s="335"/>
      <c r="E2" s="342"/>
      <c r="F2" s="345"/>
      <c r="G2" s="348"/>
      <c r="H2" s="609" t="s">
        <v>795</v>
      </c>
      <c r="I2" s="610" t="s">
        <v>798</v>
      </c>
      <c r="J2" s="610" t="s">
        <v>802</v>
      </c>
      <c r="K2" s="610" t="s">
        <v>804</v>
      </c>
      <c r="L2" s="604" t="s">
        <v>817</v>
      </c>
      <c r="M2" s="604" t="s">
        <v>818</v>
      </c>
      <c r="N2" s="604" t="s">
        <v>211</v>
      </c>
      <c r="O2" s="604" t="s">
        <v>830</v>
      </c>
      <c r="P2" s="365"/>
    </row>
    <row r="3" spans="1:16">
      <c r="E3" s="343"/>
      <c r="F3" s="346"/>
      <c r="G3" s="349"/>
      <c r="H3" s="611" t="s">
        <v>796</v>
      </c>
      <c r="I3" s="612" t="s">
        <v>799</v>
      </c>
      <c r="J3" s="612" t="s">
        <v>803</v>
      </c>
      <c r="K3" s="612" t="s">
        <v>805</v>
      </c>
      <c r="L3" s="605" t="s">
        <v>812</v>
      </c>
      <c r="M3" s="605" t="s">
        <v>819</v>
      </c>
      <c r="N3" s="605" t="s">
        <v>816</v>
      </c>
      <c r="O3" s="605" t="s">
        <v>831</v>
      </c>
      <c r="P3" s="365"/>
    </row>
    <row r="4" spans="1:16">
      <c r="A4" s="360" t="s">
        <v>639</v>
      </c>
      <c r="B4" s="337" t="s">
        <v>609</v>
      </c>
      <c r="C4" s="337" t="s">
        <v>829</v>
      </c>
      <c r="D4" s="337" t="s">
        <v>637</v>
      </c>
      <c r="E4" s="338">
        <v>1300</v>
      </c>
      <c r="F4" s="338">
        <v>850</v>
      </c>
      <c r="G4" s="338">
        <v>800</v>
      </c>
      <c r="H4" s="338">
        <v>750</v>
      </c>
      <c r="I4" s="599">
        <v>1</v>
      </c>
      <c r="J4" s="599">
        <v>1</v>
      </c>
      <c r="K4" s="599">
        <v>1</v>
      </c>
      <c r="L4" s="606" t="s">
        <v>638</v>
      </c>
      <c r="M4" s="606" t="s">
        <v>638</v>
      </c>
      <c r="N4" s="606" t="s">
        <v>638</v>
      </c>
      <c r="O4" s="606" t="s">
        <v>638</v>
      </c>
      <c r="P4" s="366"/>
    </row>
    <row r="5" spans="1:16">
      <c r="B5" s="350" t="s">
        <v>467</v>
      </c>
      <c r="C5" s="350" t="s">
        <v>829</v>
      </c>
      <c r="D5" s="351">
        <v>0.17</v>
      </c>
      <c r="E5" s="355">
        <v>1522</v>
      </c>
      <c r="F5" s="355">
        <v>995</v>
      </c>
      <c r="G5" s="357">
        <v>936</v>
      </c>
      <c r="H5" s="336"/>
      <c r="I5" s="598"/>
      <c r="J5" s="598"/>
      <c r="K5" s="598"/>
      <c r="L5" s="356"/>
      <c r="M5" s="356"/>
      <c r="N5" s="356"/>
      <c r="O5" s="356"/>
      <c r="P5" s="366"/>
    </row>
    <row r="6" spans="1:16">
      <c r="B6" s="352" t="s">
        <v>468</v>
      </c>
      <c r="C6" s="352" t="s">
        <v>829</v>
      </c>
      <c r="D6" s="353">
        <v>0.17</v>
      </c>
      <c r="E6" s="340">
        <v>1522</v>
      </c>
      <c r="F6" s="340">
        <v>994.5</v>
      </c>
      <c r="G6" s="358">
        <v>936</v>
      </c>
      <c r="H6" s="336"/>
      <c r="I6" s="598"/>
      <c r="J6" s="598"/>
      <c r="K6" s="598"/>
      <c r="L6" s="356"/>
      <c r="M6" s="356"/>
      <c r="N6" s="356"/>
      <c r="O6" s="356"/>
      <c r="P6" s="366"/>
    </row>
    <row r="7" spans="1:16" s="53" customFormat="1" ht="8.25" customHeight="1">
      <c r="A7" s="107"/>
      <c r="B7" s="335"/>
      <c r="C7" s="335"/>
      <c r="D7" s="335"/>
      <c r="E7" s="336"/>
      <c r="F7" s="336"/>
      <c r="G7" s="336"/>
      <c r="H7" s="336"/>
      <c r="I7" s="598"/>
      <c r="J7" s="598"/>
      <c r="K7" s="598"/>
      <c r="L7" s="356"/>
      <c r="M7" s="356"/>
      <c r="N7" s="356"/>
      <c r="O7" s="356"/>
      <c r="P7" s="366"/>
    </row>
    <row r="8" spans="1:16">
      <c r="A8" s="601" t="s">
        <v>800</v>
      </c>
      <c r="B8" s="337" t="s">
        <v>609</v>
      </c>
      <c r="C8" s="337"/>
      <c r="D8" s="337" t="s">
        <v>637</v>
      </c>
      <c r="E8" s="339">
        <v>2800</v>
      </c>
      <c r="F8" s="339">
        <v>1600</v>
      </c>
      <c r="G8" s="339">
        <v>1400</v>
      </c>
      <c r="H8" s="620">
        <v>1400</v>
      </c>
      <c r="I8" s="621"/>
      <c r="J8" s="621"/>
      <c r="K8" s="621"/>
      <c r="L8" s="544"/>
      <c r="M8" s="544" t="s">
        <v>638</v>
      </c>
      <c r="N8" s="544"/>
      <c r="O8" s="544" t="s">
        <v>638</v>
      </c>
      <c r="P8" s="366" t="s">
        <v>848</v>
      </c>
    </row>
    <row r="9" spans="1:16">
      <c r="B9" s="350" t="s">
        <v>467</v>
      </c>
      <c r="C9" s="350"/>
      <c r="D9" s="351">
        <v>0.17</v>
      </c>
      <c r="E9" s="339"/>
      <c r="F9" s="339"/>
      <c r="G9" s="339"/>
      <c r="H9" s="336"/>
      <c r="I9" s="598"/>
      <c r="J9" s="598"/>
      <c r="K9" s="598"/>
      <c r="L9" s="356"/>
      <c r="M9" s="356"/>
      <c r="N9" s="356"/>
      <c r="O9" s="356"/>
      <c r="P9" s="366"/>
    </row>
    <row r="10" spans="1:16">
      <c r="B10" s="352" t="s">
        <v>468</v>
      </c>
      <c r="C10" s="352"/>
      <c r="D10" s="353">
        <v>0.17</v>
      </c>
      <c r="E10" s="339"/>
      <c r="F10" s="339"/>
      <c r="G10" s="339"/>
      <c r="H10" s="336"/>
      <c r="I10" s="598"/>
      <c r="J10" s="598"/>
      <c r="K10" s="598"/>
      <c r="L10" s="356"/>
      <c r="M10" s="356"/>
      <c r="N10" s="356"/>
      <c r="O10" s="356"/>
      <c r="P10" s="366"/>
    </row>
    <row r="11" spans="1:16" s="53" customFormat="1" ht="8.25" customHeight="1">
      <c r="A11" s="107"/>
      <c r="B11" s="335"/>
      <c r="C11" s="335"/>
      <c r="D11" s="335"/>
      <c r="E11" s="336"/>
      <c r="F11" s="336"/>
      <c r="G11" s="336"/>
      <c r="H11" s="336"/>
      <c r="I11" s="598"/>
      <c r="J11" s="598"/>
      <c r="K11" s="598"/>
      <c r="L11" s="336"/>
      <c r="M11" s="336"/>
      <c r="N11" s="336"/>
      <c r="O11" s="336"/>
      <c r="P11" s="367"/>
    </row>
    <row r="12" spans="1:16">
      <c r="A12" s="648" t="s">
        <v>883</v>
      </c>
      <c r="B12" s="337" t="s">
        <v>609</v>
      </c>
      <c r="C12" s="337" t="s">
        <v>829</v>
      </c>
      <c r="D12" s="337" t="s">
        <v>637</v>
      </c>
      <c r="E12" s="339">
        <v>9500</v>
      </c>
      <c r="F12" s="339">
        <v>5000</v>
      </c>
      <c r="G12" s="339">
        <v>4000</v>
      </c>
      <c r="H12" s="620">
        <v>3000</v>
      </c>
      <c r="I12" s="621">
        <v>3</v>
      </c>
      <c r="J12" s="621">
        <v>2</v>
      </c>
      <c r="K12" s="621">
        <v>1</v>
      </c>
      <c r="L12" s="543"/>
      <c r="M12" s="543"/>
      <c r="N12" s="543"/>
      <c r="O12" s="543"/>
      <c r="P12" s="366"/>
    </row>
    <row r="13" spans="1:16">
      <c r="B13" s="350" t="s">
        <v>467</v>
      </c>
      <c r="C13" s="350"/>
      <c r="D13" s="351">
        <v>0.17</v>
      </c>
      <c r="E13" s="339"/>
      <c r="F13" s="339"/>
      <c r="G13" s="339"/>
      <c r="H13" s="336"/>
      <c r="I13" s="598"/>
      <c r="J13" s="598"/>
      <c r="K13" s="598"/>
      <c r="L13" s="356"/>
      <c r="M13" s="356"/>
      <c r="N13" s="356"/>
      <c r="O13" s="356"/>
      <c r="P13" s="366"/>
    </row>
    <row r="14" spans="1:16">
      <c r="B14" s="352" t="s">
        <v>468</v>
      </c>
      <c r="C14" s="352"/>
      <c r="D14" s="353">
        <v>0.17</v>
      </c>
      <c r="E14" s="339"/>
      <c r="F14" s="339"/>
      <c r="G14" s="339"/>
      <c r="H14" s="339"/>
      <c r="I14" s="602"/>
      <c r="J14" s="602"/>
      <c r="K14" s="602"/>
      <c r="L14" s="356"/>
      <c r="M14" s="356"/>
      <c r="N14" s="356"/>
      <c r="O14" s="356"/>
      <c r="P14" s="366"/>
    </row>
    <row r="15" spans="1:16" s="53" customFormat="1" ht="8.25" customHeight="1">
      <c r="A15" s="107"/>
      <c r="B15" s="335"/>
      <c r="C15" s="335"/>
      <c r="D15" s="335"/>
      <c r="E15" s="336"/>
      <c r="F15" s="336"/>
      <c r="G15" s="336"/>
      <c r="H15" s="336"/>
      <c r="I15" s="598"/>
      <c r="J15" s="598"/>
      <c r="K15" s="598"/>
      <c r="L15" s="336"/>
      <c r="M15" s="336"/>
      <c r="N15" s="336"/>
      <c r="O15" s="336"/>
      <c r="P15" s="367"/>
    </row>
    <row r="16" spans="1:16">
      <c r="A16" s="359" t="s">
        <v>469</v>
      </c>
      <c r="B16" s="616" t="s">
        <v>567</v>
      </c>
      <c r="C16" s="616"/>
      <c r="D16" s="616" t="s">
        <v>637</v>
      </c>
      <c r="E16" s="617">
        <v>28000</v>
      </c>
      <c r="F16" s="617">
        <v>12000</v>
      </c>
      <c r="G16" s="618">
        <v>8000</v>
      </c>
      <c r="H16" s="617">
        <v>8000</v>
      </c>
      <c r="I16" s="977">
        <v>2</v>
      </c>
      <c r="J16" s="619">
        <v>2</v>
      </c>
      <c r="K16" s="619">
        <v>2</v>
      </c>
      <c r="L16" s="544"/>
      <c r="M16" s="606" t="s">
        <v>820</v>
      </c>
      <c r="N16" s="544"/>
      <c r="O16" s="606" t="s">
        <v>638</v>
      </c>
      <c r="P16" s="366" t="s">
        <v>884</v>
      </c>
    </row>
    <row r="17" spans="2:16">
      <c r="B17" s="335"/>
      <c r="C17" s="335"/>
      <c r="D17" s="613"/>
      <c r="E17" s="615" t="s">
        <v>807</v>
      </c>
      <c r="F17" s="614" t="s">
        <v>809</v>
      </c>
      <c r="G17" s="615" t="s">
        <v>808</v>
      </c>
      <c r="H17" s="336"/>
      <c r="I17" s="598">
        <v>3</v>
      </c>
      <c r="K17" s="598" t="s">
        <v>1205</v>
      </c>
      <c r="L17" s="356"/>
      <c r="M17" s="356"/>
      <c r="N17" s="356"/>
      <c r="O17" s="356"/>
      <c r="P17" s="366"/>
    </row>
    <row r="18" spans="2:16">
      <c r="B18" s="335"/>
      <c r="C18" s="335"/>
      <c r="D18" s="613"/>
      <c r="E18" s="336"/>
      <c r="F18" s="615" t="s">
        <v>839</v>
      </c>
      <c r="G18" s="336"/>
      <c r="H18" s="336"/>
      <c r="I18" s="598">
        <v>4</v>
      </c>
      <c r="J18" s="598"/>
      <c r="K18" s="598" t="s">
        <v>1206</v>
      </c>
      <c r="L18" s="356"/>
      <c r="M18" s="356"/>
      <c r="N18" s="356"/>
      <c r="O18" s="356"/>
      <c r="P18" s="366"/>
    </row>
    <row r="19" spans="2:16">
      <c r="E19" s="617">
        <v>29750</v>
      </c>
      <c r="F19" s="617">
        <v>12750</v>
      </c>
      <c r="G19" s="54"/>
      <c r="H19" s="54"/>
      <c r="I19" s="598">
        <v>7</v>
      </c>
      <c r="J19" s="598"/>
      <c r="K19" s="598" t="s">
        <v>1207</v>
      </c>
    </row>
    <row r="20" spans="2:16">
      <c r="F20" t="s">
        <v>1208</v>
      </c>
    </row>
    <row r="21" spans="2:16">
      <c r="E21" t="s">
        <v>427</v>
      </c>
      <c r="F21" t="s">
        <v>1277</v>
      </c>
    </row>
    <row r="22" spans="2:16">
      <c r="F22" t="s">
        <v>1278</v>
      </c>
    </row>
    <row r="23" spans="2:16">
      <c r="F23" t="s">
        <v>1279</v>
      </c>
    </row>
    <row r="24" spans="2:16">
      <c r="F24" t="s">
        <v>1280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CB42"/>
  <sheetViews>
    <sheetView topLeftCell="AF1" workbookViewId="0">
      <pane ySplit="1" topLeftCell="A2" activePane="bottomLeft" state="frozen"/>
      <selection pane="bottomLeft" activeCell="AV16" sqref="AV16"/>
    </sheetView>
  </sheetViews>
  <sheetFormatPr defaultRowHeight="14.5"/>
  <cols>
    <col min="1" max="1" width="23.26953125" style="683" bestFit="1" customWidth="1"/>
    <col min="2" max="2" width="28.7265625" bestFit="1" customWidth="1"/>
    <col min="3" max="3" width="18.26953125" style="205" bestFit="1" customWidth="1"/>
    <col min="4" max="4" width="10.54296875" style="205" bestFit="1" customWidth="1"/>
    <col min="5" max="5" width="9.1796875" style="376" bestFit="1" customWidth="1"/>
    <col min="6" max="6" width="6.1796875" style="376" bestFit="1" customWidth="1"/>
    <col min="7" max="7" width="7.1796875" style="376" bestFit="1" customWidth="1"/>
    <col min="8" max="8" width="4.1796875" style="1" bestFit="1" customWidth="1"/>
    <col min="9" max="9" width="4.453125" style="1" bestFit="1" customWidth="1"/>
    <col min="10" max="10" width="5" style="1" bestFit="1" customWidth="1"/>
    <col min="11" max="11" width="14.7265625" style="376" bestFit="1" customWidth="1"/>
    <col min="12" max="13" width="6.7265625" style="376" bestFit="1" customWidth="1"/>
    <col min="14" max="14" width="3.54296875" style="682" bestFit="1" customWidth="1"/>
    <col min="15" max="15" width="4.1796875" style="682" bestFit="1" customWidth="1"/>
    <col min="16" max="16" width="3.26953125" style="682" bestFit="1" customWidth="1"/>
    <col min="17" max="17" width="4.54296875" style="682" customWidth="1"/>
    <col min="18" max="18" width="3.81640625" style="682" bestFit="1" customWidth="1"/>
    <col min="19" max="19" width="4.7265625" style="682" customWidth="1"/>
    <col min="20" max="20" width="3.81640625" style="682" customWidth="1"/>
    <col min="21" max="23" width="3.26953125" style="682" customWidth="1"/>
    <col min="24" max="24" width="4.1796875" style="682" bestFit="1" customWidth="1"/>
    <col min="25" max="25" width="4.54296875" style="682" customWidth="1"/>
    <col min="26" max="28" width="4.1796875" style="682" customWidth="1"/>
    <col min="29" max="29" width="4.81640625" style="682" customWidth="1"/>
    <col min="30" max="30" width="4.1796875" style="682" customWidth="1"/>
    <col min="31" max="35" width="4.1796875" style="684" customWidth="1"/>
    <col min="36" max="36" width="4.81640625" style="684" customWidth="1"/>
    <col min="37" max="37" width="4.54296875" style="684" customWidth="1"/>
    <col min="38" max="38" width="6.1796875" style="376" customWidth="1"/>
    <col min="39" max="39" width="9.1796875" style="376"/>
    <col min="40" max="40" width="10.1796875" style="1" bestFit="1" customWidth="1"/>
    <col min="41" max="41" width="10.453125" style="205" bestFit="1" customWidth="1"/>
    <col min="42" max="42" width="11.7265625" style="205" bestFit="1" customWidth="1"/>
    <col min="43" max="43" width="10.54296875" style="1" customWidth="1"/>
    <col min="44" max="44" width="23.26953125" style="683" bestFit="1" customWidth="1"/>
    <col min="45" max="45" width="10.54296875" style="1" bestFit="1" customWidth="1"/>
    <col min="47" max="47" width="10.81640625" customWidth="1"/>
    <col min="48" max="48" width="10.54296875" bestFit="1" customWidth="1"/>
    <col min="49" max="49" width="5.54296875" style="376" customWidth="1"/>
    <col min="50" max="50" width="4.26953125" style="376" bestFit="1" customWidth="1"/>
    <col min="51" max="51" width="4.1796875" style="376" bestFit="1" customWidth="1"/>
    <col min="52" max="52" width="4.54296875" style="376" bestFit="1" customWidth="1"/>
    <col min="53" max="53" width="6.1796875" style="376" bestFit="1" customWidth="1"/>
    <col min="54" max="54" width="7.26953125" style="376" bestFit="1" customWidth="1"/>
    <col min="55" max="55" width="6.1796875" style="376" bestFit="1" customWidth="1"/>
    <col min="56" max="56" width="5.54296875" style="205" customWidth="1"/>
    <col min="57" max="57" width="8" style="205" bestFit="1" customWidth="1"/>
    <col min="58" max="58" width="8.1796875" style="205" bestFit="1" customWidth="1"/>
    <col min="59" max="59" width="5.7265625" style="376" bestFit="1" customWidth="1"/>
    <col min="60" max="60" width="5.81640625" style="376" bestFit="1" customWidth="1"/>
    <col min="61" max="61" width="5.7265625" style="376" bestFit="1" customWidth="1"/>
    <col min="62" max="63" width="5.7265625" style="376" customWidth="1"/>
    <col min="64" max="64" width="4.453125" style="376" bestFit="1" customWidth="1"/>
    <col min="65" max="65" width="7.7265625" style="376" bestFit="1" customWidth="1"/>
    <col min="66" max="66" width="6.453125" style="376" bestFit="1" customWidth="1"/>
    <col min="67" max="67" width="6.1796875" style="376" bestFit="1" customWidth="1"/>
    <col min="68" max="68" width="4.1796875" style="376" bestFit="1" customWidth="1"/>
    <col min="69" max="69" width="17.453125" style="205" bestFit="1" customWidth="1"/>
    <col min="70" max="70" width="6.54296875" style="205" bestFit="1" customWidth="1"/>
    <col min="71" max="71" width="11.26953125" style="205" bestFit="1" customWidth="1"/>
    <col min="72" max="72" width="6.1796875" style="205" bestFit="1" customWidth="1"/>
    <col min="73" max="73" width="7.7265625" style="205" bestFit="1" customWidth="1"/>
    <col min="74" max="74" width="6.54296875" style="376" bestFit="1" customWidth="1"/>
    <col min="75" max="75" width="7" style="376" bestFit="1" customWidth="1"/>
    <col min="76" max="76" width="10.453125" style="205" bestFit="1" customWidth="1"/>
    <col min="77" max="77" width="11.81640625" style="205" bestFit="1" customWidth="1"/>
    <col min="78" max="78" width="9.1796875" style="376"/>
    <col min="79" max="79" width="10.453125" style="205" bestFit="1" customWidth="1"/>
    <col min="80" max="80" width="43.26953125" style="331" bestFit="1" customWidth="1"/>
  </cols>
  <sheetData>
    <row r="1" spans="1:80" s="6" customFormat="1" ht="49" thickBot="1">
      <c r="A1" s="168" t="s">
        <v>908</v>
      </c>
      <c r="B1" s="14" t="s">
        <v>902</v>
      </c>
      <c r="C1" s="1010" t="s">
        <v>904</v>
      </c>
      <c r="D1" s="1011" t="s">
        <v>907</v>
      </c>
      <c r="E1" s="1011" t="s">
        <v>935</v>
      </c>
      <c r="F1" s="1012" t="s">
        <v>1074</v>
      </c>
      <c r="G1" s="1012" t="s">
        <v>1075</v>
      </c>
      <c r="H1" s="1011" t="s">
        <v>697</v>
      </c>
      <c r="I1" s="1011" t="s">
        <v>910</v>
      </c>
      <c r="J1" s="1011" t="s">
        <v>911</v>
      </c>
      <c r="K1" s="1011" t="s">
        <v>958</v>
      </c>
      <c r="L1" s="1011" t="s">
        <v>956</v>
      </c>
      <c r="M1" s="1011" t="s">
        <v>1022</v>
      </c>
      <c r="N1" s="1013" t="s">
        <v>960</v>
      </c>
      <c r="O1" s="1013" t="s">
        <v>962</v>
      </c>
      <c r="P1" s="1013" t="s">
        <v>961</v>
      </c>
      <c r="Q1" s="1014" t="s">
        <v>1076</v>
      </c>
      <c r="R1" s="1014" t="s">
        <v>1077</v>
      </c>
      <c r="S1" s="1014" t="s">
        <v>1078</v>
      </c>
      <c r="T1" s="1013" t="s">
        <v>965</v>
      </c>
      <c r="U1" s="1013" t="s">
        <v>963</v>
      </c>
      <c r="V1" s="1013" t="s">
        <v>969</v>
      </c>
      <c r="W1" s="1013" t="s">
        <v>970</v>
      </c>
      <c r="X1" s="1013" t="s">
        <v>968</v>
      </c>
      <c r="Y1" s="1014" t="s">
        <v>1079</v>
      </c>
      <c r="Z1" s="1014" t="s">
        <v>1080</v>
      </c>
      <c r="AA1" s="1014" t="s">
        <v>1081</v>
      </c>
      <c r="AB1" s="1013" t="s">
        <v>964</v>
      </c>
      <c r="AC1" s="1014" t="s">
        <v>1082</v>
      </c>
      <c r="AD1" s="1014" t="s">
        <v>1083</v>
      </c>
      <c r="AE1" s="1015" t="s">
        <v>1084</v>
      </c>
      <c r="AF1" s="1016" t="s">
        <v>983</v>
      </c>
      <c r="AG1" s="1016" t="s">
        <v>966</v>
      </c>
      <c r="AH1" s="1016" t="s">
        <v>967</v>
      </c>
      <c r="AI1" s="1016" t="s">
        <v>984</v>
      </c>
      <c r="AJ1" s="1015" t="s">
        <v>1085</v>
      </c>
      <c r="AK1" s="1015" t="s">
        <v>1086</v>
      </c>
      <c r="AL1" s="1012" t="s">
        <v>1087</v>
      </c>
      <c r="AM1" s="1012" t="s">
        <v>1088</v>
      </c>
      <c r="AN1" s="1011" t="s">
        <v>930</v>
      </c>
      <c r="AO1" s="1011" t="s">
        <v>931</v>
      </c>
      <c r="AP1" s="1011" t="s">
        <v>932</v>
      </c>
      <c r="AQ1" s="1011" t="s">
        <v>1024</v>
      </c>
      <c r="AR1" s="168" t="s">
        <v>908</v>
      </c>
      <c r="AS1" s="1011" t="s">
        <v>949</v>
      </c>
      <c r="AT1" s="1017" t="s">
        <v>1090</v>
      </c>
      <c r="AU1" s="1018" t="s">
        <v>1091</v>
      </c>
      <c r="AV1" s="1019" t="s">
        <v>1092</v>
      </c>
      <c r="AW1" s="1012" t="s">
        <v>1104</v>
      </c>
      <c r="AX1" s="1011" t="s">
        <v>971</v>
      </c>
      <c r="AY1" s="1012" t="s">
        <v>1089</v>
      </c>
      <c r="AZ1" s="1012" t="s">
        <v>1093</v>
      </c>
      <c r="BA1" s="1012" t="s">
        <v>1094</v>
      </c>
      <c r="BB1" s="1012" t="s">
        <v>1095</v>
      </c>
      <c r="BC1" s="1012" t="s">
        <v>1096</v>
      </c>
      <c r="BD1" s="1012" t="s">
        <v>1097</v>
      </c>
      <c r="BE1" s="1020" t="s">
        <v>1098</v>
      </c>
      <c r="BF1" s="1021" t="s">
        <v>1099</v>
      </c>
      <c r="BG1" s="1022" t="s">
        <v>1100</v>
      </c>
      <c r="BH1" s="1023" t="s">
        <v>1102</v>
      </c>
      <c r="BI1" s="1024" t="s">
        <v>1101</v>
      </c>
      <c r="BJ1" s="1025" t="s">
        <v>1103</v>
      </c>
      <c r="BK1" s="1025" t="s">
        <v>1154</v>
      </c>
      <c r="BL1" s="1012" t="s">
        <v>1105</v>
      </c>
      <c r="BM1" s="1012" t="s">
        <v>1106</v>
      </c>
      <c r="BN1" s="1012" t="s">
        <v>1107</v>
      </c>
      <c r="BO1" s="1012" t="s">
        <v>1108</v>
      </c>
      <c r="BP1" s="1011" t="s">
        <v>933</v>
      </c>
      <c r="BQ1" s="1026" t="s">
        <v>934</v>
      </c>
      <c r="BR1" s="1026" t="s">
        <v>935</v>
      </c>
      <c r="BS1" s="1026" t="s">
        <v>936</v>
      </c>
      <c r="BT1" s="1026" t="s">
        <v>831</v>
      </c>
      <c r="BU1" s="1026" t="s">
        <v>1037</v>
      </c>
      <c r="BV1" s="1011" t="s">
        <v>1039</v>
      </c>
      <c r="BW1" s="1011" t="s">
        <v>940</v>
      </c>
      <c r="BX1" s="1026" t="s">
        <v>941</v>
      </c>
      <c r="BY1" s="1026" t="s">
        <v>942</v>
      </c>
      <c r="BZ1" s="1012" t="s">
        <v>1109</v>
      </c>
      <c r="CA1" s="1026" t="s">
        <v>941</v>
      </c>
      <c r="CB1" s="1027" t="s">
        <v>1029</v>
      </c>
    </row>
    <row r="2" spans="1:80" ht="10.5" customHeight="1" thickBot="1">
      <c r="A2" s="1028"/>
      <c r="B2" s="1029"/>
      <c r="C2" s="1030"/>
      <c r="D2" s="1030"/>
      <c r="E2" s="1031"/>
      <c r="F2" s="1031"/>
      <c r="G2" s="1031"/>
      <c r="H2" s="1032"/>
      <c r="I2" s="1032"/>
      <c r="J2" s="1032"/>
      <c r="K2" s="1031"/>
      <c r="L2" s="1031"/>
      <c r="M2" s="1031"/>
      <c r="N2" s="1032"/>
      <c r="O2" s="1032"/>
      <c r="P2" s="1032"/>
      <c r="Q2" s="1032"/>
      <c r="R2" s="1032"/>
      <c r="S2" s="1032"/>
      <c r="T2" s="1032"/>
      <c r="U2" s="1032"/>
      <c r="V2" s="1032"/>
      <c r="W2" s="1032"/>
      <c r="X2" s="1032"/>
      <c r="Y2" s="1032"/>
      <c r="Z2" s="1032"/>
      <c r="AA2" s="1032"/>
      <c r="AB2" s="1032"/>
      <c r="AC2" s="1032"/>
      <c r="AD2" s="1032"/>
      <c r="AE2" s="1032"/>
      <c r="AF2" s="1032"/>
      <c r="AG2" s="1032"/>
      <c r="AH2" s="1032"/>
      <c r="AI2" s="1032"/>
      <c r="AJ2" s="1032"/>
      <c r="AK2" s="1032"/>
      <c r="AL2" s="1031"/>
      <c r="AM2" s="1031"/>
      <c r="AN2" s="1032"/>
      <c r="AO2" s="1030"/>
      <c r="AP2" s="1030"/>
      <c r="AQ2" s="1032"/>
      <c r="AR2" s="1033"/>
      <c r="AS2" s="1032"/>
      <c r="AT2" s="1029"/>
      <c r="AU2" s="1029"/>
      <c r="AV2" s="1029"/>
      <c r="AW2" s="1031"/>
      <c r="AX2" s="1031"/>
      <c r="AY2" s="1031"/>
      <c r="AZ2" s="1031"/>
      <c r="BA2" s="1031"/>
      <c r="BB2" s="1031"/>
      <c r="BC2" s="1031"/>
      <c r="BD2" s="1030"/>
      <c r="BE2" s="1030"/>
      <c r="BF2" s="1030"/>
      <c r="BG2" s="1031"/>
      <c r="BH2" s="1031"/>
      <c r="BI2" s="1031"/>
      <c r="BJ2" s="1031"/>
      <c r="BK2" s="1031"/>
      <c r="BL2" s="1031"/>
      <c r="BM2" s="1031"/>
      <c r="BN2" s="1031"/>
      <c r="BO2" s="1031"/>
      <c r="BP2" s="1031"/>
      <c r="BQ2" s="1030"/>
      <c r="BR2" s="1030"/>
      <c r="BS2" s="1030"/>
      <c r="BT2" s="1030"/>
      <c r="BU2" s="1030"/>
      <c r="BV2" s="1031"/>
      <c r="BW2" s="1031"/>
      <c r="BX2" s="1030"/>
      <c r="BY2" s="1030"/>
      <c r="BZ2" s="1031"/>
      <c r="CA2" s="1030"/>
      <c r="CB2" s="1034"/>
    </row>
    <row r="3" spans="1:80">
      <c r="A3" s="904" t="s">
        <v>946</v>
      </c>
      <c r="B3" s="905" t="s">
        <v>972</v>
      </c>
      <c r="C3" s="906" t="s">
        <v>1019</v>
      </c>
      <c r="D3" s="906" t="s">
        <v>1020</v>
      </c>
      <c r="E3" s="907" t="s">
        <v>20</v>
      </c>
      <c r="F3" s="907" t="s">
        <v>638</v>
      </c>
      <c r="G3" s="908" t="s">
        <v>1133</v>
      </c>
      <c r="H3" s="909">
        <v>2</v>
      </c>
      <c r="I3" s="909">
        <v>1</v>
      </c>
      <c r="J3" s="909">
        <v>1</v>
      </c>
      <c r="K3" s="907" t="s">
        <v>1049</v>
      </c>
      <c r="L3" s="907" t="s">
        <v>1021</v>
      </c>
      <c r="M3" s="907">
        <v>2023</v>
      </c>
      <c r="N3" s="910" t="s">
        <v>592</v>
      </c>
      <c r="O3" s="910" t="s">
        <v>117</v>
      </c>
      <c r="P3" s="910" t="s">
        <v>117</v>
      </c>
      <c r="Q3" s="910" t="s">
        <v>592</v>
      </c>
      <c r="R3" s="910" t="s">
        <v>592</v>
      </c>
      <c r="S3" s="910" t="s">
        <v>592</v>
      </c>
      <c r="T3" s="910" t="s">
        <v>592</v>
      </c>
      <c r="U3" s="910" t="s">
        <v>592</v>
      </c>
      <c r="V3" s="910" t="s">
        <v>117</v>
      </c>
      <c r="W3" s="910" t="s">
        <v>592</v>
      </c>
      <c r="X3" s="910" t="s">
        <v>592</v>
      </c>
      <c r="Y3" s="910" t="s">
        <v>592</v>
      </c>
      <c r="Z3" s="910" t="s">
        <v>117</v>
      </c>
      <c r="AA3" s="910" t="s">
        <v>117</v>
      </c>
      <c r="AB3" s="910" t="s">
        <v>117</v>
      </c>
      <c r="AC3" s="910" t="s">
        <v>117</v>
      </c>
      <c r="AD3" s="910" t="s">
        <v>117</v>
      </c>
      <c r="AE3" s="911" t="s">
        <v>117</v>
      </c>
      <c r="AF3" s="911" t="s">
        <v>117</v>
      </c>
      <c r="AG3" s="911" t="s">
        <v>117</v>
      </c>
      <c r="AH3" s="911" t="s">
        <v>117</v>
      </c>
      <c r="AI3" s="911" t="s">
        <v>592</v>
      </c>
      <c r="AJ3" s="911" t="s">
        <v>117</v>
      </c>
      <c r="AK3" s="911" t="s">
        <v>117</v>
      </c>
      <c r="AL3" s="907" t="s">
        <v>638</v>
      </c>
      <c r="AM3" s="907" t="s">
        <v>1030</v>
      </c>
      <c r="AN3" s="909">
        <v>2581</v>
      </c>
      <c r="AO3" s="906" t="s">
        <v>85</v>
      </c>
      <c r="AP3" s="906" t="s">
        <v>1031</v>
      </c>
      <c r="AQ3" s="912" t="s">
        <v>299</v>
      </c>
      <c r="AR3" s="913" t="s">
        <v>946</v>
      </c>
      <c r="AS3" s="914" t="s">
        <v>950</v>
      </c>
      <c r="AT3" s="915">
        <v>3000</v>
      </c>
      <c r="AU3" s="915">
        <v>2500</v>
      </c>
      <c r="AV3" s="915">
        <v>2000</v>
      </c>
      <c r="AW3" s="916" t="s">
        <v>638</v>
      </c>
      <c r="AX3" s="917" t="s">
        <v>1023</v>
      </c>
      <c r="AY3" s="916">
        <v>2</v>
      </c>
      <c r="AZ3" s="916">
        <v>15</v>
      </c>
      <c r="BA3" s="916">
        <v>1</v>
      </c>
      <c r="BB3" s="916">
        <v>0</v>
      </c>
      <c r="BC3" s="916" t="s">
        <v>1032</v>
      </c>
      <c r="BD3" s="918" t="s">
        <v>1025</v>
      </c>
      <c r="BE3" s="918" t="s">
        <v>1026</v>
      </c>
      <c r="BF3" s="918" t="s">
        <v>1027</v>
      </c>
      <c r="BG3" s="916" t="s">
        <v>820</v>
      </c>
      <c r="BH3" s="916" t="s">
        <v>820</v>
      </c>
      <c r="BI3" s="916" t="s">
        <v>820</v>
      </c>
      <c r="BJ3" s="916" t="s">
        <v>638</v>
      </c>
      <c r="BK3" s="916" t="s">
        <v>638</v>
      </c>
      <c r="BL3" s="948" t="s">
        <v>638</v>
      </c>
      <c r="BM3" s="907" t="s">
        <v>592</v>
      </c>
      <c r="BN3" s="907" t="s">
        <v>638</v>
      </c>
      <c r="BO3" s="907" t="s">
        <v>638</v>
      </c>
      <c r="BP3" s="907" t="s">
        <v>991</v>
      </c>
      <c r="BQ3" s="906" t="s">
        <v>1033</v>
      </c>
      <c r="BR3" s="906" t="s">
        <v>1034</v>
      </c>
      <c r="BS3" s="906" t="s">
        <v>1035</v>
      </c>
      <c r="BT3" s="919" t="s">
        <v>1036</v>
      </c>
      <c r="BU3" s="906" t="s">
        <v>1038</v>
      </c>
      <c r="BV3" s="958">
        <v>0.18</v>
      </c>
      <c r="BW3" s="907" t="s">
        <v>266</v>
      </c>
      <c r="BX3" s="919" t="s">
        <v>1040</v>
      </c>
      <c r="BY3" s="906" t="s">
        <v>1041</v>
      </c>
      <c r="BZ3" s="907" t="s">
        <v>1042</v>
      </c>
      <c r="CA3" s="919" t="s">
        <v>1043</v>
      </c>
      <c r="CB3" s="1046" t="s">
        <v>1028</v>
      </c>
    </row>
    <row r="4" spans="1:80">
      <c r="A4" s="921" t="s">
        <v>947</v>
      </c>
      <c r="B4" s="31" t="s">
        <v>944</v>
      </c>
      <c r="C4" s="374" t="s">
        <v>1019</v>
      </c>
      <c r="D4" s="374" t="s">
        <v>1044</v>
      </c>
      <c r="E4" s="871" t="s">
        <v>20</v>
      </c>
      <c r="F4" s="871" t="s">
        <v>638</v>
      </c>
      <c r="G4" s="880" t="s">
        <v>1133</v>
      </c>
      <c r="H4" s="33">
        <v>2</v>
      </c>
      <c r="I4" s="33">
        <v>1</v>
      </c>
      <c r="J4" s="33">
        <v>1</v>
      </c>
      <c r="K4" s="871" t="s">
        <v>1049</v>
      </c>
      <c r="L4" s="871" t="s">
        <v>1045</v>
      </c>
      <c r="M4" s="871">
        <v>2023</v>
      </c>
      <c r="N4" s="872" t="s">
        <v>592</v>
      </c>
      <c r="O4" s="872" t="s">
        <v>117</v>
      </c>
      <c r="P4" s="872" t="s">
        <v>117</v>
      </c>
      <c r="Q4" s="872" t="s">
        <v>592</v>
      </c>
      <c r="R4" s="872" t="s">
        <v>592</v>
      </c>
      <c r="S4" s="872" t="s">
        <v>592</v>
      </c>
      <c r="T4" s="872" t="s">
        <v>592</v>
      </c>
      <c r="U4" s="872" t="s">
        <v>592</v>
      </c>
      <c r="V4" s="872" t="s">
        <v>117</v>
      </c>
      <c r="W4" s="872" t="s">
        <v>592</v>
      </c>
      <c r="X4" s="872" t="s">
        <v>592</v>
      </c>
      <c r="Y4" s="872" t="s">
        <v>592</v>
      </c>
      <c r="Z4" s="872" t="s">
        <v>117</v>
      </c>
      <c r="AA4" s="872" t="s">
        <v>117</v>
      </c>
      <c r="AB4" s="872" t="s">
        <v>117</v>
      </c>
      <c r="AC4" s="872" t="s">
        <v>117</v>
      </c>
      <c r="AD4" s="872" t="s">
        <v>117</v>
      </c>
      <c r="AE4" s="873" t="s">
        <v>117</v>
      </c>
      <c r="AF4" s="873" t="s">
        <v>117</v>
      </c>
      <c r="AG4" s="873" t="s">
        <v>117</v>
      </c>
      <c r="AH4" s="873" t="s">
        <v>117</v>
      </c>
      <c r="AI4" s="873" t="s">
        <v>592</v>
      </c>
      <c r="AJ4" s="873" t="s">
        <v>117</v>
      </c>
      <c r="AK4" s="873" t="s">
        <v>117</v>
      </c>
      <c r="AL4" s="871" t="s">
        <v>638</v>
      </c>
      <c r="AM4" s="871" t="s">
        <v>1030</v>
      </c>
      <c r="AN4" s="33">
        <v>2582</v>
      </c>
      <c r="AO4" s="374" t="s">
        <v>85</v>
      </c>
      <c r="AP4" s="374" t="s">
        <v>1031</v>
      </c>
      <c r="AQ4" s="874" t="s">
        <v>299</v>
      </c>
      <c r="AR4" s="878" t="s">
        <v>947</v>
      </c>
      <c r="AS4" s="879" t="s">
        <v>950</v>
      </c>
      <c r="AT4" s="855">
        <v>3000</v>
      </c>
      <c r="AU4" s="855">
        <v>2500</v>
      </c>
      <c r="AV4" s="855">
        <v>2000</v>
      </c>
      <c r="AW4" s="892" t="s">
        <v>638</v>
      </c>
      <c r="AX4" s="893" t="s">
        <v>1023</v>
      </c>
      <c r="AY4" s="894">
        <v>2</v>
      </c>
      <c r="AZ4" s="894">
        <v>15</v>
      </c>
      <c r="BA4" s="894">
        <v>1</v>
      </c>
      <c r="BB4" s="894">
        <v>0</v>
      </c>
      <c r="BC4" s="894" t="s">
        <v>1032</v>
      </c>
      <c r="BD4" s="895" t="s">
        <v>1025</v>
      </c>
      <c r="BE4" s="895" t="s">
        <v>1026</v>
      </c>
      <c r="BF4" s="895" t="s">
        <v>1027</v>
      </c>
      <c r="BG4" s="894" t="s">
        <v>820</v>
      </c>
      <c r="BH4" s="894" t="s">
        <v>820</v>
      </c>
      <c r="BI4" s="894" t="s">
        <v>820</v>
      </c>
      <c r="BJ4" s="889" t="s">
        <v>638</v>
      </c>
      <c r="BK4" s="889" t="s">
        <v>638</v>
      </c>
      <c r="BL4" s="949" t="s">
        <v>638</v>
      </c>
      <c r="BM4" s="871" t="s">
        <v>592</v>
      </c>
      <c r="BN4" s="871" t="s">
        <v>638</v>
      </c>
      <c r="BO4" s="871" t="s">
        <v>638</v>
      </c>
      <c r="BP4" s="871" t="s">
        <v>991</v>
      </c>
      <c r="BQ4" s="374" t="s">
        <v>1033</v>
      </c>
      <c r="BR4" s="374" t="s">
        <v>1034</v>
      </c>
      <c r="BS4" s="374" t="s">
        <v>1035</v>
      </c>
      <c r="BT4" s="881" t="s">
        <v>1036</v>
      </c>
      <c r="BU4" s="374" t="s">
        <v>1038</v>
      </c>
      <c r="BV4" s="959">
        <v>0.18</v>
      </c>
      <c r="BW4" s="871" t="s">
        <v>266</v>
      </c>
      <c r="BX4" s="881" t="s">
        <v>1040</v>
      </c>
      <c r="BY4" s="374" t="s">
        <v>1041</v>
      </c>
      <c r="BZ4" s="871" t="s">
        <v>1042</v>
      </c>
      <c r="CA4" s="881" t="s">
        <v>1043</v>
      </c>
      <c r="CB4" s="922" t="s">
        <v>1046</v>
      </c>
    </row>
    <row r="5" spans="1:80">
      <c r="A5" s="923" t="s">
        <v>948</v>
      </c>
      <c r="B5" s="876" t="s">
        <v>972</v>
      </c>
      <c r="C5" s="856" t="s">
        <v>1019</v>
      </c>
      <c r="D5" s="856" t="s">
        <v>1048</v>
      </c>
      <c r="E5" s="857" t="s">
        <v>953</v>
      </c>
      <c r="F5" s="857" t="s">
        <v>638</v>
      </c>
      <c r="G5" s="858" t="s">
        <v>638</v>
      </c>
      <c r="H5" s="632">
        <v>7</v>
      </c>
      <c r="I5" s="632">
        <v>3.5</v>
      </c>
      <c r="J5" s="632">
        <v>3.5</v>
      </c>
      <c r="K5" s="857" t="s">
        <v>1050</v>
      </c>
      <c r="L5" s="857" t="s">
        <v>1051</v>
      </c>
      <c r="M5" s="857">
        <v>2019</v>
      </c>
      <c r="N5" s="859" t="s">
        <v>592</v>
      </c>
      <c r="O5" s="859" t="s">
        <v>117</v>
      </c>
      <c r="P5" s="859" t="s">
        <v>117</v>
      </c>
      <c r="Q5" s="859" t="s">
        <v>117</v>
      </c>
      <c r="R5" s="859" t="s">
        <v>117</v>
      </c>
      <c r="S5" s="859" t="s">
        <v>117</v>
      </c>
      <c r="T5" s="859" t="s">
        <v>117</v>
      </c>
      <c r="U5" s="859" t="s">
        <v>117</v>
      </c>
      <c r="V5" s="859" t="s">
        <v>117</v>
      </c>
      <c r="W5" s="859" t="s">
        <v>592</v>
      </c>
      <c r="X5" s="859" t="s">
        <v>592</v>
      </c>
      <c r="Y5" s="859" t="s">
        <v>117</v>
      </c>
      <c r="Z5" s="859" t="s">
        <v>117</v>
      </c>
      <c r="AA5" s="859" t="s">
        <v>117</v>
      </c>
      <c r="AB5" s="859" t="s">
        <v>117</v>
      </c>
      <c r="AC5" s="859" t="s">
        <v>117</v>
      </c>
      <c r="AD5" s="859" t="s">
        <v>117</v>
      </c>
      <c r="AE5" s="860" t="s">
        <v>117</v>
      </c>
      <c r="AF5" s="860" t="s">
        <v>117</v>
      </c>
      <c r="AG5" s="860" t="s">
        <v>117</v>
      </c>
      <c r="AH5" s="860" t="s">
        <v>117</v>
      </c>
      <c r="AI5" s="860" t="s">
        <v>592</v>
      </c>
      <c r="AJ5" s="860" t="s">
        <v>117</v>
      </c>
      <c r="AK5" s="860" t="s">
        <v>117</v>
      </c>
      <c r="AL5" s="857" t="s">
        <v>638</v>
      </c>
      <c r="AM5" s="857" t="s">
        <v>1030</v>
      </c>
      <c r="AN5" s="632">
        <v>2583</v>
      </c>
      <c r="AO5" s="856" t="s">
        <v>85</v>
      </c>
      <c r="AP5" s="856" t="s">
        <v>1031</v>
      </c>
      <c r="AQ5" s="861" t="s">
        <v>299</v>
      </c>
      <c r="AR5" s="862" t="s">
        <v>948</v>
      </c>
      <c r="AS5" s="863" t="s">
        <v>950</v>
      </c>
      <c r="AT5" s="338">
        <v>8500</v>
      </c>
      <c r="AU5" s="354">
        <v>3000</v>
      </c>
      <c r="AV5" s="354">
        <v>2500</v>
      </c>
      <c r="AW5" s="889" t="s">
        <v>638</v>
      </c>
      <c r="AX5" s="890" t="s">
        <v>1023</v>
      </c>
      <c r="AY5" s="889">
        <v>2</v>
      </c>
      <c r="AZ5" s="889">
        <v>30</v>
      </c>
      <c r="BA5" s="889">
        <v>2</v>
      </c>
      <c r="BB5" s="889" t="s">
        <v>1052</v>
      </c>
      <c r="BC5" s="889" t="s">
        <v>1032</v>
      </c>
      <c r="BD5" s="891" t="s">
        <v>1025</v>
      </c>
      <c r="BE5" s="891" t="s">
        <v>1026</v>
      </c>
      <c r="BF5" s="891" t="s">
        <v>1027</v>
      </c>
      <c r="BG5" s="889" t="s">
        <v>592</v>
      </c>
      <c r="BH5" s="889" t="s">
        <v>1053</v>
      </c>
      <c r="BI5" s="889" t="s">
        <v>1053</v>
      </c>
      <c r="BJ5" s="896" t="s">
        <v>638</v>
      </c>
      <c r="BK5" s="896" t="s">
        <v>638</v>
      </c>
      <c r="BL5" s="897" t="s">
        <v>638</v>
      </c>
      <c r="BM5" s="888" t="s">
        <v>1115</v>
      </c>
      <c r="BN5" s="857" t="s">
        <v>638</v>
      </c>
      <c r="BO5" s="857" t="s">
        <v>638</v>
      </c>
      <c r="BP5" s="857" t="s">
        <v>991</v>
      </c>
      <c r="BQ5" s="856" t="s">
        <v>1033</v>
      </c>
      <c r="BR5" s="856" t="s">
        <v>1034</v>
      </c>
      <c r="BS5" s="856" t="s">
        <v>1035</v>
      </c>
      <c r="BT5" s="864" t="s">
        <v>1036</v>
      </c>
      <c r="BU5" s="856" t="s">
        <v>1038</v>
      </c>
      <c r="BV5" s="960">
        <v>0.18</v>
      </c>
      <c r="BW5" s="857" t="s">
        <v>266</v>
      </c>
      <c r="BX5" s="864" t="s">
        <v>1040</v>
      </c>
      <c r="BY5" s="856" t="s">
        <v>1041</v>
      </c>
      <c r="BZ5" s="857" t="s">
        <v>1042</v>
      </c>
      <c r="CA5" s="864" t="s">
        <v>1043</v>
      </c>
      <c r="CB5" s="924" t="s">
        <v>1056</v>
      </c>
    </row>
    <row r="6" spans="1:80">
      <c r="A6" s="925" t="s">
        <v>1139</v>
      </c>
      <c r="B6" s="43" t="s">
        <v>945</v>
      </c>
      <c r="C6" s="884" t="s">
        <v>1146</v>
      </c>
      <c r="D6" s="208"/>
      <c r="E6" s="865"/>
      <c r="F6" s="865"/>
      <c r="G6" s="865"/>
      <c r="H6" s="48"/>
      <c r="I6" s="48"/>
      <c r="J6" s="48"/>
      <c r="K6" s="865"/>
      <c r="L6" s="865"/>
      <c r="M6" s="865"/>
      <c r="N6" s="866"/>
      <c r="O6" s="866"/>
      <c r="P6" s="866"/>
      <c r="Q6" s="866"/>
      <c r="R6" s="866"/>
      <c r="S6" s="866"/>
      <c r="T6" s="866"/>
      <c r="U6" s="866"/>
      <c r="V6" s="866"/>
      <c r="W6" s="866"/>
      <c r="X6" s="866"/>
      <c r="Y6" s="866"/>
      <c r="Z6" s="866"/>
      <c r="AA6" s="866"/>
      <c r="AB6" s="866"/>
      <c r="AC6" s="866"/>
      <c r="AD6" s="866"/>
      <c r="AE6" s="867"/>
      <c r="AF6" s="867"/>
      <c r="AG6" s="867"/>
      <c r="AH6" s="867"/>
      <c r="AI6" s="867"/>
      <c r="AJ6" s="867"/>
      <c r="AK6" s="867"/>
      <c r="AL6" s="865"/>
      <c r="AM6" s="865"/>
      <c r="AN6" s="48"/>
      <c r="AO6" s="208"/>
      <c r="AP6" s="208"/>
      <c r="AQ6" s="868" t="s">
        <v>1057</v>
      </c>
      <c r="AR6" s="869"/>
      <c r="AS6" s="870" t="s">
        <v>951</v>
      </c>
      <c r="AT6" s="355">
        <f>+AT5*0.17+AT5</f>
        <v>9945</v>
      </c>
      <c r="AU6" s="355">
        <v>3520</v>
      </c>
      <c r="AV6" s="355">
        <v>2930</v>
      </c>
      <c r="AW6" s="889" t="s">
        <v>638</v>
      </c>
      <c r="AX6" s="890" t="s">
        <v>1023</v>
      </c>
      <c r="AY6" s="889">
        <v>2</v>
      </c>
      <c r="AZ6" s="889">
        <v>30</v>
      </c>
      <c r="BA6" s="889">
        <v>2</v>
      </c>
      <c r="BB6" s="889" t="s">
        <v>1058</v>
      </c>
      <c r="BC6" s="889" t="s">
        <v>1112</v>
      </c>
      <c r="BD6" s="891" t="s">
        <v>1060</v>
      </c>
      <c r="BE6" s="891" t="s">
        <v>1026</v>
      </c>
      <c r="BF6" s="891" t="s">
        <v>1059</v>
      </c>
      <c r="BG6" s="889" t="s">
        <v>1053</v>
      </c>
      <c r="BH6" s="889" t="s">
        <v>1111</v>
      </c>
      <c r="BI6" s="889" t="s">
        <v>1053</v>
      </c>
      <c r="BJ6" s="896" t="s">
        <v>638</v>
      </c>
      <c r="BK6" s="896" t="s">
        <v>638</v>
      </c>
      <c r="BL6" s="950"/>
      <c r="BM6" s="865"/>
      <c r="BN6" s="865"/>
      <c r="BO6" s="865"/>
      <c r="BP6" s="865"/>
      <c r="BQ6" s="883" t="s">
        <v>1145</v>
      </c>
      <c r="BR6" s="208"/>
      <c r="BS6" s="208"/>
      <c r="BT6" s="208"/>
      <c r="BU6" s="208"/>
      <c r="BV6" s="961"/>
      <c r="BW6" s="865"/>
      <c r="BX6" s="208"/>
      <c r="BY6" s="208"/>
      <c r="BZ6" s="865"/>
      <c r="CA6" s="208"/>
      <c r="CB6" s="926"/>
    </row>
    <row r="7" spans="1:80">
      <c r="A7" s="927" t="s">
        <v>1140</v>
      </c>
      <c r="B7" s="43" t="s">
        <v>973</v>
      </c>
      <c r="C7" s="885" t="s">
        <v>1147</v>
      </c>
      <c r="D7" s="374"/>
      <c r="E7" s="871"/>
      <c r="F7" s="871"/>
      <c r="G7" s="871"/>
      <c r="H7" s="33"/>
      <c r="I7" s="33"/>
      <c r="J7" s="33"/>
      <c r="K7" s="871"/>
      <c r="L7" s="871"/>
      <c r="M7" s="871"/>
      <c r="N7" s="872"/>
      <c r="O7" s="872"/>
      <c r="P7" s="872"/>
      <c r="Q7" s="872"/>
      <c r="R7" s="872"/>
      <c r="S7" s="872"/>
      <c r="T7" s="872"/>
      <c r="U7" s="872"/>
      <c r="V7" s="872"/>
      <c r="W7" s="872"/>
      <c r="X7" s="872"/>
      <c r="Y7" s="872"/>
      <c r="Z7" s="872"/>
      <c r="AA7" s="872"/>
      <c r="AB7" s="872"/>
      <c r="AC7" s="872"/>
      <c r="AD7" s="872"/>
      <c r="AE7" s="873"/>
      <c r="AF7" s="873"/>
      <c r="AG7" s="873"/>
      <c r="AH7" s="873"/>
      <c r="AI7" s="873"/>
      <c r="AJ7" s="873"/>
      <c r="AK7" s="873"/>
      <c r="AL7" s="871"/>
      <c r="AM7" s="871"/>
      <c r="AN7" s="33"/>
      <c r="AO7" s="374"/>
      <c r="AP7" s="374"/>
      <c r="AQ7" s="874"/>
      <c r="AR7" s="875" t="s">
        <v>1114</v>
      </c>
      <c r="AS7" s="875" t="s">
        <v>1113</v>
      </c>
      <c r="AT7" s="340">
        <v>9950</v>
      </c>
      <c r="AU7" s="340">
        <v>3520</v>
      </c>
      <c r="AV7" s="340">
        <v>2930</v>
      </c>
      <c r="AW7" s="892" t="s">
        <v>638</v>
      </c>
      <c r="AX7" s="890" t="s">
        <v>1023</v>
      </c>
      <c r="AY7" s="889">
        <v>2</v>
      </c>
      <c r="AZ7" s="889" t="s">
        <v>332</v>
      </c>
      <c r="BA7" s="889">
        <v>2</v>
      </c>
      <c r="BB7" s="889">
        <v>2</v>
      </c>
      <c r="BC7" s="889" t="s">
        <v>1112</v>
      </c>
      <c r="BD7" s="891" t="s">
        <v>1132</v>
      </c>
      <c r="BE7" s="891" t="s">
        <v>1026</v>
      </c>
      <c r="BF7" s="891" t="s">
        <v>1027</v>
      </c>
      <c r="BG7" s="889" t="s">
        <v>1053</v>
      </c>
      <c r="BH7" s="889" t="s">
        <v>1053</v>
      </c>
      <c r="BI7" s="889" t="s">
        <v>1111</v>
      </c>
      <c r="BJ7" s="889" t="s">
        <v>638</v>
      </c>
      <c r="BK7" s="889" t="s">
        <v>638</v>
      </c>
      <c r="BL7" s="949"/>
      <c r="BM7" s="871"/>
      <c r="BN7" s="871"/>
      <c r="BO7" s="871"/>
      <c r="BP7" s="871"/>
      <c r="BQ7" s="374"/>
      <c r="BR7" s="374"/>
      <c r="BS7" s="374"/>
      <c r="BT7" s="374"/>
      <c r="BU7" s="374"/>
      <c r="BV7" s="962"/>
      <c r="BW7" s="871"/>
      <c r="BX7" s="374"/>
      <c r="BY7" s="374"/>
      <c r="BZ7" s="871"/>
      <c r="CA7" s="374"/>
      <c r="CB7" s="928"/>
    </row>
    <row r="8" spans="1:80">
      <c r="A8" s="929" t="s">
        <v>954</v>
      </c>
      <c r="B8" s="876" t="s">
        <v>972</v>
      </c>
      <c r="C8" s="208" t="s">
        <v>906</v>
      </c>
      <c r="D8" s="208" t="s">
        <v>955</v>
      </c>
      <c r="E8" s="865" t="s">
        <v>952</v>
      </c>
      <c r="F8" s="865" t="s">
        <v>638</v>
      </c>
      <c r="G8" s="930" t="s">
        <v>1151</v>
      </c>
      <c r="H8" s="48">
        <v>6</v>
      </c>
      <c r="I8" s="48">
        <v>3</v>
      </c>
      <c r="J8" s="48">
        <v>3</v>
      </c>
      <c r="K8" s="865" t="s">
        <v>957</v>
      </c>
      <c r="L8" s="865" t="s">
        <v>959</v>
      </c>
      <c r="M8" s="865" t="s">
        <v>553</v>
      </c>
      <c r="N8" s="866" t="s">
        <v>117</v>
      </c>
      <c r="O8" s="866" t="s">
        <v>117</v>
      </c>
      <c r="P8" s="866" t="s">
        <v>117</v>
      </c>
      <c r="Q8" s="866" t="s">
        <v>117</v>
      </c>
      <c r="R8" s="866" t="s">
        <v>117</v>
      </c>
      <c r="S8" s="866" t="s">
        <v>117</v>
      </c>
      <c r="T8" s="866" t="s">
        <v>117</v>
      </c>
      <c r="U8" s="866" t="s">
        <v>117</v>
      </c>
      <c r="V8" s="866" t="s">
        <v>117</v>
      </c>
      <c r="W8" s="866" t="s">
        <v>592</v>
      </c>
      <c r="X8" s="866" t="s">
        <v>117</v>
      </c>
      <c r="Y8" s="866" t="s">
        <v>117</v>
      </c>
      <c r="Z8" s="866" t="s">
        <v>117</v>
      </c>
      <c r="AA8" s="866" t="s">
        <v>117</v>
      </c>
      <c r="AB8" s="866" t="s">
        <v>117</v>
      </c>
      <c r="AC8" s="866" t="s">
        <v>117</v>
      </c>
      <c r="AD8" s="866" t="s">
        <v>117</v>
      </c>
      <c r="AE8" s="867" t="s">
        <v>117</v>
      </c>
      <c r="AF8" s="867" t="s">
        <v>117</v>
      </c>
      <c r="AG8" s="867" t="s">
        <v>117</v>
      </c>
      <c r="AH8" s="867" t="s">
        <v>117</v>
      </c>
      <c r="AI8" s="867" t="s">
        <v>592</v>
      </c>
      <c r="AJ8" s="867" t="s">
        <v>592</v>
      </c>
      <c r="AK8" s="867" t="s">
        <v>117</v>
      </c>
      <c r="AL8" s="865" t="s">
        <v>638</v>
      </c>
      <c r="AM8" s="865" t="s">
        <v>1134</v>
      </c>
      <c r="AN8" s="48" t="s">
        <v>1135</v>
      </c>
      <c r="AO8" s="208" t="s">
        <v>1136</v>
      </c>
      <c r="AP8" s="208" t="s">
        <v>1137</v>
      </c>
      <c r="AQ8" s="861" t="s">
        <v>299</v>
      </c>
      <c r="AR8" s="931" t="s">
        <v>954</v>
      </c>
      <c r="AS8" s="877" t="s">
        <v>950</v>
      </c>
      <c r="AT8" s="338">
        <v>8500</v>
      </c>
      <c r="AU8" s="354">
        <v>3000</v>
      </c>
      <c r="AV8" s="354">
        <v>2500</v>
      </c>
      <c r="AW8" s="889" t="s">
        <v>638</v>
      </c>
      <c r="AX8" s="890" t="s">
        <v>1023</v>
      </c>
      <c r="AY8" s="889">
        <v>2</v>
      </c>
      <c r="AZ8" s="889">
        <v>30</v>
      </c>
      <c r="BA8" s="889">
        <v>2</v>
      </c>
      <c r="BB8" s="889" t="s">
        <v>1052</v>
      </c>
      <c r="BC8" s="889" t="s">
        <v>1032</v>
      </c>
      <c r="BD8" s="891" t="s">
        <v>1025</v>
      </c>
      <c r="BE8" s="891" t="s">
        <v>1026</v>
      </c>
      <c r="BF8" s="891" t="s">
        <v>1027</v>
      </c>
      <c r="BG8" s="889" t="s">
        <v>592</v>
      </c>
      <c r="BH8" s="889" t="s">
        <v>1053</v>
      </c>
      <c r="BI8" s="889" t="s">
        <v>1053</v>
      </c>
      <c r="BJ8" s="889" t="s">
        <v>638</v>
      </c>
      <c r="BK8" s="889" t="s">
        <v>638</v>
      </c>
      <c r="BL8" s="950" t="s">
        <v>638</v>
      </c>
      <c r="BM8" s="932" t="s">
        <v>1115</v>
      </c>
      <c r="BN8" s="865" t="s">
        <v>638</v>
      </c>
      <c r="BO8" s="865" t="s">
        <v>638</v>
      </c>
      <c r="BP8" s="865" t="s">
        <v>991</v>
      </c>
      <c r="BQ8" s="208" t="s">
        <v>1155</v>
      </c>
      <c r="BR8" s="208" t="s">
        <v>1034</v>
      </c>
      <c r="BS8" s="208" t="s">
        <v>1143</v>
      </c>
      <c r="BT8" s="864" t="s">
        <v>1036</v>
      </c>
      <c r="BU8" s="856" t="s">
        <v>1038</v>
      </c>
      <c r="BV8" s="960">
        <v>0.18</v>
      </c>
      <c r="BW8" s="865" t="s">
        <v>325</v>
      </c>
      <c r="BX8" s="951" t="s">
        <v>553</v>
      </c>
      <c r="BY8" s="208" t="s">
        <v>1148</v>
      </c>
      <c r="BZ8" s="865" t="s">
        <v>1149</v>
      </c>
      <c r="CA8" s="208" t="s">
        <v>1150</v>
      </c>
      <c r="CB8" s="924" t="s">
        <v>1138</v>
      </c>
    </row>
    <row r="9" spans="1:80">
      <c r="A9" s="933"/>
      <c r="B9" s="882" t="s">
        <v>1141</v>
      </c>
      <c r="C9" s="208"/>
      <c r="D9" s="208"/>
      <c r="E9" s="865"/>
      <c r="F9" s="865"/>
      <c r="G9" s="865"/>
      <c r="H9" s="48"/>
      <c r="I9" s="48"/>
      <c r="J9" s="48"/>
      <c r="K9" s="865"/>
      <c r="L9" s="865"/>
      <c r="M9" s="865"/>
      <c r="N9" s="866"/>
      <c r="O9" s="866"/>
      <c r="P9" s="866"/>
      <c r="Q9" s="866"/>
      <c r="R9" s="866"/>
      <c r="S9" s="866"/>
      <c r="T9" s="866"/>
      <c r="U9" s="866"/>
      <c r="V9" s="866"/>
      <c r="W9" s="866"/>
      <c r="X9" s="866"/>
      <c r="Y9" s="866"/>
      <c r="Z9" s="866"/>
      <c r="AA9" s="866"/>
      <c r="AB9" s="866"/>
      <c r="AC9" s="866"/>
      <c r="AD9" s="866"/>
      <c r="AE9" s="867"/>
      <c r="AF9" s="867"/>
      <c r="AG9" s="867"/>
      <c r="AH9" s="867"/>
      <c r="AI9" s="867"/>
      <c r="AJ9" s="867"/>
      <c r="AK9" s="867"/>
      <c r="AL9" s="865"/>
      <c r="AM9" s="865"/>
      <c r="AN9" s="48"/>
      <c r="AO9" s="208"/>
      <c r="AP9" s="208"/>
      <c r="AQ9" s="868" t="s">
        <v>1057</v>
      </c>
      <c r="AR9" s="898"/>
      <c r="AS9" s="870" t="s">
        <v>951</v>
      </c>
      <c r="AT9" s="355">
        <v>9950</v>
      </c>
      <c r="AU9" s="355">
        <v>3700</v>
      </c>
      <c r="AV9" s="355">
        <v>2930</v>
      </c>
      <c r="AW9" s="889" t="s">
        <v>638</v>
      </c>
      <c r="AX9" s="890" t="s">
        <v>1023</v>
      </c>
      <c r="AY9" s="889">
        <v>2</v>
      </c>
      <c r="AZ9" s="889">
        <v>30</v>
      </c>
      <c r="BA9" s="889">
        <v>2</v>
      </c>
      <c r="BB9" s="889" t="s">
        <v>1058</v>
      </c>
      <c r="BC9" s="889" t="s">
        <v>1112</v>
      </c>
      <c r="BD9" s="891" t="s">
        <v>1060</v>
      </c>
      <c r="BE9" s="891" t="s">
        <v>1026</v>
      </c>
      <c r="BF9" s="891" t="s">
        <v>1059</v>
      </c>
      <c r="BG9" s="889" t="s">
        <v>1053</v>
      </c>
      <c r="BH9" s="889" t="s">
        <v>592</v>
      </c>
      <c r="BI9" s="889" t="s">
        <v>1053</v>
      </c>
      <c r="BJ9" s="889" t="s">
        <v>638</v>
      </c>
      <c r="BK9" s="889" t="s">
        <v>638</v>
      </c>
      <c r="BL9" s="865"/>
      <c r="BM9" s="865"/>
      <c r="BN9" s="865"/>
      <c r="BO9" s="865"/>
      <c r="BP9" s="865"/>
      <c r="BQ9" s="208" t="s">
        <v>1144</v>
      </c>
      <c r="BR9" s="208"/>
      <c r="BS9" s="208"/>
      <c r="BT9" s="208"/>
      <c r="BU9" s="208"/>
      <c r="BV9" s="961"/>
      <c r="BW9" s="865"/>
      <c r="BX9" s="208"/>
      <c r="BY9" s="208"/>
      <c r="BZ9" s="865"/>
      <c r="CA9" s="208"/>
      <c r="CB9" s="926"/>
    </row>
    <row r="10" spans="1:80" ht="15" thickBot="1">
      <c r="A10" s="934"/>
      <c r="B10" s="935" t="s">
        <v>1142</v>
      </c>
      <c r="C10" s="936"/>
      <c r="D10" s="936"/>
      <c r="E10" s="937"/>
      <c r="F10" s="937"/>
      <c r="G10" s="937"/>
      <c r="H10" s="938"/>
      <c r="I10" s="938"/>
      <c r="J10" s="938"/>
      <c r="K10" s="937"/>
      <c r="L10" s="937"/>
      <c r="M10" s="937"/>
      <c r="N10" s="939"/>
      <c r="O10" s="939"/>
      <c r="P10" s="939"/>
      <c r="Q10" s="939"/>
      <c r="R10" s="939"/>
      <c r="S10" s="939"/>
      <c r="T10" s="939"/>
      <c r="U10" s="939"/>
      <c r="V10" s="939"/>
      <c r="W10" s="939"/>
      <c r="X10" s="939"/>
      <c r="Y10" s="939"/>
      <c r="Z10" s="939"/>
      <c r="AA10" s="939"/>
      <c r="AB10" s="939"/>
      <c r="AC10" s="939"/>
      <c r="AD10" s="939"/>
      <c r="AE10" s="940"/>
      <c r="AF10" s="940"/>
      <c r="AG10" s="940"/>
      <c r="AH10" s="940"/>
      <c r="AI10" s="940"/>
      <c r="AJ10" s="940"/>
      <c r="AK10" s="940"/>
      <c r="AL10" s="937"/>
      <c r="AM10" s="937"/>
      <c r="AN10" s="938"/>
      <c r="AO10" s="936"/>
      <c r="AP10" s="936"/>
      <c r="AQ10" s="938"/>
      <c r="AR10" s="941" t="s">
        <v>1114</v>
      </c>
      <c r="AS10" s="941" t="s">
        <v>1113</v>
      </c>
      <c r="AT10" s="942">
        <v>9950</v>
      </c>
      <c r="AU10" s="942">
        <v>3520</v>
      </c>
      <c r="AV10" s="942">
        <v>2930</v>
      </c>
      <c r="AW10" s="943" t="s">
        <v>638</v>
      </c>
      <c r="AX10" s="944" t="s">
        <v>1023</v>
      </c>
      <c r="AY10" s="943">
        <v>2</v>
      </c>
      <c r="AZ10" s="943" t="s">
        <v>332</v>
      </c>
      <c r="BA10" s="943">
        <v>2</v>
      </c>
      <c r="BB10" s="943">
        <v>2</v>
      </c>
      <c r="BC10" s="943" t="s">
        <v>1112</v>
      </c>
      <c r="BD10" s="945" t="s">
        <v>1132</v>
      </c>
      <c r="BE10" s="945" t="s">
        <v>1026</v>
      </c>
      <c r="BF10" s="945" t="s">
        <v>1027</v>
      </c>
      <c r="BG10" s="943" t="s">
        <v>1053</v>
      </c>
      <c r="BH10" s="943" t="s">
        <v>1053</v>
      </c>
      <c r="BI10" s="943" t="s">
        <v>592</v>
      </c>
      <c r="BJ10" s="943" t="s">
        <v>638</v>
      </c>
      <c r="BK10" s="943" t="s">
        <v>638</v>
      </c>
      <c r="BL10" s="937"/>
      <c r="BM10" s="937"/>
      <c r="BN10" s="937"/>
      <c r="BO10" s="937"/>
      <c r="BP10" s="937"/>
      <c r="BQ10" s="936"/>
      <c r="BR10" s="936"/>
      <c r="BS10" s="936"/>
      <c r="BT10" s="936"/>
      <c r="BU10" s="936"/>
      <c r="BV10" s="963"/>
      <c r="BW10" s="937"/>
      <c r="BX10" s="936"/>
      <c r="BY10" s="936"/>
      <c r="BZ10" s="937"/>
      <c r="CA10" s="936"/>
      <c r="CB10" s="946"/>
    </row>
    <row r="11" spans="1:80" ht="10.5" customHeight="1" thickBot="1">
      <c r="A11" s="899"/>
      <c r="B11" s="900"/>
      <c r="C11" s="901"/>
      <c r="D11" s="901"/>
      <c r="E11" s="902"/>
      <c r="F11" s="902"/>
      <c r="G11" s="902"/>
      <c r="H11" s="903"/>
      <c r="I11" s="903"/>
      <c r="J11" s="903"/>
      <c r="K11" s="902"/>
      <c r="L11" s="902"/>
      <c r="M11" s="902"/>
      <c r="N11" s="903"/>
      <c r="O11" s="903"/>
      <c r="P11" s="903"/>
      <c r="Q11" s="903"/>
      <c r="R11" s="903"/>
      <c r="S11" s="903"/>
      <c r="T11" s="903"/>
      <c r="U11" s="903"/>
      <c r="V11" s="903"/>
      <c r="W11" s="903"/>
      <c r="X11" s="903"/>
      <c r="Y11" s="903"/>
      <c r="Z11" s="903"/>
      <c r="AA11" s="903"/>
      <c r="AB11" s="903"/>
      <c r="AC11" s="903"/>
      <c r="AD11" s="903"/>
      <c r="AE11" s="903"/>
      <c r="AF11" s="903"/>
      <c r="AG11" s="903"/>
      <c r="AH11" s="903"/>
      <c r="AI11" s="903"/>
      <c r="AJ11" s="903"/>
      <c r="AK11" s="903"/>
      <c r="AL11" s="902"/>
      <c r="AM11" s="902"/>
      <c r="AN11" s="903"/>
      <c r="AO11" s="901"/>
      <c r="AP11" s="965"/>
      <c r="AQ11" s="903"/>
      <c r="AR11" s="899"/>
      <c r="AS11" s="903"/>
      <c r="AT11" s="900"/>
      <c r="AU11" s="900"/>
      <c r="AV11" s="900"/>
      <c r="AW11" s="902"/>
      <c r="AX11" s="902"/>
      <c r="AY11" s="902"/>
      <c r="AZ11" s="902"/>
      <c r="BA11" s="902"/>
      <c r="BB11" s="902"/>
      <c r="BC11" s="902"/>
      <c r="BD11" s="901"/>
      <c r="BE11" s="901"/>
      <c r="BF11" s="901"/>
      <c r="BG11" s="902"/>
      <c r="BH11" s="902"/>
      <c r="BI11" s="902"/>
      <c r="BJ11" s="902"/>
      <c r="BK11" s="902"/>
      <c r="BL11" s="902"/>
      <c r="BM11" s="902"/>
      <c r="BN11" s="902"/>
      <c r="BO11" s="902"/>
      <c r="BP11" s="902"/>
      <c r="BQ11" s="901"/>
      <c r="BR11" s="901"/>
      <c r="BS11" s="901"/>
      <c r="BT11" s="901"/>
      <c r="BU11" s="901"/>
      <c r="BV11" s="902"/>
      <c r="BW11" s="902"/>
      <c r="BX11" s="901"/>
      <c r="BY11" s="901"/>
      <c r="BZ11" s="902"/>
      <c r="CA11" s="901"/>
      <c r="CB11" s="1034"/>
    </row>
    <row r="12" spans="1:80">
      <c r="A12" s="966" t="s">
        <v>909</v>
      </c>
      <c r="B12" s="905" t="s">
        <v>905</v>
      </c>
      <c r="C12" s="906" t="s">
        <v>906</v>
      </c>
      <c r="D12" s="906" t="s">
        <v>752</v>
      </c>
      <c r="E12" s="907" t="s">
        <v>952</v>
      </c>
      <c r="F12" s="907" t="s">
        <v>638</v>
      </c>
      <c r="G12" s="907" t="s">
        <v>687</v>
      </c>
      <c r="H12" s="909">
        <v>6</v>
      </c>
      <c r="I12" s="909">
        <v>3</v>
      </c>
      <c r="J12" s="909">
        <v>3.5</v>
      </c>
      <c r="K12" s="907" t="s">
        <v>1172</v>
      </c>
      <c r="L12" s="907" t="s">
        <v>1173</v>
      </c>
      <c r="M12" s="907" t="s">
        <v>553</v>
      </c>
      <c r="N12" s="910" t="s">
        <v>592</v>
      </c>
      <c r="O12" s="910" t="s">
        <v>117</v>
      </c>
      <c r="P12" s="910" t="s">
        <v>117</v>
      </c>
      <c r="Q12" s="910" t="s">
        <v>117</v>
      </c>
      <c r="R12" s="910" t="s">
        <v>592</v>
      </c>
      <c r="S12" s="910" t="s">
        <v>117</v>
      </c>
      <c r="T12" s="910" t="s">
        <v>117</v>
      </c>
      <c r="U12" s="910" t="s">
        <v>117</v>
      </c>
      <c r="V12" s="910" t="s">
        <v>592</v>
      </c>
      <c r="W12" s="910" t="s">
        <v>592</v>
      </c>
      <c r="X12" s="910" t="s">
        <v>117</v>
      </c>
      <c r="Y12" s="910" t="s">
        <v>592</v>
      </c>
      <c r="Z12" s="910" t="s">
        <v>117</v>
      </c>
      <c r="AA12" s="910" t="s">
        <v>117</v>
      </c>
      <c r="AB12" s="910" t="s">
        <v>117</v>
      </c>
      <c r="AC12" s="910" t="s">
        <v>117</v>
      </c>
      <c r="AD12" s="910" t="s">
        <v>117</v>
      </c>
      <c r="AE12" s="911" t="s">
        <v>117</v>
      </c>
      <c r="AF12" s="911" t="s">
        <v>117</v>
      </c>
      <c r="AG12" s="967" t="s">
        <v>982</v>
      </c>
      <c r="AH12" s="911" t="s">
        <v>592</v>
      </c>
      <c r="AI12" s="911" t="s">
        <v>117</v>
      </c>
      <c r="AJ12" s="911" t="s">
        <v>592</v>
      </c>
      <c r="AK12" s="911" t="s">
        <v>117</v>
      </c>
      <c r="AL12" s="907" t="s">
        <v>638</v>
      </c>
      <c r="AM12" s="907" t="s">
        <v>1134</v>
      </c>
      <c r="AN12" s="909" t="s">
        <v>1135</v>
      </c>
      <c r="AO12" s="906" t="s">
        <v>1174</v>
      </c>
      <c r="AP12" s="906" t="s">
        <v>1175</v>
      </c>
      <c r="AQ12" s="968" t="s">
        <v>1057</v>
      </c>
      <c r="AR12" s="969" t="s">
        <v>1110</v>
      </c>
      <c r="AS12" s="970" t="s">
        <v>950</v>
      </c>
      <c r="AT12" s="915">
        <v>8500</v>
      </c>
      <c r="AU12" s="971">
        <v>3000</v>
      </c>
      <c r="AV12" s="971">
        <v>2500</v>
      </c>
      <c r="AW12" s="916" t="s">
        <v>638</v>
      </c>
      <c r="AX12" s="917" t="s">
        <v>1023</v>
      </c>
      <c r="AY12" s="916">
        <v>2</v>
      </c>
      <c r="AZ12" s="916">
        <v>30</v>
      </c>
      <c r="BA12" s="916">
        <v>2</v>
      </c>
      <c r="BB12" s="916" t="s">
        <v>1052</v>
      </c>
      <c r="BC12" s="916" t="s">
        <v>1032</v>
      </c>
      <c r="BD12" s="918" t="s">
        <v>1025</v>
      </c>
      <c r="BE12" s="918" t="s">
        <v>1026</v>
      </c>
      <c r="BF12" s="918" t="s">
        <v>1027</v>
      </c>
      <c r="BG12" s="916" t="s">
        <v>592</v>
      </c>
      <c r="BH12" s="916" t="s">
        <v>1053</v>
      </c>
      <c r="BI12" s="916" t="s">
        <v>1053</v>
      </c>
      <c r="BJ12" s="916" t="s">
        <v>638</v>
      </c>
      <c r="BK12" s="916" t="s">
        <v>638</v>
      </c>
      <c r="BL12" s="948" t="s">
        <v>638</v>
      </c>
      <c r="BM12" s="948" t="s">
        <v>994</v>
      </c>
      <c r="BN12" s="908" t="s">
        <v>1123</v>
      </c>
      <c r="BO12" s="907" t="s">
        <v>638</v>
      </c>
      <c r="BP12" s="907" t="s">
        <v>991</v>
      </c>
      <c r="BQ12" s="906" t="s">
        <v>1156</v>
      </c>
      <c r="BR12" s="906" t="s">
        <v>1034</v>
      </c>
      <c r="BS12" s="906" t="s">
        <v>1159</v>
      </c>
      <c r="BT12" s="919" t="s">
        <v>1036</v>
      </c>
      <c r="BU12" s="906" t="s">
        <v>1038</v>
      </c>
      <c r="BV12" s="958">
        <v>0.2</v>
      </c>
      <c r="BW12" s="907" t="s">
        <v>1160</v>
      </c>
      <c r="BX12" s="906" t="s">
        <v>1162</v>
      </c>
      <c r="BY12" s="906" t="s">
        <v>1161</v>
      </c>
      <c r="BZ12" s="907" t="s">
        <v>1149</v>
      </c>
      <c r="CA12" s="906" t="s">
        <v>1150</v>
      </c>
      <c r="CB12" s="924" t="s">
        <v>1178</v>
      </c>
    </row>
    <row r="13" spans="1:80">
      <c r="A13" s="933"/>
      <c r="B13" s="43" t="s">
        <v>943</v>
      </c>
      <c r="C13" s="884" t="s">
        <v>1158</v>
      </c>
      <c r="D13" s="208"/>
      <c r="E13" s="865"/>
      <c r="F13" s="865"/>
      <c r="G13" s="865"/>
      <c r="H13" s="48"/>
      <c r="I13" s="48"/>
      <c r="J13" s="48"/>
      <c r="K13" s="865"/>
      <c r="L13" s="865"/>
      <c r="M13" s="865"/>
      <c r="N13" s="866"/>
      <c r="O13" s="866"/>
      <c r="P13" s="866"/>
      <c r="Q13" s="866"/>
      <c r="R13" s="866"/>
      <c r="S13" s="866"/>
      <c r="T13" s="866"/>
      <c r="U13" s="866"/>
      <c r="V13" s="866"/>
      <c r="W13" s="866"/>
      <c r="X13" s="866"/>
      <c r="Y13" s="866"/>
      <c r="Z13" s="866"/>
      <c r="AA13" s="866"/>
      <c r="AB13" s="866"/>
      <c r="AC13" s="866"/>
      <c r="AD13" s="866"/>
      <c r="AE13" s="867"/>
      <c r="AF13" s="867"/>
      <c r="AG13" s="867"/>
      <c r="AH13" s="867"/>
      <c r="AI13" s="867"/>
      <c r="AJ13" s="867"/>
      <c r="AK13" s="867"/>
      <c r="AL13" s="865"/>
      <c r="AM13" s="865"/>
      <c r="AN13" s="48">
        <v>1420</v>
      </c>
      <c r="AO13" s="208"/>
      <c r="AP13" s="208"/>
      <c r="AQ13" s="964" t="s">
        <v>1176</v>
      </c>
      <c r="AR13" s="898"/>
      <c r="AS13" s="870" t="s">
        <v>951</v>
      </c>
      <c r="AT13" s="355">
        <v>9950</v>
      </c>
      <c r="AU13" s="355">
        <v>3520</v>
      </c>
      <c r="AV13" s="355">
        <v>2930</v>
      </c>
      <c r="AW13" s="889" t="s">
        <v>638</v>
      </c>
      <c r="AX13" s="890" t="s">
        <v>1023</v>
      </c>
      <c r="AY13" s="889">
        <v>2</v>
      </c>
      <c r="AZ13" s="889">
        <v>30</v>
      </c>
      <c r="BA13" s="889">
        <v>2</v>
      </c>
      <c r="BB13" s="889" t="s">
        <v>1058</v>
      </c>
      <c r="BC13" s="889" t="s">
        <v>1179</v>
      </c>
      <c r="BD13" s="891" t="s">
        <v>1060</v>
      </c>
      <c r="BE13" s="891" t="s">
        <v>1026</v>
      </c>
      <c r="BF13" s="891" t="s">
        <v>1059</v>
      </c>
      <c r="BG13" s="889" t="s">
        <v>1053</v>
      </c>
      <c r="BH13" s="889" t="s">
        <v>592</v>
      </c>
      <c r="BI13" s="889" t="s">
        <v>1053</v>
      </c>
      <c r="BJ13" s="889" t="s">
        <v>638</v>
      </c>
      <c r="BK13" s="889" t="s">
        <v>638</v>
      </c>
      <c r="BL13" s="865"/>
      <c r="BM13" s="865"/>
      <c r="BN13" s="865"/>
      <c r="BO13" s="865"/>
      <c r="BP13" s="865"/>
      <c r="BQ13" s="208" t="s">
        <v>1163</v>
      </c>
      <c r="BR13" s="208"/>
      <c r="BS13" s="208"/>
      <c r="BT13" s="947" t="s">
        <v>1164</v>
      </c>
      <c r="BU13" s="208"/>
      <c r="BV13" s="961"/>
      <c r="BW13" s="865"/>
      <c r="BX13" s="208"/>
      <c r="BY13" s="208"/>
      <c r="BZ13" s="865"/>
      <c r="CA13" s="208"/>
      <c r="CB13" s="926"/>
    </row>
    <row r="14" spans="1:80" ht="15" thickBot="1">
      <c r="A14" s="934"/>
      <c r="B14" s="972" t="s">
        <v>1157</v>
      </c>
      <c r="C14" s="936"/>
      <c r="D14" s="936"/>
      <c r="E14" s="937"/>
      <c r="F14" s="937"/>
      <c r="G14" s="937"/>
      <c r="H14" s="938"/>
      <c r="I14" s="938"/>
      <c r="J14" s="938"/>
      <c r="K14" s="937"/>
      <c r="L14" s="937"/>
      <c r="M14" s="937"/>
      <c r="N14" s="939"/>
      <c r="O14" s="939"/>
      <c r="P14" s="939"/>
      <c r="Q14" s="939"/>
      <c r="R14" s="939"/>
      <c r="S14" s="939"/>
      <c r="T14" s="939"/>
      <c r="U14" s="939"/>
      <c r="V14" s="939"/>
      <c r="W14" s="939"/>
      <c r="X14" s="939"/>
      <c r="Y14" s="939"/>
      <c r="Z14" s="939"/>
      <c r="AA14" s="939"/>
      <c r="AB14" s="939"/>
      <c r="AC14" s="939"/>
      <c r="AD14" s="939"/>
      <c r="AE14" s="940"/>
      <c r="AF14" s="940"/>
      <c r="AG14" s="940"/>
      <c r="AH14" s="940"/>
      <c r="AI14" s="940"/>
      <c r="AJ14" s="940"/>
      <c r="AK14" s="940"/>
      <c r="AL14" s="937"/>
      <c r="AM14" s="937"/>
      <c r="AN14" s="938"/>
      <c r="AO14" s="936"/>
      <c r="AP14" s="936"/>
      <c r="AQ14" s="973" t="s">
        <v>1177</v>
      </c>
      <c r="AR14" s="941" t="s">
        <v>1114</v>
      </c>
      <c r="AS14" s="941" t="s">
        <v>1113</v>
      </c>
      <c r="AT14" s="942">
        <v>9950</v>
      </c>
      <c r="AU14" s="942">
        <v>3520</v>
      </c>
      <c r="AV14" s="942">
        <v>2930</v>
      </c>
      <c r="AW14" s="943" t="s">
        <v>638</v>
      </c>
      <c r="AX14" s="944" t="s">
        <v>1023</v>
      </c>
      <c r="AY14" s="943">
        <v>2</v>
      </c>
      <c r="AZ14" s="943" t="s">
        <v>332</v>
      </c>
      <c r="BA14" s="943">
        <v>2</v>
      </c>
      <c r="BB14" s="943">
        <v>2</v>
      </c>
      <c r="BC14" s="943" t="s">
        <v>1181</v>
      </c>
      <c r="BD14" s="945" t="s">
        <v>1132</v>
      </c>
      <c r="BE14" s="945" t="s">
        <v>1026</v>
      </c>
      <c r="BF14" s="945" t="s">
        <v>1027</v>
      </c>
      <c r="BG14" s="943" t="s">
        <v>1053</v>
      </c>
      <c r="BH14" s="943" t="s">
        <v>1053</v>
      </c>
      <c r="BI14" s="943" t="s">
        <v>592</v>
      </c>
      <c r="BJ14" s="943" t="s">
        <v>638</v>
      </c>
      <c r="BK14" s="943" t="s">
        <v>638</v>
      </c>
      <c r="BL14" s="937"/>
      <c r="BM14" s="937"/>
      <c r="BN14" s="937"/>
      <c r="BO14" s="937"/>
      <c r="BP14" s="937"/>
      <c r="BQ14" s="936"/>
      <c r="BR14" s="936"/>
      <c r="BS14" s="936"/>
      <c r="BT14" s="936"/>
      <c r="BU14" s="936"/>
      <c r="BV14" s="963"/>
      <c r="BW14" s="937"/>
      <c r="BX14" s="936"/>
      <c r="BY14" s="936"/>
      <c r="BZ14" s="937"/>
      <c r="CA14" s="936"/>
      <c r="CB14" s="946"/>
    </row>
    <row r="15" spans="1:80" ht="10.5" customHeight="1" thickBot="1">
      <c r="A15" s="899"/>
      <c r="B15" s="900"/>
      <c r="C15" s="901"/>
      <c r="D15" s="901"/>
      <c r="E15" s="902"/>
      <c r="F15" s="902"/>
      <c r="G15" s="902"/>
      <c r="H15" s="903"/>
      <c r="I15" s="903"/>
      <c r="J15" s="903"/>
      <c r="K15" s="902"/>
      <c r="L15" s="902"/>
      <c r="M15" s="902"/>
      <c r="N15" s="903"/>
      <c r="O15" s="903"/>
      <c r="P15" s="903"/>
      <c r="Q15" s="903"/>
      <c r="R15" s="903"/>
      <c r="S15" s="903"/>
      <c r="T15" s="903"/>
      <c r="U15" s="903"/>
      <c r="V15" s="903"/>
      <c r="W15" s="903"/>
      <c r="X15" s="903"/>
      <c r="Y15" s="903"/>
      <c r="Z15" s="903"/>
      <c r="AA15" s="903"/>
      <c r="AB15" s="903"/>
      <c r="AC15" s="903"/>
      <c r="AD15" s="903"/>
      <c r="AE15" s="903"/>
      <c r="AF15" s="903"/>
      <c r="AG15" s="903"/>
      <c r="AH15" s="903"/>
      <c r="AI15" s="903"/>
      <c r="AJ15" s="903"/>
      <c r="AK15" s="903"/>
      <c r="AL15" s="902"/>
      <c r="AM15" s="902"/>
      <c r="AN15" s="903"/>
      <c r="AO15" s="901"/>
      <c r="AP15" s="965"/>
      <c r="AQ15" s="903"/>
      <c r="AR15" s="899"/>
      <c r="AS15" s="903"/>
      <c r="AT15" s="900"/>
      <c r="AU15" s="900"/>
      <c r="AV15" s="900"/>
      <c r="AW15" s="902"/>
      <c r="AX15" s="902"/>
      <c r="AY15" s="902"/>
      <c r="AZ15" s="902"/>
      <c r="BA15" s="902"/>
      <c r="BB15" s="902"/>
      <c r="BC15" s="902"/>
      <c r="BD15" s="901"/>
      <c r="BE15" s="901"/>
      <c r="BF15" s="901"/>
      <c r="BG15" s="902"/>
      <c r="BH15" s="902"/>
      <c r="BI15" s="902"/>
      <c r="BJ15" s="902"/>
      <c r="BK15" s="902"/>
      <c r="BL15" s="902"/>
      <c r="BM15" s="902"/>
      <c r="BN15" s="902"/>
      <c r="BO15" s="902"/>
      <c r="BP15" s="902"/>
      <c r="BQ15" s="901"/>
      <c r="BR15" s="901"/>
      <c r="BS15" s="901"/>
      <c r="BT15" s="901"/>
      <c r="BU15" s="901"/>
      <c r="BV15" s="902"/>
      <c r="BW15" s="902"/>
      <c r="BX15" s="901"/>
      <c r="BY15" s="901"/>
      <c r="BZ15" s="902"/>
      <c r="CA15" s="901"/>
      <c r="CB15" s="1034"/>
    </row>
    <row r="16" spans="1:80">
      <c r="A16" s="974" t="s">
        <v>210</v>
      </c>
      <c r="B16" s="905" t="s">
        <v>1183</v>
      </c>
      <c r="C16" s="906" t="s">
        <v>1186</v>
      </c>
      <c r="D16" s="906" t="s">
        <v>1187</v>
      </c>
      <c r="E16" s="907" t="s">
        <v>952</v>
      </c>
      <c r="F16" s="907" t="s">
        <v>638</v>
      </c>
      <c r="G16" s="908" t="s">
        <v>1214</v>
      </c>
      <c r="H16" s="909">
        <v>4</v>
      </c>
      <c r="I16" s="909">
        <v>2</v>
      </c>
      <c r="J16" s="909">
        <v>2</v>
      </c>
      <c r="K16" s="907" t="s">
        <v>1189</v>
      </c>
      <c r="L16" s="907" t="s">
        <v>1190</v>
      </c>
      <c r="M16" s="907" t="s">
        <v>553</v>
      </c>
      <c r="N16" s="910" t="s">
        <v>592</v>
      </c>
      <c r="O16" s="910" t="s">
        <v>117</v>
      </c>
      <c r="P16" s="910" t="s">
        <v>117</v>
      </c>
      <c r="Q16" s="910" t="s">
        <v>117</v>
      </c>
      <c r="R16" s="910" t="s">
        <v>117</v>
      </c>
      <c r="S16" s="910" t="s">
        <v>592</v>
      </c>
      <c r="T16" s="910" t="s">
        <v>117</v>
      </c>
      <c r="U16" s="910" t="s">
        <v>117</v>
      </c>
      <c r="V16" s="910" t="s">
        <v>592</v>
      </c>
      <c r="W16" s="910" t="s">
        <v>592</v>
      </c>
      <c r="X16" s="910" t="s">
        <v>592</v>
      </c>
      <c r="Y16" s="910" t="s">
        <v>592</v>
      </c>
      <c r="Z16" s="975" t="s">
        <v>332</v>
      </c>
      <c r="AA16" s="975" t="s">
        <v>332</v>
      </c>
      <c r="AB16" s="910" t="s">
        <v>117</v>
      </c>
      <c r="AC16" s="910" t="s">
        <v>117</v>
      </c>
      <c r="AD16" s="910" t="s">
        <v>117</v>
      </c>
      <c r="AE16" s="911" t="s">
        <v>117</v>
      </c>
      <c r="AF16" s="911" t="s">
        <v>117</v>
      </c>
      <c r="AG16" s="911" t="s">
        <v>592</v>
      </c>
      <c r="AH16" s="911" t="s">
        <v>117</v>
      </c>
      <c r="AI16" s="911" t="s">
        <v>592</v>
      </c>
      <c r="AJ16" s="911" t="s">
        <v>592</v>
      </c>
      <c r="AK16" s="911" t="s">
        <v>117</v>
      </c>
      <c r="AL16" s="907" t="s">
        <v>638</v>
      </c>
      <c r="AM16" s="907" t="s">
        <v>1134</v>
      </c>
      <c r="AN16" s="909" t="s">
        <v>592</v>
      </c>
      <c r="AO16" s="906" t="s">
        <v>1192</v>
      </c>
      <c r="AP16" s="919" t="s">
        <v>1193</v>
      </c>
      <c r="AQ16" s="912" t="s">
        <v>1194</v>
      </c>
      <c r="AR16" s="976" t="s">
        <v>210</v>
      </c>
      <c r="AS16" s="970" t="s">
        <v>950</v>
      </c>
      <c r="AT16" s="915">
        <v>2800</v>
      </c>
      <c r="AU16" s="971">
        <v>1600</v>
      </c>
      <c r="AV16" s="971">
        <v>1400</v>
      </c>
      <c r="AW16" s="916" t="s">
        <v>638</v>
      </c>
      <c r="AX16" s="917" t="s">
        <v>1023</v>
      </c>
      <c r="AY16" s="916">
        <v>2</v>
      </c>
      <c r="AZ16" s="916">
        <v>30</v>
      </c>
      <c r="BA16" s="916">
        <v>1</v>
      </c>
      <c r="BB16" s="916">
        <v>1</v>
      </c>
      <c r="BC16" s="916" t="s">
        <v>1032</v>
      </c>
      <c r="BD16" s="918" t="s">
        <v>1025</v>
      </c>
      <c r="BE16" s="918" t="s">
        <v>1026</v>
      </c>
      <c r="BF16" s="918" t="s">
        <v>1027</v>
      </c>
      <c r="BG16" s="916" t="s">
        <v>592</v>
      </c>
      <c r="BH16" s="916" t="s">
        <v>1053</v>
      </c>
      <c r="BI16" s="916" t="s">
        <v>1053</v>
      </c>
      <c r="BJ16" s="916" t="s">
        <v>638</v>
      </c>
      <c r="BK16" s="916" t="s">
        <v>638</v>
      </c>
      <c r="BL16" s="907" t="s">
        <v>638</v>
      </c>
      <c r="BM16" s="907" t="s">
        <v>1115</v>
      </c>
      <c r="BN16" s="907" t="s">
        <v>638</v>
      </c>
      <c r="BO16" s="907" t="s">
        <v>638</v>
      </c>
      <c r="BP16" s="907" t="s">
        <v>1195</v>
      </c>
      <c r="BQ16" s="906" t="s">
        <v>1196</v>
      </c>
      <c r="BR16" s="906" t="s">
        <v>332</v>
      </c>
      <c r="BS16" s="906" t="s">
        <v>1197</v>
      </c>
      <c r="BT16" s="919" t="s">
        <v>1198</v>
      </c>
      <c r="BU16" s="906" t="s">
        <v>1199</v>
      </c>
      <c r="BV16" s="958">
        <v>0.2</v>
      </c>
      <c r="BW16" s="907" t="s">
        <v>450</v>
      </c>
      <c r="BX16" s="906" t="s">
        <v>1200</v>
      </c>
      <c r="BY16" s="906" t="s">
        <v>1041</v>
      </c>
      <c r="BZ16" s="907" t="s">
        <v>1201</v>
      </c>
      <c r="CA16" s="919" t="s">
        <v>1202</v>
      </c>
      <c r="CB16" s="920" t="s">
        <v>1191</v>
      </c>
    </row>
    <row r="17" spans="1:80">
      <c r="A17" s="933"/>
      <c r="B17" s="43" t="s">
        <v>1185</v>
      </c>
      <c r="C17" s="884" t="s">
        <v>1188</v>
      </c>
      <c r="D17" s="208"/>
      <c r="E17" s="865"/>
      <c r="F17" s="865"/>
      <c r="G17" s="865"/>
      <c r="H17" s="48"/>
      <c r="I17" s="48"/>
      <c r="J17" s="48"/>
      <c r="K17" s="865"/>
      <c r="L17" s="865"/>
      <c r="M17" s="865"/>
      <c r="N17" s="866"/>
      <c r="O17" s="866"/>
      <c r="P17" s="866"/>
      <c r="Q17" s="866"/>
      <c r="R17" s="866"/>
      <c r="S17" s="866"/>
      <c r="T17" s="866"/>
      <c r="U17" s="866"/>
      <c r="V17" s="866"/>
      <c r="W17" s="866"/>
      <c r="X17" s="866"/>
      <c r="Y17" s="866"/>
      <c r="Z17" s="866"/>
      <c r="AA17" s="866"/>
      <c r="AB17" s="866"/>
      <c r="AC17" s="866"/>
      <c r="AD17" s="866"/>
      <c r="AE17" s="867"/>
      <c r="AF17" s="867"/>
      <c r="AG17" s="867"/>
      <c r="AH17" s="867"/>
      <c r="AI17" s="867"/>
      <c r="AJ17" s="867"/>
      <c r="AK17" s="867"/>
      <c r="AL17" s="865"/>
      <c r="AM17" s="865"/>
      <c r="AN17" s="48"/>
      <c r="AO17" s="208"/>
      <c r="AP17" s="208"/>
      <c r="AQ17" s="868" t="s">
        <v>1057</v>
      </c>
      <c r="AR17" s="898"/>
      <c r="AS17" s="870" t="s">
        <v>951</v>
      </c>
      <c r="AT17" s="355">
        <v>3150</v>
      </c>
      <c r="AU17" s="355">
        <v>1950</v>
      </c>
      <c r="AV17" s="355">
        <v>1700</v>
      </c>
      <c r="AW17" s="889" t="s">
        <v>638</v>
      </c>
      <c r="AX17" s="890" t="s">
        <v>1023</v>
      </c>
      <c r="AY17" s="889">
        <v>2</v>
      </c>
      <c r="AZ17" s="889">
        <v>30</v>
      </c>
      <c r="BA17" s="889">
        <v>1</v>
      </c>
      <c r="BB17" s="889" t="s">
        <v>1058</v>
      </c>
      <c r="BC17" s="889" t="s">
        <v>1213</v>
      </c>
      <c r="BD17" s="891" t="s">
        <v>1060</v>
      </c>
      <c r="BE17" s="891" t="s">
        <v>1026</v>
      </c>
      <c r="BF17" s="891" t="s">
        <v>1059</v>
      </c>
      <c r="BG17" s="889" t="s">
        <v>1053</v>
      </c>
      <c r="BH17" s="889" t="s">
        <v>592</v>
      </c>
      <c r="BI17" s="889" t="s">
        <v>1053</v>
      </c>
      <c r="BJ17" s="889" t="s">
        <v>638</v>
      </c>
      <c r="BK17" s="889" t="s">
        <v>638</v>
      </c>
      <c r="BL17" s="950"/>
      <c r="BM17" s="865"/>
      <c r="BN17" s="865"/>
      <c r="BO17" s="865"/>
      <c r="BP17" s="865"/>
      <c r="BQ17" s="208"/>
      <c r="BR17" s="208"/>
      <c r="BS17" s="208"/>
      <c r="BT17" s="208"/>
      <c r="BU17" s="208"/>
      <c r="BV17" s="961"/>
      <c r="BW17" s="865"/>
      <c r="BX17" s="208"/>
      <c r="BY17" s="208"/>
      <c r="BZ17" s="865"/>
      <c r="CA17" s="208"/>
      <c r="CB17" s="926"/>
    </row>
    <row r="18" spans="1:80" ht="15" thickBot="1">
      <c r="A18" s="934"/>
      <c r="B18" s="972" t="s">
        <v>1184</v>
      </c>
      <c r="C18" s="936"/>
      <c r="D18" s="936"/>
      <c r="E18" s="937"/>
      <c r="F18" s="937"/>
      <c r="G18" s="937"/>
      <c r="H18" s="938"/>
      <c r="I18" s="938"/>
      <c r="J18" s="938"/>
      <c r="K18" s="937"/>
      <c r="L18" s="937"/>
      <c r="M18" s="937"/>
      <c r="N18" s="939"/>
      <c r="O18" s="939"/>
      <c r="P18" s="939"/>
      <c r="Q18" s="939"/>
      <c r="R18" s="939"/>
      <c r="S18" s="939"/>
      <c r="T18" s="939"/>
      <c r="U18" s="939"/>
      <c r="V18" s="939"/>
      <c r="W18" s="939"/>
      <c r="X18" s="939"/>
      <c r="Y18" s="939"/>
      <c r="Z18" s="939"/>
      <c r="AA18" s="939"/>
      <c r="AB18" s="939"/>
      <c r="AC18" s="939"/>
      <c r="AD18" s="939"/>
      <c r="AE18" s="940"/>
      <c r="AF18" s="940"/>
      <c r="AG18" s="940"/>
      <c r="AH18" s="940"/>
      <c r="AI18" s="940"/>
      <c r="AJ18" s="940"/>
      <c r="AK18" s="940"/>
      <c r="AL18" s="937"/>
      <c r="AM18" s="937"/>
      <c r="AN18" s="938"/>
      <c r="AO18" s="936"/>
      <c r="AP18" s="936"/>
      <c r="AQ18" s="938"/>
      <c r="AR18" s="941" t="s">
        <v>1114</v>
      </c>
      <c r="AS18" s="941" t="s">
        <v>1113</v>
      </c>
      <c r="AT18" s="942">
        <v>3150</v>
      </c>
      <c r="AU18" s="942">
        <v>1950</v>
      </c>
      <c r="AV18" s="942">
        <v>1700</v>
      </c>
      <c r="AW18" s="943" t="s">
        <v>638</v>
      </c>
      <c r="AX18" s="944" t="s">
        <v>1023</v>
      </c>
      <c r="AY18" s="943">
        <v>2</v>
      </c>
      <c r="AZ18" s="943">
        <v>30</v>
      </c>
      <c r="BA18" s="943">
        <v>1</v>
      </c>
      <c r="BB18" s="943">
        <v>1</v>
      </c>
      <c r="BC18" s="943" t="s">
        <v>1215</v>
      </c>
      <c r="BD18" s="945" t="s">
        <v>1132</v>
      </c>
      <c r="BE18" s="945" t="s">
        <v>1026</v>
      </c>
      <c r="BF18" s="945" t="s">
        <v>1027</v>
      </c>
      <c r="BG18" s="943" t="s">
        <v>1053</v>
      </c>
      <c r="BH18" s="943" t="s">
        <v>1053</v>
      </c>
      <c r="BI18" s="943" t="s">
        <v>592</v>
      </c>
      <c r="BJ18" s="943" t="s">
        <v>638</v>
      </c>
      <c r="BK18" s="943" t="s">
        <v>638</v>
      </c>
      <c r="BL18" s="937"/>
      <c r="BM18" s="937"/>
      <c r="BN18" s="937"/>
      <c r="BO18" s="937"/>
      <c r="BP18" s="937"/>
      <c r="BQ18" s="936"/>
      <c r="BR18" s="936"/>
      <c r="BS18" s="936"/>
      <c r="BT18" s="936"/>
      <c r="BU18" s="936"/>
      <c r="BV18" s="963"/>
      <c r="BW18" s="937"/>
      <c r="BX18" s="936"/>
      <c r="BY18" s="936"/>
      <c r="BZ18" s="937"/>
      <c r="CA18" s="936"/>
      <c r="CB18" s="946"/>
    </row>
    <row r="19" spans="1:80" ht="10.5" customHeight="1" thickBot="1">
      <c r="A19" s="991"/>
      <c r="B19" s="992"/>
      <c r="C19" s="965"/>
      <c r="D19" s="965"/>
      <c r="E19" s="990"/>
      <c r="F19" s="990"/>
      <c r="G19" s="990"/>
      <c r="H19" s="993"/>
      <c r="I19" s="993"/>
      <c r="J19" s="993"/>
      <c r="K19" s="990"/>
      <c r="L19" s="990"/>
      <c r="M19" s="990"/>
      <c r="N19" s="993"/>
      <c r="O19" s="993"/>
      <c r="P19" s="993"/>
      <c r="Q19" s="993"/>
      <c r="R19" s="993"/>
      <c r="S19" s="993"/>
      <c r="T19" s="993"/>
      <c r="U19" s="993"/>
      <c r="V19" s="993"/>
      <c r="W19" s="993"/>
      <c r="X19" s="993"/>
      <c r="Y19" s="993"/>
      <c r="Z19" s="993"/>
      <c r="AA19" s="993"/>
      <c r="AB19" s="993"/>
      <c r="AC19" s="993"/>
      <c r="AD19" s="993"/>
      <c r="AE19" s="993"/>
      <c r="AF19" s="993"/>
      <c r="AG19" s="993"/>
      <c r="AH19" s="993"/>
      <c r="AI19" s="993"/>
      <c r="AJ19" s="993"/>
      <c r="AK19" s="993"/>
      <c r="AL19" s="990"/>
      <c r="AM19" s="990"/>
      <c r="AN19" s="993"/>
      <c r="AO19" s="965"/>
      <c r="AP19" s="965"/>
      <c r="AQ19" s="993"/>
      <c r="AR19" s="994"/>
      <c r="AS19" s="993"/>
      <c r="AT19" s="992"/>
      <c r="AU19" s="992"/>
      <c r="AV19" s="992"/>
      <c r="AW19" s="990"/>
      <c r="AX19" s="990"/>
      <c r="AY19" s="990"/>
      <c r="AZ19" s="990"/>
      <c r="BA19" s="990"/>
      <c r="BB19" s="990"/>
      <c r="BC19" s="990"/>
      <c r="BD19" s="965"/>
      <c r="BE19" s="965"/>
      <c r="BF19" s="965"/>
      <c r="BG19" s="990"/>
      <c r="BH19" s="990"/>
      <c r="BI19" s="990"/>
      <c r="BJ19" s="990"/>
      <c r="BK19" s="990"/>
      <c r="BL19" s="990"/>
      <c r="BM19" s="990"/>
      <c r="BN19" s="990"/>
      <c r="BO19" s="990"/>
      <c r="BP19" s="990"/>
      <c r="BQ19" s="965"/>
      <c r="BR19" s="965"/>
      <c r="BS19" s="965"/>
      <c r="BT19" s="965"/>
      <c r="BU19" s="965"/>
      <c r="BV19" s="990"/>
      <c r="BW19" s="990"/>
      <c r="BX19" s="965"/>
      <c r="BY19" s="965"/>
      <c r="BZ19" s="990"/>
      <c r="CA19" s="965"/>
      <c r="CB19" s="1034"/>
    </row>
    <row r="20" spans="1:80">
      <c r="A20" s="986" t="s">
        <v>388</v>
      </c>
      <c r="B20" s="905" t="s">
        <v>1222</v>
      </c>
      <c r="C20" s="906" t="s">
        <v>981</v>
      </c>
      <c r="D20" s="906" t="s">
        <v>981</v>
      </c>
      <c r="E20" s="907" t="s">
        <v>953</v>
      </c>
      <c r="F20" s="907" t="s">
        <v>638</v>
      </c>
      <c r="G20" s="908" t="s">
        <v>1223</v>
      </c>
      <c r="H20" s="909">
        <v>12</v>
      </c>
      <c r="I20" s="909">
        <v>6</v>
      </c>
      <c r="J20" s="909">
        <v>5</v>
      </c>
      <c r="K20" s="987" t="s">
        <v>1224</v>
      </c>
      <c r="L20" s="907" t="s">
        <v>1339</v>
      </c>
      <c r="M20" s="907" t="s">
        <v>553</v>
      </c>
      <c r="N20" s="910" t="s">
        <v>117</v>
      </c>
      <c r="O20" s="910" t="s">
        <v>117</v>
      </c>
      <c r="P20" s="910" t="s">
        <v>117</v>
      </c>
      <c r="Q20" s="910" t="s">
        <v>117</v>
      </c>
      <c r="R20" s="910" t="s">
        <v>117</v>
      </c>
      <c r="S20" s="910" t="s">
        <v>117</v>
      </c>
      <c r="T20" s="910" t="s">
        <v>117</v>
      </c>
      <c r="U20" s="910" t="s">
        <v>117</v>
      </c>
      <c r="V20" s="910" t="s">
        <v>454</v>
      </c>
      <c r="W20" s="910" t="s">
        <v>592</v>
      </c>
      <c r="X20" s="910" t="s">
        <v>117</v>
      </c>
      <c r="Y20" s="910" t="s">
        <v>117</v>
      </c>
      <c r="Z20" s="910" t="s">
        <v>117</v>
      </c>
      <c r="AA20" s="910" t="s">
        <v>117</v>
      </c>
      <c r="AB20" s="910" t="s">
        <v>117</v>
      </c>
      <c r="AC20" s="910" t="s">
        <v>117</v>
      </c>
      <c r="AD20" s="910" t="s">
        <v>117</v>
      </c>
      <c r="AE20" s="911" t="s">
        <v>117</v>
      </c>
      <c r="AF20" s="911" t="s">
        <v>117</v>
      </c>
      <c r="AG20" s="911" t="s">
        <v>592</v>
      </c>
      <c r="AH20" s="911" t="s">
        <v>592</v>
      </c>
      <c r="AI20" s="911" t="s">
        <v>592</v>
      </c>
      <c r="AJ20" s="911" t="s">
        <v>592</v>
      </c>
      <c r="AK20" s="911" t="s">
        <v>117</v>
      </c>
      <c r="AL20" s="907" t="s">
        <v>638</v>
      </c>
      <c r="AM20" s="907" t="s">
        <v>1134</v>
      </c>
      <c r="AN20" s="909" t="s">
        <v>592</v>
      </c>
      <c r="AO20" s="906" t="s">
        <v>1227</v>
      </c>
      <c r="AP20" s="906" t="s">
        <v>980</v>
      </c>
      <c r="AQ20" s="912" t="s">
        <v>1228</v>
      </c>
      <c r="AR20" s="988" t="s">
        <v>388</v>
      </c>
      <c r="AS20" s="970" t="s">
        <v>950</v>
      </c>
      <c r="AT20" s="915">
        <v>8900</v>
      </c>
      <c r="AU20" s="915">
        <v>4000</v>
      </c>
      <c r="AV20" s="915">
        <v>3250</v>
      </c>
      <c r="AW20" s="916" t="s">
        <v>638</v>
      </c>
      <c r="AX20" s="1036" t="s">
        <v>1225</v>
      </c>
      <c r="AY20" s="916">
        <v>3</v>
      </c>
      <c r="AZ20" s="916">
        <v>30</v>
      </c>
      <c r="BA20" s="916">
        <v>3</v>
      </c>
      <c r="BB20" s="916" t="s">
        <v>1052</v>
      </c>
      <c r="BC20" s="916" t="s">
        <v>1032</v>
      </c>
      <c r="BD20" s="918" t="s">
        <v>1025</v>
      </c>
      <c r="BE20" s="918" t="s">
        <v>1026</v>
      </c>
      <c r="BF20" s="918" t="s">
        <v>1027</v>
      </c>
      <c r="BG20" s="916"/>
      <c r="BH20" s="916"/>
      <c r="BI20" s="916"/>
      <c r="BJ20" s="916"/>
      <c r="BK20" s="916"/>
      <c r="BL20" s="907" t="s">
        <v>638</v>
      </c>
      <c r="BM20" s="907" t="s">
        <v>1111</v>
      </c>
      <c r="BN20" s="907" t="s">
        <v>638</v>
      </c>
      <c r="BO20" s="907" t="s">
        <v>638</v>
      </c>
      <c r="BP20" s="907" t="s">
        <v>1340</v>
      </c>
      <c r="BQ20" s="906" t="s">
        <v>1338</v>
      </c>
      <c r="BR20" s="906" t="s">
        <v>332</v>
      </c>
      <c r="BS20" s="906" t="s">
        <v>1341</v>
      </c>
      <c r="BT20" s="906">
        <v>172805</v>
      </c>
      <c r="BU20" s="906" t="s">
        <v>1342</v>
      </c>
      <c r="BV20" s="1100">
        <v>0.2</v>
      </c>
      <c r="BW20" s="985" t="s">
        <v>1231</v>
      </c>
      <c r="BX20" s="906" t="s">
        <v>1232</v>
      </c>
      <c r="BY20" s="906" t="s">
        <v>1233</v>
      </c>
      <c r="BZ20" s="907" t="s">
        <v>1111</v>
      </c>
      <c r="CA20" s="906" t="s">
        <v>1111</v>
      </c>
      <c r="CB20" s="920" t="s">
        <v>1226</v>
      </c>
    </row>
    <row r="21" spans="1:80">
      <c r="A21" s="1099" t="s">
        <v>1338</v>
      </c>
      <c r="B21" s="43" t="s">
        <v>1229</v>
      </c>
      <c r="C21" s="884" t="s">
        <v>1337</v>
      </c>
      <c r="D21" s="208"/>
      <c r="E21" s="865"/>
      <c r="F21" s="865"/>
      <c r="G21" s="865"/>
      <c r="H21" s="48"/>
      <c r="I21" s="48"/>
      <c r="J21" s="48"/>
      <c r="K21" s="865"/>
      <c r="L21" s="865"/>
      <c r="M21" s="865"/>
      <c r="N21" s="866"/>
      <c r="O21" s="866"/>
      <c r="P21" s="866"/>
      <c r="Q21" s="866"/>
      <c r="R21" s="866"/>
      <c r="S21" s="866"/>
      <c r="T21" s="866"/>
      <c r="U21" s="866"/>
      <c r="V21" s="866"/>
      <c r="W21" s="866"/>
      <c r="X21" s="866"/>
      <c r="Y21" s="866"/>
      <c r="Z21" s="866"/>
      <c r="AA21" s="866"/>
      <c r="AB21" s="866"/>
      <c r="AC21" s="866"/>
      <c r="AD21" s="866"/>
      <c r="AE21" s="867"/>
      <c r="AF21" s="867"/>
      <c r="AG21" s="867"/>
      <c r="AH21" s="867"/>
      <c r="AI21" s="867"/>
      <c r="AJ21" s="867"/>
      <c r="AK21" s="867"/>
      <c r="AL21" s="865"/>
      <c r="AM21" s="865"/>
      <c r="AN21" s="48"/>
      <c r="AO21" s="208"/>
      <c r="AP21" s="208"/>
      <c r="AQ21" s="868" t="s">
        <v>1057</v>
      </c>
      <c r="AR21" s="984"/>
      <c r="AS21" s="870" t="s">
        <v>951</v>
      </c>
      <c r="AT21" s="355">
        <v>10600</v>
      </c>
      <c r="AU21" s="355">
        <v>4850</v>
      </c>
      <c r="AV21" s="355">
        <v>3900</v>
      </c>
      <c r="AW21" s="889" t="s">
        <v>638</v>
      </c>
      <c r="AX21" s="1037" t="s">
        <v>1225</v>
      </c>
      <c r="AY21" s="889"/>
      <c r="AZ21" s="889"/>
      <c r="BA21" s="889"/>
      <c r="BB21" s="1090" t="s">
        <v>1305</v>
      </c>
      <c r="BC21" s="889" t="s">
        <v>1181</v>
      </c>
      <c r="BD21" s="891"/>
      <c r="BE21" s="891"/>
      <c r="BF21" s="891"/>
      <c r="BG21" s="889"/>
      <c r="BH21" s="889"/>
      <c r="BI21" s="889"/>
      <c r="BJ21" s="889"/>
      <c r="BK21" s="889"/>
      <c r="BL21" s="865"/>
      <c r="BM21" s="865"/>
      <c r="BN21" s="865"/>
      <c r="BO21" s="865"/>
      <c r="BP21" s="865"/>
      <c r="BQ21" s="208"/>
      <c r="BR21" s="208"/>
      <c r="BS21" s="208"/>
      <c r="BT21" s="208"/>
      <c r="BU21" s="208"/>
      <c r="BV21" s="961"/>
      <c r="BW21" s="865"/>
      <c r="BX21" s="208"/>
      <c r="BY21" s="208"/>
      <c r="BZ21" s="865"/>
      <c r="CA21" s="208"/>
      <c r="CB21" s="926"/>
    </row>
    <row r="22" spans="1:80" ht="15" thickBot="1">
      <c r="A22" s="934"/>
      <c r="B22" s="989" t="s">
        <v>1230</v>
      </c>
      <c r="C22" s="936"/>
      <c r="D22" s="936"/>
      <c r="E22" s="937"/>
      <c r="F22" s="937"/>
      <c r="G22" s="937"/>
      <c r="H22" s="938"/>
      <c r="I22" s="938"/>
      <c r="J22" s="938"/>
      <c r="K22" s="937"/>
      <c r="L22" s="937"/>
      <c r="M22" s="937"/>
      <c r="N22" s="939"/>
      <c r="O22" s="939"/>
      <c r="P22" s="939"/>
      <c r="Q22" s="939"/>
      <c r="R22" s="939"/>
      <c r="S22" s="939"/>
      <c r="T22" s="939"/>
      <c r="U22" s="939"/>
      <c r="V22" s="939"/>
      <c r="W22" s="939"/>
      <c r="X22" s="939"/>
      <c r="Y22" s="939"/>
      <c r="Z22" s="939"/>
      <c r="AA22" s="939"/>
      <c r="AB22" s="939"/>
      <c r="AC22" s="939"/>
      <c r="AD22" s="939"/>
      <c r="AE22" s="940"/>
      <c r="AF22" s="940"/>
      <c r="AG22" s="940"/>
      <c r="AH22" s="940"/>
      <c r="AI22" s="940"/>
      <c r="AJ22" s="940"/>
      <c r="AK22" s="940"/>
      <c r="AL22" s="937"/>
      <c r="AM22" s="937"/>
      <c r="AN22" s="938"/>
      <c r="AO22" s="936"/>
      <c r="AP22" s="936"/>
      <c r="AQ22" s="938"/>
      <c r="AR22" s="941"/>
      <c r="AS22" s="941" t="s">
        <v>1113</v>
      </c>
      <c r="AT22" s="942"/>
      <c r="AU22" s="942"/>
      <c r="AV22" s="942"/>
      <c r="AW22" s="943"/>
      <c r="AX22" s="944"/>
      <c r="AY22" s="943"/>
      <c r="AZ22" s="943"/>
      <c r="BA22" s="943"/>
      <c r="BB22" s="1091" t="s">
        <v>1305</v>
      </c>
      <c r="BC22" s="943"/>
      <c r="BD22" s="945"/>
      <c r="BE22" s="945"/>
      <c r="BF22" s="945"/>
      <c r="BG22" s="943"/>
      <c r="BH22" s="943"/>
      <c r="BI22" s="943"/>
      <c r="BJ22" s="943"/>
      <c r="BK22" s="943"/>
      <c r="BL22" s="937"/>
      <c r="BM22" s="937"/>
      <c r="BN22" s="937"/>
      <c r="BO22" s="937"/>
      <c r="BP22" s="937"/>
      <c r="BQ22" s="936"/>
      <c r="BR22" s="936"/>
      <c r="BS22" s="936"/>
      <c r="BT22" s="936"/>
      <c r="BU22" s="936"/>
      <c r="BV22" s="963"/>
      <c r="BW22" s="937"/>
      <c r="BX22" s="936"/>
      <c r="BY22" s="936"/>
      <c r="BZ22" s="937"/>
      <c r="CA22" s="936"/>
      <c r="CB22" s="946"/>
    </row>
    <row r="23" spans="1:80">
      <c r="A23" s="1002" t="s">
        <v>800</v>
      </c>
      <c r="B23" s="905" t="s">
        <v>1234</v>
      </c>
      <c r="C23" s="906" t="s">
        <v>1242</v>
      </c>
      <c r="D23" s="906" t="s">
        <v>1243</v>
      </c>
      <c r="E23" s="907" t="s">
        <v>952</v>
      </c>
      <c r="F23" s="907" t="s">
        <v>638</v>
      </c>
      <c r="G23" s="908" t="s">
        <v>1244</v>
      </c>
      <c r="H23" s="909">
        <v>4</v>
      </c>
      <c r="I23" s="909">
        <v>2</v>
      </c>
      <c r="J23" s="909">
        <v>1.5</v>
      </c>
      <c r="K23" s="987"/>
      <c r="L23" s="907" t="s">
        <v>1245</v>
      </c>
      <c r="M23" s="907" t="s">
        <v>553</v>
      </c>
      <c r="N23" s="910" t="s">
        <v>592</v>
      </c>
      <c r="O23" s="910" t="s">
        <v>117</v>
      </c>
      <c r="P23" s="910" t="s">
        <v>1111</v>
      </c>
      <c r="Q23" s="910" t="s">
        <v>117</v>
      </c>
      <c r="R23" s="910" t="s">
        <v>117</v>
      </c>
      <c r="S23" s="910" t="s">
        <v>117</v>
      </c>
      <c r="T23" s="910" t="s">
        <v>117</v>
      </c>
      <c r="U23" s="910" t="s">
        <v>117</v>
      </c>
      <c r="V23" s="910" t="s">
        <v>117</v>
      </c>
      <c r="W23" s="910" t="s">
        <v>592</v>
      </c>
      <c r="X23" s="910" t="s">
        <v>117</v>
      </c>
      <c r="Y23" s="910" t="s">
        <v>592</v>
      </c>
      <c r="Z23" s="910" t="s">
        <v>117</v>
      </c>
      <c r="AA23" s="910" t="s">
        <v>117</v>
      </c>
      <c r="AB23" s="910" t="s">
        <v>117</v>
      </c>
      <c r="AC23" s="910" t="s">
        <v>117</v>
      </c>
      <c r="AD23" s="910" t="s">
        <v>117</v>
      </c>
      <c r="AE23" s="911" t="s">
        <v>117</v>
      </c>
      <c r="AF23" s="911" t="s">
        <v>117</v>
      </c>
      <c r="AG23" s="911" t="s">
        <v>592</v>
      </c>
      <c r="AH23" s="911"/>
      <c r="AI23" s="911"/>
      <c r="AJ23" s="911"/>
      <c r="AK23" s="911" t="s">
        <v>117</v>
      </c>
      <c r="AL23" s="907"/>
      <c r="AM23" s="907" t="s">
        <v>1134</v>
      </c>
      <c r="AN23" s="909" t="s">
        <v>1111</v>
      </c>
      <c r="AO23" s="906"/>
      <c r="AP23" s="906" t="s">
        <v>1246</v>
      </c>
      <c r="AQ23" s="912" t="s">
        <v>1057</v>
      </c>
      <c r="AR23" s="1038" t="s">
        <v>800</v>
      </c>
      <c r="AS23" s="970" t="s">
        <v>950</v>
      </c>
      <c r="AT23" s="1039">
        <v>2800</v>
      </c>
      <c r="AU23" s="1039">
        <v>1600</v>
      </c>
      <c r="AV23" s="1039">
        <v>1400</v>
      </c>
      <c r="AW23" s="916"/>
      <c r="AX23" s="995"/>
      <c r="AY23" s="916"/>
      <c r="AZ23" s="916"/>
      <c r="BA23" s="916"/>
      <c r="BB23" s="916"/>
      <c r="BC23" s="916"/>
      <c r="BD23" s="918"/>
      <c r="BE23" s="918"/>
      <c r="BF23" s="918"/>
      <c r="BG23" s="916"/>
      <c r="BH23" s="916"/>
      <c r="BI23" s="916"/>
      <c r="BJ23" s="916"/>
      <c r="BK23" s="916"/>
      <c r="BL23" s="907" t="s">
        <v>638</v>
      </c>
      <c r="BM23" s="907"/>
      <c r="BN23" s="907"/>
      <c r="BO23" s="907"/>
      <c r="BP23" s="907"/>
      <c r="BQ23" s="906"/>
      <c r="BR23" s="906"/>
      <c r="BS23" s="906"/>
      <c r="BT23" s="906"/>
      <c r="BU23" s="906"/>
      <c r="BV23" s="907"/>
      <c r="BW23" s="985" t="s">
        <v>1248</v>
      </c>
      <c r="BX23" s="906" t="s">
        <v>1249</v>
      </c>
      <c r="BY23" s="906" t="s">
        <v>1041</v>
      </c>
      <c r="BZ23" s="907" t="s">
        <v>592</v>
      </c>
      <c r="CA23" s="906" t="s">
        <v>592</v>
      </c>
      <c r="CB23" s="920"/>
    </row>
    <row r="24" spans="1:80">
      <c r="A24" s="933"/>
      <c r="B24" s="43" t="s">
        <v>1240</v>
      </c>
      <c r="C24" s="208"/>
      <c r="D24" s="208"/>
      <c r="E24" s="865"/>
      <c r="F24" s="865"/>
      <c r="G24" s="865"/>
      <c r="H24" s="48"/>
      <c r="I24" s="48"/>
      <c r="J24" s="48"/>
      <c r="K24" s="865"/>
      <c r="L24" s="865"/>
      <c r="M24" s="865"/>
      <c r="N24" s="866"/>
      <c r="O24" s="866"/>
      <c r="P24" s="866"/>
      <c r="Q24" s="866"/>
      <c r="R24" s="866"/>
      <c r="S24" s="866"/>
      <c r="T24" s="866"/>
      <c r="U24" s="866"/>
      <c r="V24" s="866"/>
      <c r="W24" s="866"/>
      <c r="X24" s="866"/>
      <c r="Y24" s="866"/>
      <c r="Z24" s="866"/>
      <c r="AA24" s="866"/>
      <c r="AB24" s="866"/>
      <c r="AC24" s="866"/>
      <c r="AD24" s="866"/>
      <c r="AE24" s="867"/>
      <c r="AF24" s="867"/>
      <c r="AG24" s="867"/>
      <c r="AH24" s="867"/>
      <c r="AI24" s="867"/>
      <c r="AJ24" s="867"/>
      <c r="AK24" s="867"/>
      <c r="AL24" s="865"/>
      <c r="AM24" s="865"/>
      <c r="AN24" s="48"/>
      <c r="AO24" s="208"/>
      <c r="AP24" s="208"/>
      <c r="AQ24" s="868" t="s">
        <v>1247</v>
      </c>
      <c r="AR24" s="984"/>
      <c r="AS24" s="870" t="s">
        <v>951</v>
      </c>
      <c r="AT24" s="336"/>
      <c r="AU24" s="336"/>
      <c r="AV24" s="336"/>
      <c r="AW24" s="950"/>
      <c r="AX24" s="996"/>
      <c r="AY24" s="950"/>
      <c r="AZ24" s="950"/>
      <c r="BA24" s="950"/>
      <c r="BB24" s="950"/>
      <c r="BC24" s="950"/>
      <c r="BD24" s="997"/>
      <c r="BE24" s="997"/>
      <c r="BF24" s="997"/>
      <c r="BG24" s="950"/>
      <c r="BH24" s="950"/>
      <c r="BI24" s="950"/>
      <c r="BJ24" s="950"/>
      <c r="BK24" s="950"/>
      <c r="BL24" s="865"/>
      <c r="BM24" s="865"/>
      <c r="BN24" s="865"/>
      <c r="BO24" s="865"/>
      <c r="BP24" s="865"/>
      <c r="BQ24" s="208"/>
      <c r="BR24" s="208"/>
      <c r="BS24" s="208"/>
      <c r="BT24" s="208"/>
      <c r="BU24" s="208"/>
      <c r="BV24" s="961"/>
      <c r="BW24" s="865"/>
      <c r="BX24" s="208"/>
      <c r="BY24" s="208"/>
      <c r="BZ24" s="865"/>
      <c r="CA24" s="208"/>
      <c r="CB24" s="926"/>
    </row>
    <row r="25" spans="1:80" ht="15" thickBot="1">
      <c r="A25" s="934"/>
      <c r="B25" s="989" t="s">
        <v>1241</v>
      </c>
      <c r="C25" s="936"/>
      <c r="D25" s="936"/>
      <c r="E25" s="937"/>
      <c r="F25" s="937"/>
      <c r="G25" s="937"/>
      <c r="H25" s="938"/>
      <c r="I25" s="938"/>
      <c r="J25" s="938"/>
      <c r="K25" s="937"/>
      <c r="L25" s="937"/>
      <c r="M25" s="937"/>
      <c r="N25" s="939"/>
      <c r="O25" s="939"/>
      <c r="P25" s="939"/>
      <c r="Q25" s="939"/>
      <c r="R25" s="939"/>
      <c r="S25" s="939"/>
      <c r="T25" s="939"/>
      <c r="U25" s="939"/>
      <c r="V25" s="939"/>
      <c r="W25" s="939"/>
      <c r="X25" s="939"/>
      <c r="Y25" s="939"/>
      <c r="Z25" s="939"/>
      <c r="AA25" s="939"/>
      <c r="AB25" s="939"/>
      <c r="AC25" s="939"/>
      <c r="AD25" s="939"/>
      <c r="AE25" s="940"/>
      <c r="AF25" s="940"/>
      <c r="AG25" s="940"/>
      <c r="AH25" s="940"/>
      <c r="AI25" s="940"/>
      <c r="AJ25" s="940"/>
      <c r="AK25" s="940"/>
      <c r="AL25" s="937"/>
      <c r="AM25" s="937"/>
      <c r="AN25" s="938"/>
      <c r="AO25" s="936"/>
      <c r="AP25" s="936"/>
      <c r="AQ25" s="938"/>
      <c r="AR25" s="941"/>
      <c r="AS25" s="941" t="s">
        <v>1113</v>
      </c>
      <c r="AT25" s="998"/>
      <c r="AU25" s="998"/>
      <c r="AV25" s="998"/>
      <c r="AW25" s="999"/>
      <c r="AX25" s="1000"/>
      <c r="AY25" s="999"/>
      <c r="AZ25" s="999"/>
      <c r="BA25" s="999"/>
      <c r="BB25" s="999"/>
      <c r="BC25" s="999"/>
      <c r="BD25" s="1001"/>
      <c r="BE25" s="1001"/>
      <c r="BF25" s="1001"/>
      <c r="BG25" s="999"/>
      <c r="BH25" s="999"/>
      <c r="BI25" s="999"/>
      <c r="BJ25" s="999"/>
      <c r="BK25" s="999"/>
      <c r="BL25" s="937"/>
      <c r="BM25" s="937"/>
      <c r="BN25" s="937"/>
      <c r="BO25" s="937"/>
      <c r="BP25" s="937"/>
      <c r="BQ25" s="936"/>
      <c r="BR25" s="936"/>
      <c r="BS25" s="936"/>
      <c r="BT25" s="936"/>
      <c r="BU25" s="936"/>
      <c r="BV25" s="963"/>
      <c r="BW25" s="937"/>
      <c r="BX25" s="936"/>
      <c r="BY25" s="936"/>
      <c r="BZ25" s="937"/>
      <c r="CA25" s="936"/>
      <c r="CB25" s="946"/>
    </row>
    <row r="26" spans="1:80">
      <c r="A26" s="1003" t="s">
        <v>1182</v>
      </c>
      <c r="B26" s="905"/>
      <c r="C26" s="906"/>
      <c r="D26" s="906"/>
      <c r="E26" s="907"/>
      <c r="F26" s="907"/>
      <c r="G26" s="908"/>
      <c r="H26" s="909"/>
      <c r="I26" s="909"/>
      <c r="J26" s="909"/>
      <c r="K26" s="987"/>
      <c r="L26" s="907"/>
      <c r="M26" s="907"/>
      <c r="N26" s="910"/>
      <c r="O26" s="910"/>
      <c r="P26" s="910"/>
      <c r="Q26" s="910"/>
      <c r="R26" s="910"/>
      <c r="S26" s="910"/>
      <c r="T26" s="910"/>
      <c r="U26" s="910"/>
      <c r="V26" s="910"/>
      <c r="W26" s="910"/>
      <c r="X26" s="910"/>
      <c r="Y26" s="910"/>
      <c r="Z26" s="910"/>
      <c r="AA26" s="910"/>
      <c r="AB26" s="910"/>
      <c r="AC26" s="910"/>
      <c r="AD26" s="910"/>
      <c r="AE26" s="911"/>
      <c r="AF26" s="911"/>
      <c r="AG26" s="911"/>
      <c r="AH26" s="911"/>
      <c r="AI26" s="911"/>
      <c r="AJ26" s="911"/>
      <c r="AK26" s="911"/>
      <c r="AL26" s="907"/>
      <c r="AM26" s="907"/>
      <c r="AN26" s="909"/>
      <c r="AO26" s="906"/>
      <c r="AP26" s="906"/>
      <c r="AQ26" s="912"/>
      <c r="AR26" s="988"/>
      <c r="AS26" s="970" t="s">
        <v>950</v>
      </c>
      <c r="AT26" s="915"/>
      <c r="AU26" s="915"/>
      <c r="AV26" s="915"/>
      <c r="AW26" s="916"/>
      <c r="AX26" s="995"/>
      <c r="AY26" s="916"/>
      <c r="AZ26" s="916"/>
      <c r="BA26" s="916"/>
      <c r="BB26" s="916"/>
      <c r="BC26" s="916"/>
      <c r="BD26" s="918"/>
      <c r="BE26" s="918"/>
      <c r="BF26" s="918"/>
      <c r="BG26" s="916"/>
      <c r="BH26" s="916"/>
      <c r="BI26" s="916"/>
      <c r="BJ26" s="916"/>
      <c r="BK26" s="916"/>
      <c r="BL26" s="907"/>
      <c r="BM26" s="907"/>
      <c r="BN26" s="907"/>
      <c r="BO26" s="907"/>
      <c r="BP26" s="907"/>
      <c r="BQ26" s="906"/>
      <c r="BR26" s="906"/>
      <c r="BS26" s="906"/>
      <c r="BT26" s="906"/>
      <c r="BU26" s="906"/>
      <c r="BV26" s="907"/>
      <c r="BW26" s="985"/>
      <c r="BX26" s="906"/>
      <c r="BY26" s="906"/>
      <c r="BZ26" s="907"/>
      <c r="CA26" s="906"/>
      <c r="CB26" s="920"/>
    </row>
    <row r="27" spans="1:80">
      <c r="A27" s="933"/>
      <c r="B27" s="43"/>
      <c r="C27" s="208"/>
      <c r="D27" s="208"/>
      <c r="E27" s="865"/>
      <c r="F27" s="865"/>
      <c r="G27" s="865"/>
      <c r="H27" s="48"/>
      <c r="I27" s="48"/>
      <c r="J27" s="48"/>
      <c r="K27" s="865"/>
      <c r="L27" s="865"/>
      <c r="M27" s="865"/>
      <c r="N27" s="866"/>
      <c r="O27" s="866"/>
      <c r="P27" s="866"/>
      <c r="Q27" s="866"/>
      <c r="R27" s="866"/>
      <c r="S27" s="866"/>
      <c r="T27" s="866"/>
      <c r="U27" s="866"/>
      <c r="V27" s="866"/>
      <c r="W27" s="866"/>
      <c r="X27" s="866"/>
      <c r="Y27" s="866"/>
      <c r="Z27" s="866"/>
      <c r="AA27" s="866"/>
      <c r="AB27" s="866"/>
      <c r="AC27" s="866"/>
      <c r="AD27" s="866"/>
      <c r="AE27" s="867"/>
      <c r="AF27" s="867"/>
      <c r="AG27" s="867"/>
      <c r="AH27" s="867"/>
      <c r="AI27" s="867"/>
      <c r="AJ27" s="867"/>
      <c r="AK27" s="867"/>
      <c r="AL27" s="865"/>
      <c r="AM27" s="865"/>
      <c r="AN27" s="48"/>
      <c r="AO27" s="208"/>
      <c r="AP27" s="208"/>
      <c r="AQ27" s="868"/>
      <c r="AR27" s="984"/>
      <c r="AS27" s="870" t="s">
        <v>951</v>
      </c>
      <c r="AT27" s="336"/>
      <c r="AU27" s="336"/>
      <c r="AV27" s="336"/>
      <c r="AW27" s="950"/>
      <c r="AX27" s="996"/>
      <c r="AY27" s="950"/>
      <c r="AZ27" s="950"/>
      <c r="BA27" s="950"/>
      <c r="BB27" s="950"/>
      <c r="BC27" s="950"/>
      <c r="BD27" s="997"/>
      <c r="BE27" s="997"/>
      <c r="BF27" s="997"/>
      <c r="BG27" s="950"/>
      <c r="BH27" s="950"/>
      <c r="BI27" s="950"/>
      <c r="BJ27" s="950"/>
      <c r="BK27" s="950"/>
      <c r="BL27" s="865"/>
      <c r="BM27" s="865"/>
      <c r="BN27" s="865"/>
      <c r="BO27" s="865"/>
      <c r="BP27" s="865"/>
      <c r="BQ27" s="208"/>
      <c r="BR27" s="208"/>
      <c r="BS27" s="208"/>
      <c r="BT27" s="208"/>
      <c r="BU27" s="208"/>
      <c r="BV27" s="961"/>
      <c r="BW27" s="865"/>
      <c r="BX27" s="208"/>
      <c r="BY27" s="208"/>
      <c r="BZ27" s="865"/>
      <c r="CA27" s="208"/>
      <c r="CB27" s="926"/>
    </row>
    <row r="28" spans="1:80" ht="15" thickBot="1">
      <c r="A28" s="934"/>
      <c r="B28" s="989"/>
      <c r="C28" s="936"/>
      <c r="D28" s="936"/>
      <c r="E28" s="937"/>
      <c r="F28" s="937"/>
      <c r="G28" s="937"/>
      <c r="H28" s="938"/>
      <c r="I28" s="938"/>
      <c r="J28" s="938"/>
      <c r="K28" s="937"/>
      <c r="L28" s="937"/>
      <c r="M28" s="937"/>
      <c r="N28" s="939"/>
      <c r="O28" s="939"/>
      <c r="P28" s="939"/>
      <c r="Q28" s="939"/>
      <c r="R28" s="939"/>
      <c r="S28" s="939"/>
      <c r="T28" s="939"/>
      <c r="U28" s="939"/>
      <c r="V28" s="939"/>
      <c r="W28" s="939"/>
      <c r="X28" s="939"/>
      <c r="Y28" s="939"/>
      <c r="Z28" s="939"/>
      <c r="AA28" s="939"/>
      <c r="AB28" s="939"/>
      <c r="AC28" s="939"/>
      <c r="AD28" s="939"/>
      <c r="AE28" s="940"/>
      <c r="AF28" s="940"/>
      <c r="AG28" s="940"/>
      <c r="AH28" s="940"/>
      <c r="AI28" s="940"/>
      <c r="AJ28" s="940"/>
      <c r="AK28" s="940"/>
      <c r="AL28" s="937"/>
      <c r="AM28" s="937"/>
      <c r="AN28" s="938"/>
      <c r="AO28" s="936"/>
      <c r="AP28" s="936"/>
      <c r="AQ28" s="938"/>
      <c r="AR28" s="941"/>
      <c r="AS28" s="941" t="s">
        <v>1113</v>
      </c>
      <c r="AT28" s="998"/>
      <c r="AU28" s="998"/>
      <c r="AV28" s="998"/>
      <c r="AW28" s="999"/>
      <c r="AX28" s="1000"/>
      <c r="AY28" s="999"/>
      <c r="AZ28" s="999"/>
      <c r="BA28" s="999"/>
      <c r="BB28" s="999"/>
      <c r="BC28" s="999"/>
      <c r="BD28" s="1001"/>
      <c r="BE28" s="1001"/>
      <c r="BF28" s="1001"/>
      <c r="BG28" s="999"/>
      <c r="BH28" s="999"/>
      <c r="BI28" s="999"/>
      <c r="BJ28" s="999"/>
      <c r="BK28" s="999"/>
      <c r="BL28" s="937"/>
      <c r="BM28" s="937"/>
      <c r="BN28" s="937"/>
      <c r="BO28" s="937"/>
      <c r="BP28" s="937"/>
      <c r="BQ28" s="936"/>
      <c r="BR28" s="936"/>
      <c r="BS28" s="936"/>
      <c r="BT28" s="936"/>
      <c r="BU28" s="936"/>
      <c r="BV28" s="963"/>
      <c r="BW28" s="937"/>
      <c r="BX28" s="936"/>
      <c r="BY28" s="936"/>
      <c r="BZ28" s="937"/>
      <c r="CA28" s="936"/>
      <c r="CB28" s="946"/>
    </row>
    <row r="29" spans="1:80">
      <c r="A29" s="1004" t="s">
        <v>469</v>
      </c>
      <c r="B29" s="905"/>
      <c r="C29" s="906"/>
      <c r="D29" s="906"/>
      <c r="E29" s="907"/>
      <c r="F29" s="907"/>
      <c r="G29" s="908"/>
      <c r="H29" s="909"/>
      <c r="I29" s="909"/>
      <c r="J29" s="909"/>
      <c r="K29" s="987"/>
      <c r="L29" s="907"/>
      <c r="M29" s="907"/>
      <c r="N29" s="910"/>
      <c r="O29" s="910"/>
      <c r="P29" s="910"/>
      <c r="Q29" s="910"/>
      <c r="R29" s="910"/>
      <c r="S29" s="910"/>
      <c r="T29" s="910"/>
      <c r="U29" s="910"/>
      <c r="V29" s="910"/>
      <c r="W29" s="910"/>
      <c r="X29" s="910"/>
      <c r="Y29" s="910"/>
      <c r="Z29" s="910"/>
      <c r="AA29" s="910"/>
      <c r="AB29" s="910"/>
      <c r="AC29" s="910"/>
      <c r="AD29" s="910"/>
      <c r="AE29" s="911"/>
      <c r="AF29" s="911"/>
      <c r="AG29" s="911"/>
      <c r="AH29" s="911"/>
      <c r="AI29" s="911"/>
      <c r="AJ29" s="911"/>
      <c r="AK29" s="911"/>
      <c r="AL29" s="907"/>
      <c r="AM29" s="907"/>
      <c r="AN29" s="909"/>
      <c r="AO29" s="906"/>
      <c r="AP29" s="906"/>
      <c r="AQ29" s="912"/>
      <c r="AR29" s="988"/>
      <c r="AS29" s="970" t="s">
        <v>950</v>
      </c>
      <c r="AT29" s="915"/>
      <c r="AU29" s="915"/>
      <c r="AV29" s="915"/>
      <c r="AW29" s="916"/>
      <c r="AX29" s="995"/>
      <c r="AY29" s="916"/>
      <c r="AZ29" s="916"/>
      <c r="BA29" s="916"/>
      <c r="BB29" s="916"/>
      <c r="BC29" s="916"/>
      <c r="BD29" s="918"/>
      <c r="BE29" s="918"/>
      <c r="BF29" s="918"/>
      <c r="BG29" s="916"/>
      <c r="BH29" s="916"/>
      <c r="BI29" s="916"/>
      <c r="BJ29" s="916"/>
      <c r="BK29" s="916"/>
      <c r="BL29" s="907"/>
      <c r="BM29" s="907"/>
      <c r="BN29" s="907"/>
      <c r="BO29" s="907"/>
      <c r="BP29" s="907"/>
      <c r="BQ29" s="906"/>
      <c r="BR29" s="906"/>
      <c r="BS29" s="906"/>
      <c r="BT29" s="906"/>
      <c r="BU29" s="906"/>
      <c r="BV29" s="907"/>
      <c r="BW29" s="985"/>
      <c r="BX29" s="906"/>
      <c r="BY29" s="906"/>
      <c r="BZ29" s="907"/>
      <c r="CA29" s="906"/>
      <c r="CB29" s="920"/>
    </row>
    <row r="30" spans="1:80">
      <c r="A30" s="933"/>
      <c r="B30" s="43"/>
      <c r="C30" s="208"/>
      <c r="D30" s="208"/>
      <c r="E30" s="865"/>
      <c r="F30" s="865"/>
      <c r="G30" s="865"/>
      <c r="H30" s="48"/>
      <c r="I30" s="48"/>
      <c r="J30" s="48"/>
      <c r="K30" s="865"/>
      <c r="L30" s="865"/>
      <c r="M30" s="865"/>
      <c r="N30" s="866"/>
      <c r="O30" s="866"/>
      <c r="P30" s="866"/>
      <c r="Q30" s="866"/>
      <c r="R30" s="866"/>
      <c r="S30" s="866"/>
      <c r="T30" s="866"/>
      <c r="U30" s="866"/>
      <c r="V30" s="866"/>
      <c r="W30" s="866"/>
      <c r="X30" s="866"/>
      <c r="Y30" s="866"/>
      <c r="Z30" s="866"/>
      <c r="AA30" s="866"/>
      <c r="AB30" s="866"/>
      <c r="AC30" s="866"/>
      <c r="AD30" s="866"/>
      <c r="AE30" s="867"/>
      <c r="AF30" s="867"/>
      <c r="AG30" s="867"/>
      <c r="AH30" s="867"/>
      <c r="AI30" s="867"/>
      <c r="AJ30" s="867"/>
      <c r="AK30" s="867"/>
      <c r="AL30" s="865"/>
      <c r="AM30" s="865"/>
      <c r="AN30" s="48"/>
      <c r="AO30" s="208"/>
      <c r="AP30" s="208"/>
      <c r="AQ30" s="868"/>
      <c r="AR30" s="984"/>
      <c r="AS30" s="870" t="s">
        <v>951</v>
      </c>
      <c r="AT30" s="336"/>
      <c r="AU30" s="336"/>
      <c r="AV30" s="336"/>
      <c r="AW30" s="950"/>
      <c r="AX30" s="996"/>
      <c r="AY30" s="950"/>
      <c r="AZ30" s="950"/>
      <c r="BA30" s="950"/>
      <c r="BB30" s="950"/>
      <c r="BC30" s="950"/>
      <c r="BD30" s="997"/>
      <c r="BE30" s="997"/>
      <c r="BF30" s="997"/>
      <c r="BG30" s="950"/>
      <c r="BH30" s="950"/>
      <c r="BI30" s="950"/>
      <c r="BJ30" s="950"/>
      <c r="BK30" s="950"/>
      <c r="BL30" s="865"/>
      <c r="BM30" s="865"/>
      <c r="BN30" s="865"/>
      <c r="BO30" s="865"/>
      <c r="BP30" s="865"/>
      <c r="BQ30" s="208"/>
      <c r="BR30" s="208"/>
      <c r="BS30" s="208"/>
      <c r="BT30" s="208"/>
      <c r="BU30" s="208"/>
      <c r="BV30" s="961"/>
      <c r="BW30" s="865"/>
      <c r="BX30" s="208"/>
      <c r="BY30" s="208"/>
      <c r="BZ30" s="865"/>
      <c r="CA30" s="208"/>
      <c r="CB30" s="926"/>
    </row>
    <row r="31" spans="1:80" ht="15" thickBot="1">
      <c r="A31" s="934"/>
      <c r="B31" s="989"/>
      <c r="C31" s="936"/>
      <c r="D31" s="936"/>
      <c r="E31" s="937"/>
      <c r="F31" s="937"/>
      <c r="G31" s="937"/>
      <c r="H31" s="938"/>
      <c r="I31" s="938"/>
      <c r="J31" s="938"/>
      <c r="K31" s="937"/>
      <c r="L31" s="937"/>
      <c r="M31" s="937"/>
      <c r="N31" s="939"/>
      <c r="O31" s="939"/>
      <c r="P31" s="939"/>
      <c r="Q31" s="939"/>
      <c r="R31" s="939"/>
      <c r="S31" s="939"/>
      <c r="T31" s="939"/>
      <c r="U31" s="939"/>
      <c r="V31" s="939"/>
      <c r="W31" s="939"/>
      <c r="X31" s="939"/>
      <c r="Y31" s="939"/>
      <c r="Z31" s="939"/>
      <c r="AA31" s="939"/>
      <c r="AB31" s="939"/>
      <c r="AC31" s="939"/>
      <c r="AD31" s="939"/>
      <c r="AE31" s="940"/>
      <c r="AF31" s="940"/>
      <c r="AG31" s="940"/>
      <c r="AH31" s="940"/>
      <c r="AI31" s="940"/>
      <c r="AJ31" s="940"/>
      <c r="AK31" s="940"/>
      <c r="AL31" s="937"/>
      <c r="AM31" s="937"/>
      <c r="AN31" s="938"/>
      <c r="AO31" s="936"/>
      <c r="AP31" s="936"/>
      <c r="AQ31" s="938"/>
      <c r="AR31" s="941"/>
      <c r="AS31" s="941" t="s">
        <v>1113</v>
      </c>
      <c r="AT31" s="998"/>
      <c r="AU31" s="998"/>
      <c r="AV31" s="998"/>
      <c r="AW31" s="999"/>
      <c r="AX31" s="1000"/>
      <c r="AY31" s="999"/>
      <c r="AZ31" s="999"/>
      <c r="BA31" s="999"/>
      <c r="BB31" s="999"/>
      <c r="BC31" s="999"/>
      <c r="BD31" s="1001"/>
      <c r="BE31" s="1001"/>
      <c r="BF31" s="1001"/>
      <c r="BG31" s="999"/>
      <c r="BH31" s="999"/>
      <c r="BI31" s="999"/>
      <c r="BJ31" s="999"/>
      <c r="BK31" s="999"/>
      <c r="BL31" s="937"/>
      <c r="BM31" s="937"/>
      <c r="BN31" s="937"/>
      <c r="BO31" s="937"/>
      <c r="BP31" s="937"/>
      <c r="BQ31" s="936"/>
      <c r="BR31" s="936"/>
      <c r="BS31" s="936"/>
      <c r="BT31" s="936"/>
      <c r="BU31" s="936"/>
      <c r="BV31" s="963"/>
      <c r="BW31" s="937"/>
      <c r="BX31" s="936"/>
      <c r="BY31" s="936"/>
      <c r="BZ31" s="937"/>
      <c r="CA31" s="936"/>
      <c r="CB31" s="946"/>
    </row>
    <row r="32" spans="1:80">
      <c r="A32" s="1005" t="s">
        <v>330</v>
      </c>
      <c r="B32" s="905"/>
      <c r="C32" s="906"/>
      <c r="D32" s="906"/>
      <c r="E32" s="907"/>
      <c r="F32" s="907"/>
      <c r="G32" s="908"/>
      <c r="H32" s="909"/>
      <c r="I32" s="909"/>
      <c r="J32" s="909"/>
      <c r="K32" s="987"/>
      <c r="L32" s="907"/>
      <c r="M32" s="907"/>
      <c r="N32" s="910"/>
      <c r="O32" s="910"/>
      <c r="P32" s="910"/>
      <c r="Q32" s="910"/>
      <c r="R32" s="910"/>
      <c r="S32" s="910"/>
      <c r="T32" s="910"/>
      <c r="U32" s="910"/>
      <c r="V32" s="910"/>
      <c r="W32" s="910"/>
      <c r="X32" s="910"/>
      <c r="Y32" s="910"/>
      <c r="Z32" s="910"/>
      <c r="AA32" s="910"/>
      <c r="AB32" s="910"/>
      <c r="AC32" s="910"/>
      <c r="AD32" s="910"/>
      <c r="AE32" s="911"/>
      <c r="AF32" s="911"/>
      <c r="AG32" s="911"/>
      <c r="AH32" s="911"/>
      <c r="AI32" s="911"/>
      <c r="AJ32" s="911"/>
      <c r="AK32" s="911"/>
      <c r="AL32" s="907"/>
      <c r="AM32" s="907"/>
      <c r="AN32" s="909"/>
      <c r="AO32" s="906"/>
      <c r="AP32" s="906"/>
      <c r="AQ32" s="912"/>
      <c r="AR32" s="988"/>
      <c r="AS32" s="970" t="s">
        <v>950</v>
      </c>
      <c r="AT32" s="915"/>
      <c r="AU32" s="915"/>
      <c r="AV32" s="915"/>
      <c r="AW32" s="916"/>
      <c r="AX32" s="995"/>
      <c r="AY32" s="916"/>
      <c r="AZ32" s="916"/>
      <c r="BA32" s="916"/>
      <c r="BB32" s="916"/>
      <c r="BC32" s="916"/>
      <c r="BD32" s="918"/>
      <c r="BE32" s="918"/>
      <c r="BF32" s="918"/>
      <c r="BG32" s="916"/>
      <c r="BH32" s="916"/>
      <c r="BI32" s="916"/>
      <c r="BJ32" s="916"/>
      <c r="BK32" s="916"/>
      <c r="BL32" s="907"/>
      <c r="BM32" s="907"/>
      <c r="BN32" s="907"/>
      <c r="BO32" s="907"/>
      <c r="BP32" s="907"/>
      <c r="BQ32" s="906"/>
      <c r="BR32" s="906"/>
      <c r="BS32" s="906"/>
      <c r="BT32" s="906"/>
      <c r="BU32" s="906"/>
      <c r="BV32" s="907"/>
      <c r="BW32" s="985"/>
      <c r="BX32" s="906"/>
      <c r="BY32" s="906"/>
      <c r="BZ32" s="907"/>
      <c r="CA32" s="906"/>
      <c r="CB32" s="920"/>
    </row>
    <row r="33" spans="1:80">
      <c r="A33" s="933"/>
      <c r="B33" s="43"/>
      <c r="C33" s="208"/>
      <c r="D33" s="208"/>
      <c r="E33" s="865"/>
      <c r="F33" s="865"/>
      <c r="G33" s="865"/>
      <c r="H33" s="48"/>
      <c r="I33" s="48"/>
      <c r="J33" s="48"/>
      <c r="K33" s="865"/>
      <c r="L33" s="865"/>
      <c r="M33" s="865"/>
      <c r="N33" s="866"/>
      <c r="O33" s="866"/>
      <c r="P33" s="866"/>
      <c r="Q33" s="866"/>
      <c r="R33" s="866"/>
      <c r="S33" s="866"/>
      <c r="T33" s="866"/>
      <c r="U33" s="866"/>
      <c r="V33" s="866"/>
      <c r="W33" s="866"/>
      <c r="X33" s="866"/>
      <c r="Y33" s="866"/>
      <c r="Z33" s="866"/>
      <c r="AA33" s="866"/>
      <c r="AB33" s="866"/>
      <c r="AC33" s="866"/>
      <c r="AD33" s="866"/>
      <c r="AE33" s="867"/>
      <c r="AF33" s="867"/>
      <c r="AG33" s="867"/>
      <c r="AH33" s="867"/>
      <c r="AI33" s="867"/>
      <c r="AJ33" s="867"/>
      <c r="AK33" s="867"/>
      <c r="AL33" s="865"/>
      <c r="AM33" s="865"/>
      <c r="AN33" s="48"/>
      <c r="AO33" s="208"/>
      <c r="AP33" s="208"/>
      <c r="AQ33" s="868"/>
      <c r="AR33" s="984"/>
      <c r="AS33" s="870" t="s">
        <v>951</v>
      </c>
      <c r="AT33" s="336"/>
      <c r="AU33" s="336"/>
      <c r="AV33" s="336"/>
      <c r="AW33" s="950"/>
      <c r="AX33" s="996"/>
      <c r="AY33" s="950"/>
      <c r="AZ33" s="950"/>
      <c r="BA33" s="950"/>
      <c r="BB33" s="950"/>
      <c r="BC33" s="950"/>
      <c r="BD33" s="997"/>
      <c r="BE33" s="997"/>
      <c r="BF33" s="997"/>
      <c r="BG33" s="950"/>
      <c r="BH33" s="950"/>
      <c r="BI33" s="950"/>
      <c r="BJ33" s="950"/>
      <c r="BK33" s="950"/>
      <c r="BL33" s="865"/>
      <c r="BM33" s="865"/>
      <c r="BN33" s="865"/>
      <c r="BO33" s="865"/>
      <c r="BP33" s="865"/>
      <c r="BQ33" s="208"/>
      <c r="BR33" s="208"/>
      <c r="BS33" s="208"/>
      <c r="BT33" s="208"/>
      <c r="BU33" s="208"/>
      <c r="BV33" s="961"/>
      <c r="BW33" s="865"/>
      <c r="BX33" s="208"/>
      <c r="BY33" s="208"/>
      <c r="BZ33" s="865"/>
      <c r="CA33" s="208"/>
      <c r="CB33" s="926"/>
    </row>
    <row r="34" spans="1:80" ht="15" thickBot="1">
      <c r="A34" s="934"/>
      <c r="B34" s="989"/>
      <c r="C34" s="936"/>
      <c r="D34" s="936"/>
      <c r="E34" s="937"/>
      <c r="F34" s="937"/>
      <c r="G34" s="937"/>
      <c r="H34" s="938"/>
      <c r="I34" s="938"/>
      <c r="J34" s="938"/>
      <c r="K34" s="937"/>
      <c r="L34" s="937"/>
      <c r="M34" s="937"/>
      <c r="N34" s="939"/>
      <c r="O34" s="939"/>
      <c r="P34" s="939"/>
      <c r="Q34" s="939"/>
      <c r="R34" s="939"/>
      <c r="S34" s="939"/>
      <c r="T34" s="939"/>
      <c r="U34" s="939"/>
      <c r="V34" s="939"/>
      <c r="W34" s="939"/>
      <c r="X34" s="939"/>
      <c r="Y34" s="939"/>
      <c r="Z34" s="939"/>
      <c r="AA34" s="939"/>
      <c r="AB34" s="939"/>
      <c r="AC34" s="939"/>
      <c r="AD34" s="939"/>
      <c r="AE34" s="940"/>
      <c r="AF34" s="940"/>
      <c r="AG34" s="940"/>
      <c r="AH34" s="940"/>
      <c r="AI34" s="940"/>
      <c r="AJ34" s="940"/>
      <c r="AK34" s="940"/>
      <c r="AL34" s="937"/>
      <c r="AM34" s="937"/>
      <c r="AN34" s="938"/>
      <c r="AO34" s="936"/>
      <c r="AP34" s="936"/>
      <c r="AQ34" s="938"/>
      <c r="AR34" s="941"/>
      <c r="AS34" s="941" t="s">
        <v>1113</v>
      </c>
      <c r="AT34" s="998"/>
      <c r="AU34" s="998"/>
      <c r="AV34" s="998"/>
      <c r="AW34" s="999"/>
      <c r="AX34" s="1000"/>
      <c r="AY34" s="999"/>
      <c r="AZ34" s="999"/>
      <c r="BA34" s="999"/>
      <c r="BB34" s="999"/>
      <c r="BC34" s="999"/>
      <c r="BD34" s="1001"/>
      <c r="BE34" s="1001"/>
      <c r="BF34" s="1001"/>
      <c r="BG34" s="999"/>
      <c r="BH34" s="999"/>
      <c r="BI34" s="999"/>
      <c r="BJ34" s="999"/>
      <c r="BK34" s="999"/>
      <c r="BL34" s="937"/>
      <c r="BM34" s="937"/>
      <c r="BN34" s="937"/>
      <c r="BO34" s="937"/>
      <c r="BP34" s="937"/>
      <c r="BQ34" s="936"/>
      <c r="BR34" s="936"/>
      <c r="BS34" s="936"/>
      <c r="BT34" s="936"/>
      <c r="BU34" s="936"/>
      <c r="BV34" s="963"/>
      <c r="BW34" s="937"/>
      <c r="BX34" s="936"/>
      <c r="BY34" s="936"/>
      <c r="BZ34" s="937"/>
      <c r="CA34" s="936"/>
      <c r="CB34" s="946"/>
    </row>
    <row r="35" spans="1:80">
      <c r="A35" s="898"/>
      <c r="B35" s="53"/>
      <c r="C35" s="208"/>
      <c r="D35" s="208"/>
      <c r="E35" s="865"/>
      <c r="F35" s="865"/>
      <c r="G35" s="865"/>
      <c r="H35" s="48"/>
      <c r="I35" s="48"/>
      <c r="J35" s="48"/>
      <c r="K35" s="865"/>
      <c r="L35" s="865"/>
      <c r="M35" s="865"/>
      <c r="N35" s="866"/>
      <c r="O35" s="866"/>
      <c r="P35" s="866"/>
      <c r="Q35" s="866"/>
      <c r="R35" s="866"/>
      <c r="S35" s="866"/>
      <c r="T35" s="866"/>
      <c r="U35" s="866"/>
      <c r="V35" s="866"/>
      <c r="W35" s="866"/>
      <c r="X35" s="866"/>
      <c r="Y35" s="866"/>
      <c r="Z35" s="866"/>
      <c r="AA35" s="866"/>
      <c r="AB35" s="866"/>
      <c r="AC35" s="866"/>
      <c r="AD35" s="866"/>
      <c r="AE35" s="867"/>
      <c r="AF35" s="867"/>
      <c r="AG35" s="867"/>
      <c r="AH35" s="867"/>
      <c r="AI35" s="867"/>
      <c r="AJ35" s="867"/>
      <c r="AK35" s="867"/>
      <c r="AL35" s="865"/>
      <c r="AM35" s="865"/>
      <c r="AN35" s="48"/>
      <c r="AO35" s="208"/>
      <c r="AP35" s="208"/>
      <c r="AQ35" s="48"/>
      <c r="AR35" s="984"/>
      <c r="AS35" s="984"/>
      <c r="AT35" s="336"/>
      <c r="AU35" s="336"/>
      <c r="AV35" s="336"/>
      <c r="AW35" s="950"/>
      <c r="AX35" s="996"/>
      <c r="AY35" s="950"/>
      <c r="AZ35" s="950"/>
      <c r="BA35" s="950"/>
      <c r="BB35" s="950"/>
      <c r="BC35" s="950"/>
      <c r="BD35" s="997"/>
      <c r="BE35" s="997"/>
      <c r="BF35" s="997"/>
      <c r="BG35" s="950"/>
      <c r="BH35" s="950"/>
      <c r="BI35" s="950"/>
      <c r="BJ35" s="950"/>
      <c r="BK35" s="950"/>
      <c r="BL35" s="865"/>
      <c r="BM35" s="865"/>
      <c r="BN35" s="865"/>
      <c r="BO35" s="865"/>
      <c r="BP35" s="865"/>
      <c r="BQ35" s="208"/>
      <c r="BR35" s="208"/>
      <c r="BS35" s="208"/>
      <c r="BT35" s="208"/>
      <c r="BU35" s="208"/>
      <c r="BV35" s="865"/>
      <c r="BW35" s="865"/>
      <c r="BX35" s="208"/>
      <c r="BY35" s="208"/>
      <c r="BZ35" s="865"/>
      <c r="CA35" s="208"/>
      <c r="CB35" s="883"/>
    </row>
    <row r="36" spans="1:80">
      <c r="A36" s="898"/>
      <c r="B36" s="43"/>
      <c r="C36" s="208"/>
      <c r="D36" s="208"/>
      <c r="E36" s="865"/>
      <c r="F36" s="865"/>
      <c r="G36" s="865"/>
      <c r="H36" s="48"/>
      <c r="I36" s="48"/>
      <c r="J36" s="48"/>
      <c r="K36" s="865"/>
      <c r="L36" s="865"/>
      <c r="M36" s="865"/>
      <c r="N36" s="866"/>
      <c r="O36" s="866"/>
      <c r="P36" s="866"/>
      <c r="Q36" s="866"/>
      <c r="R36" s="866"/>
      <c r="S36" s="866"/>
      <c r="T36" s="866"/>
      <c r="U36" s="866"/>
      <c r="V36" s="866"/>
      <c r="W36" s="866"/>
      <c r="X36" s="866"/>
      <c r="Y36" s="866"/>
      <c r="Z36" s="866"/>
      <c r="AA36" s="866"/>
      <c r="AB36" s="866"/>
      <c r="AC36" s="866"/>
      <c r="AD36" s="866"/>
      <c r="AE36" s="867"/>
      <c r="AF36" s="867"/>
      <c r="AG36" s="867"/>
      <c r="AH36" s="867"/>
      <c r="AI36" s="867"/>
      <c r="AJ36" s="867"/>
      <c r="AK36" s="867"/>
      <c r="AL36" s="865"/>
      <c r="AM36" s="865"/>
      <c r="AN36" s="48"/>
      <c r="AO36" s="208"/>
      <c r="AP36" s="208"/>
      <c r="AQ36" s="48"/>
      <c r="AR36" s="984"/>
      <c r="AS36" s="984"/>
      <c r="AT36" s="336"/>
      <c r="AU36" s="336"/>
      <c r="AV36" s="336"/>
      <c r="AW36" s="950"/>
      <c r="AX36" s="996"/>
      <c r="AY36" s="950"/>
      <c r="AZ36" s="950"/>
      <c r="BA36" s="950"/>
      <c r="BB36" s="950"/>
      <c r="BC36" s="950"/>
      <c r="BD36" s="997"/>
      <c r="BE36" s="997"/>
      <c r="BF36" s="997"/>
      <c r="BG36" s="950"/>
      <c r="BH36" s="950"/>
      <c r="BI36" s="950"/>
      <c r="BJ36" s="950"/>
      <c r="BK36" s="950"/>
      <c r="BL36" s="865"/>
      <c r="BM36" s="865"/>
      <c r="BN36" s="865"/>
      <c r="BO36" s="865"/>
      <c r="BP36" s="865"/>
      <c r="BQ36" s="208"/>
      <c r="BR36" s="208"/>
      <c r="BS36" s="208"/>
      <c r="BT36" s="208"/>
      <c r="BU36" s="208"/>
      <c r="BV36" s="865"/>
      <c r="BW36" s="865"/>
      <c r="BX36" s="208"/>
      <c r="BY36" s="208"/>
      <c r="BZ36" s="865"/>
      <c r="CA36" s="208"/>
      <c r="CB36" s="883"/>
    </row>
    <row r="37" spans="1:80">
      <c r="A37" s="898"/>
      <c r="B37" s="43"/>
      <c r="C37" s="208"/>
      <c r="D37" s="208"/>
      <c r="E37" s="865"/>
      <c r="F37" s="865"/>
      <c r="G37" s="865"/>
      <c r="H37" s="48"/>
      <c r="I37" s="48"/>
      <c r="J37" s="48"/>
      <c r="K37" s="865"/>
      <c r="L37" s="865"/>
      <c r="M37" s="865"/>
      <c r="N37" s="866"/>
      <c r="O37" s="866"/>
      <c r="P37" s="866"/>
      <c r="Q37" s="866"/>
      <c r="R37" s="866"/>
      <c r="S37" s="866"/>
      <c r="T37" s="866"/>
      <c r="U37" s="866"/>
      <c r="V37" s="866"/>
      <c r="W37" s="866"/>
      <c r="X37" s="866"/>
      <c r="Y37" s="866"/>
      <c r="Z37" s="866"/>
      <c r="AA37" s="866"/>
      <c r="AB37" s="866"/>
      <c r="AC37" s="866"/>
      <c r="AD37" s="866"/>
      <c r="AE37" s="867"/>
      <c r="AF37" s="867"/>
      <c r="AG37" s="867"/>
      <c r="AH37" s="867"/>
      <c r="AI37" s="867"/>
      <c r="AJ37" s="867"/>
      <c r="AK37" s="867"/>
      <c r="AL37" s="865"/>
      <c r="AM37" s="865"/>
      <c r="AN37" s="48"/>
      <c r="AO37" s="208"/>
      <c r="AP37" s="208"/>
      <c r="AQ37" s="48"/>
      <c r="AR37" s="984"/>
      <c r="AS37" s="984"/>
      <c r="AT37" s="336"/>
      <c r="AU37" s="336"/>
      <c r="AV37" s="336"/>
      <c r="AW37" s="950"/>
      <c r="AX37" s="996"/>
      <c r="AY37" s="950"/>
      <c r="AZ37" s="950"/>
      <c r="BA37" s="950"/>
      <c r="BB37" s="950"/>
      <c r="BC37" s="950"/>
      <c r="BD37" s="997"/>
      <c r="BE37" s="997"/>
      <c r="BF37" s="997"/>
      <c r="BG37" s="950"/>
      <c r="BH37" s="950"/>
      <c r="BI37" s="950"/>
      <c r="BJ37" s="950"/>
      <c r="BK37" s="950"/>
      <c r="BL37" s="865"/>
      <c r="BM37" s="865"/>
      <c r="BN37" s="865"/>
      <c r="BO37" s="865"/>
      <c r="BP37" s="865"/>
      <c r="BQ37" s="208"/>
      <c r="BR37" s="208"/>
      <c r="BS37" s="208"/>
      <c r="BT37" s="208"/>
      <c r="BU37" s="208"/>
      <c r="BV37" s="865"/>
      <c r="BW37" s="865"/>
      <c r="BX37" s="208"/>
      <c r="BY37" s="208"/>
      <c r="BZ37" s="865"/>
      <c r="CA37" s="208"/>
      <c r="CB37" s="883"/>
    </row>
    <row r="39" spans="1:80" ht="15" thickBot="1"/>
    <row r="40" spans="1:80" ht="15.5">
      <c r="A40" s="955" t="s">
        <v>950</v>
      </c>
      <c r="B40" s="952" t="s">
        <v>1165</v>
      </c>
    </row>
    <row r="41" spans="1:80" ht="15.5">
      <c r="A41" s="956" t="s">
        <v>951</v>
      </c>
      <c r="B41" s="953" t="s">
        <v>1166</v>
      </c>
    </row>
    <row r="42" spans="1:80" ht="16" thickBot="1">
      <c r="A42" s="957" t="s">
        <v>1113</v>
      </c>
      <c r="B42" s="954" t="s">
        <v>1165</v>
      </c>
    </row>
  </sheetData>
  <hyperlinks>
    <hyperlink ref="CB3" r:id="rId1"/>
    <hyperlink ref="CB8" r:id="rId2"/>
    <hyperlink ref="A6" r:id="rId3"/>
    <hyperlink ref="B40" r:id="rId4"/>
    <hyperlink ref="B41" r:id="rId5"/>
    <hyperlink ref="B42" r:id="rId6"/>
    <hyperlink ref="AP12" r:id="rId7"/>
    <hyperlink ref="CB16" r:id="rId8"/>
    <hyperlink ref="CB20" r:id="rId9"/>
    <hyperlink ref="AP20" r:id="rId10"/>
    <hyperlink ref="CB12" r:id="rId11"/>
  </hyperlinks>
  <pageMargins left="0.7" right="0.7" top="0.75" bottom="0.75" header="0.3" footer="0.3"/>
  <pageSetup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H132"/>
  <sheetViews>
    <sheetView workbookViewId="0">
      <selection activeCell="I20" sqref="I20"/>
    </sheetView>
  </sheetViews>
  <sheetFormatPr defaultRowHeight="14.5"/>
  <cols>
    <col min="1" max="1" width="21.453125" bestFit="1" customWidth="1"/>
    <col min="2" max="5" width="3.81640625" style="1" bestFit="1" customWidth="1"/>
    <col min="6" max="6" width="21.453125" style="43" customWidth="1"/>
  </cols>
  <sheetData>
    <row r="1" spans="1:8">
      <c r="B1" s="288" t="s">
        <v>105</v>
      </c>
      <c r="C1" s="288" t="s">
        <v>16</v>
      </c>
      <c r="D1" s="288" t="s">
        <v>37</v>
      </c>
      <c r="E1" s="288" t="s">
        <v>86</v>
      </c>
    </row>
    <row r="2" spans="1:8">
      <c r="A2" s="668" t="s">
        <v>497</v>
      </c>
      <c r="B2" s="295"/>
      <c r="C2" s="295"/>
      <c r="D2" s="295"/>
      <c r="E2" s="295"/>
      <c r="G2" s="1"/>
      <c r="H2" s="1"/>
    </row>
    <row r="3" spans="1:8">
      <c r="A3" s="668" t="s">
        <v>913</v>
      </c>
      <c r="B3" s="295"/>
      <c r="C3" s="295"/>
      <c r="D3" s="295"/>
      <c r="E3" s="295"/>
      <c r="G3" s="1"/>
      <c r="H3" s="1"/>
    </row>
    <row r="4" spans="1:8">
      <c r="A4" s="668" t="s">
        <v>510</v>
      </c>
      <c r="B4" s="295"/>
      <c r="C4" s="295"/>
      <c r="D4" s="295"/>
      <c r="E4" s="295"/>
      <c r="G4" s="1"/>
      <c r="H4" s="1"/>
    </row>
    <row r="5" spans="1:8">
      <c r="A5" s="668" t="s">
        <v>537</v>
      </c>
      <c r="B5" s="295"/>
      <c r="C5" s="295"/>
      <c r="D5" s="295"/>
      <c r="E5" s="295"/>
      <c r="G5" s="1"/>
      <c r="H5" s="1"/>
    </row>
    <row r="6" spans="1:8">
      <c r="A6" s="669" t="s">
        <v>912</v>
      </c>
      <c r="B6" s="295"/>
      <c r="C6" s="295"/>
      <c r="D6" s="295"/>
      <c r="E6" s="295"/>
      <c r="G6" s="1"/>
      <c r="H6" s="1"/>
    </row>
    <row r="7" spans="1:8">
      <c r="A7" s="669" t="s">
        <v>517</v>
      </c>
      <c r="B7" s="295"/>
      <c r="C7" s="295"/>
      <c r="D7" s="295"/>
      <c r="E7" s="295"/>
      <c r="G7" s="1"/>
      <c r="H7" s="1"/>
    </row>
    <row r="8" spans="1:8">
      <c r="A8" s="669" t="s">
        <v>518</v>
      </c>
      <c r="B8" s="295"/>
      <c r="C8" s="295"/>
      <c r="D8" s="295"/>
      <c r="E8" s="295"/>
      <c r="G8" s="1"/>
      <c r="H8" s="1"/>
    </row>
    <row r="9" spans="1:8">
      <c r="A9" s="669" t="s">
        <v>520</v>
      </c>
      <c r="B9" s="295"/>
      <c r="C9" s="295"/>
      <c r="D9" s="295"/>
      <c r="E9" s="295"/>
      <c r="G9" s="1"/>
      <c r="H9" s="1"/>
    </row>
    <row r="10" spans="1:8">
      <c r="A10" s="669" t="s">
        <v>914</v>
      </c>
      <c r="B10" s="295"/>
      <c r="C10" s="295"/>
      <c r="D10" s="295"/>
      <c r="E10" s="295"/>
      <c r="G10" s="1"/>
      <c r="H10" s="1"/>
    </row>
    <row r="11" spans="1:8">
      <c r="A11" s="669" t="s">
        <v>915</v>
      </c>
      <c r="B11" s="295"/>
      <c r="C11" s="295"/>
      <c r="D11" s="295"/>
      <c r="E11" s="295"/>
      <c r="G11" s="1"/>
      <c r="H11" s="1"/>
    </row>
    <row r="12" spans="1:8">
      <c r="A12" s="669" t="s">
        <v>540</v>
      </c>
      <c r="B12" s="295"/>
      <c r="C12" s="295"/>
      <c r="D12" s="295"/>
      <c r="E12" s="295"/>
      <c r="G12" s="1"/>
      <c r="H12" s="1"/>
    </row>
    <row r="13" spans="1:8">
      <c r="A13" s="671" t="s">
        <v>545</v>
      </c>
      <c r="B13" s="295"/>
      <c r="C13" s="295"/>
      <c r="D13" s="295"/>
      <c r="E13" s="295"/>
      <c r="G13" s="1"/>
      <c r="H13" s="1"/>
    </row>
    <row r="14" spans="1:8">
      <c r="A14" s="671" t="s">
        <v>544</v>
      </c>
      <c r="B14" s="295"/>
      <c r="C14" s="295"/>
      <c r="D14" s="295"/>
      <c r="E14" s="295"/>
      <c r="G14" s="1"/>
      <c r="H14" s="1"/>
    </row>
    <row r="15" spans="1:8">
      <c r="A15" s="670" t="s">
        <v>929</v>
      </c>
      <c r="B15" s="295"/>
      <c r="C15" s="295"/>
      <c r="D15" s="295"/>
      <c r="E15" s="295"/>
      <c r="G15" s="1"/>
      <c r="H15" s="1"/>
    </row>
    <row r="16" spans="1:8">
      <c r="A16" s="670" t="s">
        <v>512</v>
      </c>
      <c r="B16" s="295"/>
      <c r="C16" s="295"/>
      <c r="D16" s="295"/>
      <c r="E16" s="295"/>
      <c r="G16" s="1"/>
      <c r="H16" s="1"/>
    </row>
    <row r="17" spans="1:8">
      <c r="A17" s="672" t="s">
        <v>514</v>
      </c>
      <c r="B17" s="295"/>
      <c r="C17" s="295"/>
      <c r="D17" s="295"/>
      <c r="E17" s="295"/>
      <c r="G17" s="1"/>
      <c r="H17" s="1"/>
    </row>
    <row r="18" spans="1:8">
      <c r="A18" s="672" t="s">
        <v>515</v>
      </c>
      <c r="B18" s="295"/>
      <c r="C18" s="295"/>
      <c r="D18" s="295"/>
      <c r="E18" s="295"/>
      <c r="G18" s="1"/>
      <c r="H18" s="1"/>
    </row>
    <row r="19" spans="1:8">
      <c r="A19" s="672" t="s">
        <v>927</v>
      </c>
      <c r="B19" s="295"/>
      <c r="C19" s="295"/>
      <c r="D19" s="295"/>
      <c r="E19" s="295"/>
      <c r="G19" s="1"/>
      <c r="H19" s="1"/>
    </row>
    <row r="20" spans="1:8">
      <c r="A20" s="672" t="s">
        <v>533</v>
      </c>
      <c r="B20" s="295"/>
      <c r="C20" s="295"/>
      <c r="D20" s="295"/>
      <c r="E20" s="295"/>
      <c r="G20" s="1"/>
      <c r="H20" s="1"/>
    </row>
    <row r="21" spans="1:8">
      <c r="A21" s="672" t="s">
        <v>500</v>
      </c>
      <c r="B21" s="295"/>
      <c r="C21" s="295"/>
      <c r="D21" s="295"/>
      <c r="E21" s="295"/>
      <c r="G21" s="1"/>
      <c r="H21" s="1"/>
    </row>
    <row r="22" spans="1:8">
      <c r="A22" s="672" t="s">
        <v>501</v>
      </c>
      <c r="B22" s="295"/>
      <c r="C22" s="295"/>
      <c r="D22" s="295"/>
      <c r="E22" s="295"/>
      <c r="G22" s="1"/>
      <c r="H22" s="1"/>
    </row>
    <row r="23" spans="1:8">
      <c r="A23" s="672" t="s">
        <v>542</v>
      </c>
      <c r="B23" s="295"/>
      <c r="C23" s="295"/>
      <c r="D23" s="295"/>
      <c r="E23" s="295"/>
      <c r="G23" s="1"/>
      <c r="H23" s="1"/>
    </row>
    <row r="24" spans="1:8">
      <c r="A24" s="672" t="s">
        <v>916</v>
      </c>
      <c r="B24" s="295"/>
      <c r="C24" s="295"/>
      <c r="D24" s="295"/>
      <c r="E24" s="295"/>
      <c r="G24" s="1"/>
      <c r="H24" s="1"/>
    </row>
    <row r="25" spans="1:8">
      <c r="A25" s="672" t="s">
        <v>513</v>
      </c>
      <c r="B25" s="295"/>
      <c r="C25" s="295"/>
      <c r="D25" s="295"/>
      <c r="E25" s="295"/>
      <c r="G25" s="1"/>
      <c r="H25" s="1"/>
    </row>
    <row r="26" spans="1:8">
      <c r="A26" s="672" t="s">
        <v>925</v>
      </c>
      <c r="B26" s="295"/>
      <c r="C26" s="295"/>
      <c r="D26" s="295"/>
      <c r="E26" s="295"/>
      <c r="G26" s="1"/>
      <c r="H26" s="1"/>
    </row>
    <row r="27" spans="1:8">
      <c r="A27" s="672" t="s">
        <v>543</v>
      </c>
      <c r="B27" s="295"/>
      <c r="C27" s="295"/>
      <c r="D27" s="295"/>
      <c r="E27" s="295"/>
      <c r="G27" s="1"/>
      <c r="H27" s="1"/>
    </row>
    <row r="28" spans="1:8">
      <c r="A28" s="672" t="s">
        <v>507</v>
      </c>
      <c r="B28" s="295"/>
      <c r="C28" s="295"/>
      <c r="D28" s="295"/>
      <c r="E28" s="295"/>
      <c r="G28" s="1"/>
      <c r="H28" s="1"/>
    </row>
    <row r="29" spans="1:8">
      <c r="A29" s="672" t="s">
        <v>547</v>
      </c>
      <c r="B29" s="295"/>
      <c r="C29" s="295"/>
      <c r="D29" s="295"/>
      <c r="E29" s="295"/>
      <c r="G29" s="1"/>
      <c r="H29" s="1"/>
    </row>
    <row r="30" spans="1:8">
      <c r="A30" s="672" t="s">
        <v>527</v>
      </c>
      <c r="B30" s="295"/>
      <c r="C30" s="295"/>
      <c r="D30" s="295"/>
      <c r="E30" s="295"/>
      <c r="G30" s="1"/>
      <c r="H30" s="1"/>
    </row>
    <row r="31" spans="1:8">
      <c r="A31" s="672" t="s">
        <v>528</v>
      </c>
      <c r="B31" s="295"/>
      <c r="C31" s="295"/>
      <c r="D31" s="295"/>
      <c r="E31" s="295"/>
      <c r="G31" s="1"/>
      <c r="H31" s="1"/>
    </row>
    <row r="32" spans="1:8">
      <c r="A32" s="672" t="s">
        <v>538</v>
      </c>
      <c r="B32" s="295"/>
      <c r="C32" s="295"/>
      <c r="D32" s="295"/>
      <c r="E32" s="295"/>
      <c r="G32" s="1"/>
      <c r="H32" s="1"/>
    </row>
    <row r="33" spans="1:8">
      <c r="A33" s="672" t="s">
        <v>523</v>
      </c>
      <c r="B33" s="295"/>
      <c r="C33" s="295"/>
      <c r="D33" s="295"/>
      <c r="E33" s="295"/>
      <c r="G33" s="1"/>
      <c r="H33" s="1"/>
    </row>
    <row r="34" spans="1:8">
      <c r="A34" s="673" t="s">
        <v>516</v>
      </c>
      <c r="B34" s="295"/>
      <c r="C34" s="295"/>
      <c r="D34" s="295"/>
      <c r="E34" s="295"/>
      <c r="G34" s="1"/>
      <c r="H34" s="1"/>
    </row>
    <row r="35" spans="1:8">
      <c r="A35" s="673" t="s">
        <v>919</v>
      </c>
      <c r="B35" s="295"/>
      <c r="C35" s="295"/>
      <c r="D35" s="295"/>
      <c r="E35" s="295"/>
      <c r="G35" s="1"/>
      <c r="H35" s="1"/>
    </row>
    <row r="36" spans="1:8">
      <c r="A36" s="673" t="s">
        <v>920</v>
      </c>
      <c r="B36" s="295"/>
      <c r="C36" s="295"/>
      <c r="D36" s="295"/>
      <c r="E36" s="295"/>
      <c r="G36" s="1"/>
      <c r="H36" s="1"/>
    </row>
    <row r="37" spans="1:8">
      <c r="A37" s="673" t="s">
        <v>917</v>
      </c>
      <c r="B37" s="295"/>
      <c r="C37" s="295"/>
      <c r="D37" s="295"/>
      <c r="E37" s="295"/>
      <c r="G37" s="1"/>
      <c r="H37" s="1"/>
    </row>
    <row r="38" spans="1:8">
      <c r="A38" s="673" t="s">
        <v>526</v>
      </c>
      <c r="B38" s="295"/>
      <c r="C38" s="295"/>
      <c r="D38" s="295"/>
      <c r="E38" s="295"/>
      <c r="G38" s="1"/>
      <c r="H38" s="1"/>
    </row>
    <row r="39" spans="1:8">
      <c r="A39" s="673" t="s">
        <v>918</v>
      </c>
      <c r="B39" s="295"/>
      <c r="C39" s="295"/>
      <c r="D39" s="295"/>
      <c r="E39" s="295"/>
      <c r="G39" s="1"/>
      <c r="H39" s="1"/>
    </row>
    <row r="40" spans="1:8">
      <c r="A40" s="673" t="s">
        <v>525</v>
      </c>
      <c r="B40" s="295"/>
      <c r="C40" s="295"/>
      <c r="D40" s="295"/>
      <c r="E40" s="295"/>
      <c r="G40" s="1"/>
      <c r="H40" s="1"/>
    </row>
    <row r="41" spans="1:8">
      <c r="A41" s="673" t="s">
        <v>524</v>
      </c>
      <c r="B41" s="295"/>
      <c r="C41" s="295"/>
      <c r="D41" s="295"/>
      <c r="E41" s="295"/>
    </row>
    <row r="42" spans="1:8">
      <c r="A42" s="674" t="s">
        <v>505</v>
      </c>
      <c r="B42" s="295"/>
      <c r="C42" s="295"/>
      <c r="D42" s="295"/>
      <c r="E42" s="295"/>
    </row>
    <row r="43" spans="1:8">
      <c r="A43" s="674" t="s">
        <v>928</v>
      </c>
      <c r="B43" s="295"/>
      <c r="C43" s="295"/>
      <c r="D43" s="295"/>
      <c r="E43" s="295"/>
    </row>
    <row r="44" spans="1:8">
      <c r="A44" s="674" t="s">
        <v>539</v>
      </c>
      <c r="B44" s="295"/>
      <c r="C44" s="295"/>
      <c r="D44" s="295"/>
      <c r="E44" s="295"/>
    </row>
    <row r="45" spans="1:8">
      <c r="A45" s="678" t="s">
        <v>549</v>
      </c>
      <c r="B45" s="295"/>
      <c r="C45" s="295"/>
      <c r="D45" s="295"/>
      <c r="E45" s="295"/>
    </row>
    <row r="46" spans="1:8">
      <c r="A46" s="678" t="s">
        <v>509</v>
      </c>
      <c r="B46" s="295"/>
      <c r="C46" s="295"/>
      <c r="D46" s="295"/>
      <c r="E46" s="295"/>
    </row>
    <row r="47" spans="1:8">
      <c r="A47" s="678" t="s">
        <v>926</v>
      </c>
      <c r="B47" s="295"/>
      <c r="C47" s="295"/>
      <c r="D47" s="295"/>
      <c r="E47" s="295"/>
    </row>
    <row r="48" spans="1:8">
      <c r="A48" s="678" t="s">
        <v>541</v>
      </c>
      <c r="B48" s="667"/>
      <c r="C48" s="667"/>
      <c r="D48" s="667"/>
      <c r="E48" s="667"/>
    </row>
    <row r="49" spans="1:5">
      <c r="A49" s="675" t="s">
        <v>502</v>
      </c>
      <c r="B49" s="667"/>
      <c r="C49" s="667"/>
      <c r="D49" s="667"/>
      <c r="E49" s="667"/>
    </row>
    <row r="50" spans="1:5">
      <c r="A50" s="675" t="s">
        <v>508</v>
      </c>
      <c r="B50" s="667"/>
      <c r="C50" s="667"/>
      <c r="D50" s="667"/>
      <c r="E50" s="667"/>
    </row>
    <row r="51" spans="1:5">
      <c r="A51" s="675" t="s">
        <v>921</v>
      </c>
      <c r="B51" s="667"/>
      <c r="C51" s="667"/>
      <c r="D51" s="667"/>
      <c r="E51" s="667"/>
    </row>
    <row r="52" spans="1:5">
      <c r="A52" s="639" t="s">
        <v>498</v>
      </c>
      <c r="B52" s="667"/>
      <c r="C52" s="667"/>
      <c r="D52" s="667"/>
      <c r="E52" s="667"/>
    </row>
    <row r="53" spans="1:5">
      <c r="A53" s="639" t="s">
        <v>511</v>
      </c>
      <c r="B53" s="667"/>
      <c r="C53" s="667"/>
      <c r="D53" s="667"/>
      <c r="E53" s="667"/>
    </row>
    <row r="54" spans="1:5">
      <c r="A54" s="639" t="s">
        <v>531</v>
      </c>
      <c r="B54" s="667"/>
      <c r="C54" s="667"/>
      <c r="D54" s="667"/>
      <c r="E54" s="667"/>
    </row>
    <row r="55" spans="1:5">
      <c r="A55" s="639" t="s">
        <v>924</v>
      </c>
      <c r="B55" s="667"/>
      <c r="C55" s="667"/>
      <c r="D55" s="667"/>
      <c r="E55" s="667"/>
    </row>
    <row r="56" spans="1:5">
      <c r="A56" s="676" t="s">
        <v>534</v>
      </c>
      <c r="B56" s="667"/>
      <c r="C56" s="667"/>
      <c r="D56" s="667"/>
      <c r="E56" s="667"/>
    </row>
    <row r="57" spans="1:5">
      <c r="A57" s="676" t="s">
        <v>503</v>
      </c>
      <c r="B57" s="667"/>
      <c r="C57" s="667"/>
      <c r="D57" s="667"/>
      <c r="E57" s="667"/>
    </row>
    <row r="58" spans="1:5">
      <c r="A58" s="676" t="s">
        <v>499</v>
      </c>
      <c r="B58" s="667"/>
      <c r="C58" s="667"/>
      <c r="D58" s="667"/>
      <c r="E58" s="667"/>
    </row>
    <row r="59" spans="1:5">
      <c r="A59" s="676" t="s">
        <v>519</v>
      </c>
      <c r="B59" s="667"/>
      <c r="C59" s="667"/>
      <c r="D59" s="667"/>
      <c r="E59" s="667"/>
    </row>
    <row r="60" spans="1:5">
      <c r="A60" s="676" t="s">
        <v>529</v>
      </c>
      <c r="B60" s="667"/>
      <c r="C60" s="667"/>
      <c r="D60" s="667"/>
      <c r="E60" s="667"/>
    </row>
    <row r="61" spans="1:5">
      <c r="A61" s="676" t="s">
        <v>530</v>
      </c>
      <c r="B61" s="667"/>
      <c r="C61" s="667"/>
      <c r="D61" s="667"/>
      <c r="E61" s="667"/>
    </row>
    <row r="62" spans="1:5">
      <c r="A62" s="676" t="s">
        <v>532</v>
      </c>
      <c r="B62" s="667"/>
      <c r="C62" s="667"/>
      <c r="D62" s="667"/>
      <c r="E62" s="667"/>
    </row>
    <row r="63" spans="1:5">
      <c r="A63" s="679" t="s">
        <v>548</v>
      </c>
      <c r="B63" s="667"/>
      <c r="C63" s="667"/>
      <c r="D63" s="667"/>
      <c r="E63" s="667"/>
    </row>
    <row r="64" spans="1:5">
      <c r="A64" s="679" t="s">
        <v>504</v>
      </c>
      <c r="B64" s="667"/>
      <c r="C64" s="667"/>
      <c r="D64" s="667"/>
      <c r="E64" s="667"/>
    </row>
    <row r="65" spans="1:5">
      <c r="A65" s="679" t="s">
        <v>922</v>
      </c>
      <c r="B65" s="667"/>
      <c r="C65" s="667"/>
      <c r="D65" s="667"/>
      <c r="E65" s="667"/>
    </row>
    <row r="66" spans="1:5">
      <c r="A66" s="679" t="s">
        <v>923</v>
      </c>
      <c r="B66" s="667"/>
      <c r="C66" s="667"/>
      <c r="D66" s="667"/>
      <c r="E66" s="667"/>
    </row>
    <row r="67" spans="1:5">
      <c r="A67" s="677" t="s">
        <v>506</v>
      </c>
      <c r="B67" s="667"/>
      <c r="C67" s="667"/>
      <c r="D67" s="667"/>
      <c r="E67" s="667"/>
    </row>
    <row r="68" spans="1:5">
      <c r="A68" s="677" t="s">
        <v>535</v>
      </c>
      <c r="B68" s="667"/>
      <c r="C68" s="667"/>
      <c r="D68" s="667"/>
      <c r="E68" s="667"/>
    </row>
    <row r="69" spans="1:5">
      <c r="A69" s="677" t="s">
        <v>536</v>
      </c>
      <c r="B69" s="667"/>
      <c r="C69" s="667"/>
      <c r="D69" s="667"/>
      <c r="E69" s="667"/>
    </row>
    <row r="70" spans="1:5">
      <c r="A70" s="680" t="s">
        <v>521</v>
      </c>
      <c r="B70" s="667"/>
      <c r="C70" s="667"/>
      <c r="D70" s="667"/>
      <c r="E70" s="667"/>
    </row>
    <row r="71" spans="1:5">
      <c r="A71" s="680" t="s">
        <v>522</v>
      </c>
      <c r="B71" s="667"/>
      <c r="C71" s="667"/>
      <c r="D71" s="667"/>
      <c r="E71" s="667"/>
    </row>
    <row r="72" spans="1:5">
      <c r="A72" s="680" t="s">
        <v>546</v>
      </c>
      <c r="B72" s="295"/>
      <c r="C72" s="295"/>
      <c r="D72" s="295"/>
      <c r="E72" s="295"/>
    </row>
    <row r="73" spans="1:5">
      <c r="B73" s="48"/>
      <c r="C73" s="48"/>
      <c r="D73" s="48"/>
      <c r="E73" s="48"/>
    </row>
    <row r="74" spans="1:5">
      <c r="B74" s="48"/>
      <c r="C74" s="48"/>
      <c r="D74" s="48"/>
      <c r="E74" s="48"/>
    </row>
    <row r="75" spans="1:5">
      <c r="B75" s="48"/>
      <c r="C75" s="48"/>
      <c r="D75" s="48"/>
      <c r="E75" s="48"/>
    </row>
    <row r="76" spans="1:5">
      <c r="B76" s="48"/>
      <c r="C76" s="48"/>
      <c r="D76" s="48"/>
      <c r="E76" s="48"/>
    </row>
    <row r="77" spans="1:5">
      <c r="B77" s="48"/>
      <c r="C77" s="48"/>
      <c r="D77" s="48"/>
      <c r="E77" s="48"/>
    </row>
    <row r="78" spans="1:5">
      <c r="B78" s="48"/>
      <c r="C78" s="48"/>
      <c r="D78" s="48"/>
      <c r="E78" s="48"/>
    </row>
    <row r="79" spans="1:5">
      <c r="B79" s="48"/>
      <c r="C79" s="48"/>
      <c r="D79" s="48"/>
      <c r="E79" s="48"/>
    </row>
    <row r="80" spans="1:5">
      <c r="B80" s="48"/>
      <c r="C80" s="48"/>
      <c r="D80" s="48"/>
      <c r="E80" s="48"/>
    </row>
    <row r="81" spans="2:5">
      <c r="B81" s="48"/>
      <c r="C81" s="48"/>
      <c r="D81" s="48"/>
      <c r="E81" s="48"/>
    </row>
    <row r="82" spans="2:5">
      <c r="B82" s="48"/>
      <c r="C82" s="48"/>
      <c r="D82" s="48"/>
      <c r="E82" s="48"/>
    </row>
    <row r="83" spans="2:5">
      <c r="B83" s="48"/>
      <c r="C83" s="48"/>
      <c r="D83" s="48"/>
      <c r="E83" s="48"/>
    </row>
    <row r="84" spans="2:5">
      <c r="B84" s="48"/>
      <c r="C84" s="48"/>
      <c r="D84" s="48"/>
      <c r="E84" s="48"/>
    </row>
    <row r="85" spans="2:5">
      <c r="B85" s="48"/>
      <c r="C85" s="48"/>
      <c r="D85" s="48"/>
      <c r="E85" s="48"/>
    </row>
    <row r="86" spans="2:5">
      <c r="B86" s="48"/>
      <c r="C86" s="48"/>
      <c r="D86" s="48"/>
      <c r="E86" s="48"/>
    </row>
    <row r="87" spans="2:5">
      <c r="B87" s="48"/>
      <c r="C87" s="48"/>
      <c r="D87" s="48"/>
      <c r="E87" s="48"/>
    </row>
    <row r="88" spans="2:5">
      <c r="B88" s="48"/>
      <c r="C88" s="48"/>
      <c r="D88" s="48"/>
      <c r="E88" s="48"/>
    </row>
    <row r="89" spans="2:5">
      <c r="B89" s="48"/>
      <c r="C89" s="48"/>
      <c r="D89" s="48"/>
      <c r="E89" s="48"/>
    </row>
    <row r="90" spans="2:5">
      <c r="B90" s="48"/>
      <c r="C90" s="48"/>
      <c r="D90" s="48"/>
      <c r="E90" s="48"/>
    </row>
    <row r="91" spans="2:5">
      <c r="B91" s="48"/>
      <c r="C91" s="48"/>
      <c r="D91" s="48"/>
      <c r="E91" s="48"/>
    </row>
    <row r="92" spans="2:5">
      <c r="B92" s="48"/>
      <c r="C92" s="48"/>
      <c r="D92" s="48"/>
      <c r="E92" s="48"/>
    </row>
    <row r="93" spans="2:5">
      <c r="B93" s="48"/>
      <c r="C93" s="48"/>
      <c r="D93" s="48"/>
      <c r="E93" s="48"/>
    </row>
    <row r="94" spans="2:5">
      <c r="B94" s="48"/>
      <c r="C94" s="48"/>
      <c r="D94" s="48"/>
      <c r="E94" s="48"/>
    </row>
    <row r="95" spans="2:5">
      <c r="B95" s="48"/>
      <c r="C95" s="48"/>
      <c r="D95" s="48"/>
      <c r="E95" s="48"/>
    </row>
    <row r="96" spans="2:5">
      <c r="B96" s="48"/>
      <c r="C96" s="48"/>
      <c r="D96" s="48"/>
      <c r="E96" s="48"/>
    </row>
    <row r="97" spans="2:5">
      <c r="B97" s="48"/>
      <c r="C97" s="48"/>
      <c r="D97" s="48"/>
      <c r="E97" s="48"/>
    </row>
    <row r="98" spans="2:5">
      <c r="B98" s="48"/>
      <c r="C98" s="48"/>
      <c r="D98" s="48"/>
      <c r="E98" s="48"/>
    </row>
    <row r="99" spans="2:5">
      <c r="B99" s="48"/>
      <c r="C99" s="48"/>
      <c r="D99" s="48"/>
      <c r="E99" s="48"/>
    </row>
    <row r="100" spans="2:5">
      <c r="B100" s="48"/>
      <c r="C100" s="48"/>
      <c r="D100" s="48"/>
      <c r="E100" s="48"/>
    </row>
    <row r="101" spans="2:5">
      <c r="B101" s="48"/>
      <c r="C101" s="48"/>
      <c r="D101" s="48"/>
      <c r="E101" s="48"/>
    </row>
    <row r="102" spans="2:5">
      <c r="B102" s="48"/>
      <c r="C102" s="48"/>
      <c r="D102" s="48"/>
      <c r="E102" s="48"/>
    </row>
    <row r="103" spans="2:5">
      <c r="B103" s="48"/>
      <c r="C103" s="48"/>
      <c r="D103" s="48"/>
      <c r="E103" s="48"/>
    </row>
    <row r="104" spans="2:5">
      <c r="B104" s="48"/>
      <c r="C104" s="48"/>
      <c r="D104" s="48"/>
      <c r="E104" s="48"/>
    </row>
    <row r="105" spans="2:5">
      <c r="B105" s="48"/>
      <c r="C105" s="48"/>
      <c r="D105" s="48"/>
      <c r="E105" s="48"/>
    </row>
    <row r="106" spans="2:5">
      <c r="B106" s="48"/>
      <c r="C106" s="48"/>
      <c r="D106" s="48"/>
      <c r="E106" s="48"/>
    </row>
    <row r="107" spans="2:5">
      <c r="B107" s="48"/>
      <c r="C107" s="48"/>
      <c r="D107" s="48"/>
      <c r="E107" s="48"/>
    </row>
    <row r="108" spans="2:5">
      <c r="B108" s="48"/>
      <c r="C108" s="48"/>
      <c r="D108" s="48"/>
      <c r="E108" s="48"/>
    </row>
    <row r="109" spans="2:5">
      <c r="B109" s="48"/>
      <c r="C109" s="48"/>
      <c r="D109" s="48"/>
      <c r="E109" s="48"/>
    </row>
    <row r="110" spans="2:5">
      <c r="B110" s="48"/>
      <c r="C110" s="48"/>
      <c r="D110" s="48"/>
      <c r="E110" s="48"/>
    </row>
    <row r="111" spans="2:5">
      <c r="B111" s="48"/>
      <c r="C111" s="48"/>
      <c r="D111" s="48"/>
      <c r="E111" s="48"/>
    </row>
    <row r="112" spans="2:5">
      <c r="B112" s="48"/>
      <c r="C112" s="48"/>
      <c r="D112" s="48"/>
      <c r="E112" s="48"/>
    </row>
    <row r="113" spans="2:5">
      <c r="B113" s="48"/>
      <c r="C113" s="48"/>
      <c r="D113" s="48"/>
      <c r="E113" s="48"/>
    </row>
    <row r="114" spans="2:5">
      <c r="B114" s="48"/>
      <c r="C114" s="48"/>
      <c r="D114" s="48"/>
      <c r="E114" s="48"/>
    </row>
    <row r="115" spans="2:5">
      <c r="B115" s="48"/>
      <c r="C115" s="48"/>
      <c r="D115" s="48"/>
      <c r="E115" s="48"/>
    </row>
    <row r="116" spans="2:5">
      <c r="B116" s="48"/>
      <c r="C116" s="48"/>
      <c r="D116" s="48"/>
      <c r="E116" s="48"/>
    </row>
    <row r="117" spans="2:5">
      <c r="B117" s="48"/>
      <c r="C117" s="48"/>
      <c r="D117" s="48"/>
      <c r="E117" s="48"/>
    </row>
    <row r="118" spans="2:5">
      <c r="B118" s="48"/>
      <c r="C118" s="48"/>
      <c r="D118" s="48"/>
      <c r="E118" s="48"/>
    </row>
    <row r="119" spans="2:5">
      <c r="B119" s="48"/>
      <c r="C119" s="48"/>
      <c r="D119" s="48"/>
      <c r="E119" s="48"/>
    </row>
    <row r="120" spans="2:5">
      <c r="B120" s="48"/>
      <c r="C120" s="48"/>
      <c r="D120" s="48"/>
      <c r="E120" s="48"/>
    </row>
    <row r="121" spans="2:5">
      <c r="B121" s="48"/>
      <c r="C121" s="48"/>
      <c r="D121" s="48"/>
      <c r="E121" s="48"/>
    </row>
    <row r="122" spans="2:5">
      <c r="B122" s="48"/>
      <c r="C122" s="48"/>
      <c r="D122" s="48"/>
      <c r="E122" s="48"/>
    </row>
    <row r="123" spans="2:5">
      <c r="B123" s="48"/>
      <c r="C123" s="48"/>
      <c r="D123" s="48"/>
      <c r="E123" s="48"/>
    </row>
    <row r="124" spans="2:5">
      <c r="B124" s="48"/>
      <c r="C124" s="48"/>
      <c r="D124" s="48"/>
      <c r="E124" s="48"/>
    </row>
    <row r="125" spans="2:5">
      <c r="B125" s="48"/>
      <c r="C125" s="48"/>
      <c r="D125" s="48"/>
      <c r="E125" s="48"/>
    </row>
    <row r="126" spans="2:5">
      <c r="B126" s="48"/>
      <c r="C126" s="48"/>
      <c r="D126" s="48"/>
      <c r="E126" s="48"/>
    </row>
    <row r="127" spans="2:5">
      <c r="B127" s="48"/>
      <c r="C127" s="48"/>
      <c r="D127" s="48"/>
      <c r="E127" s="48"/>
    </row>
    <row r="128" spans="2:5">
      <c r="B128" s="48"/>
      <c r="C128" s="48"/>
      <c r="D128" s="48"/>
      <c r="E128" s="48"/>
    </row>
    <row r="129" spans="2:5">
      <c r="B129" s="48"/>
      <c r="C129" s="48"/>
      <c r="D129" s="48"/>
      <c r="E129" s="48"/>
    </row>
    <row r="130" spans="2:5">
      <c r="B130" s="48"/>
      <c r="C130" s="48"/>
      <c r="D130" s="48"/>
      <c r="E130" s="48"/>
    </row>
    <row r="131" spans="2:5">
      <c r="B131" s="48"/>
      <c r="C131" s="48"/>
      <c r="D131" s="48"/>
      <c r="E131" s="48"/>
    </row>
    <row r="132" spans="2:5">
      <c r="B132" s="48"/>
      <c r="C132" s="48"/>
      <c r="D132" s="48"/>
      <c r="E132" s="4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Q157"/>
  <sheetViews>
    <sheetView workbookViewId="0">
      <pane ySplit="1" topLeftCell="A136" activePane="bottomLeft" state="frozen"/>
      <selection pane="bottomLeft" activeCell="D157" sqref="D157"/>
    </sheetView>
  </sheetViews>
  <sheetFormatPr defaultRowHeight="14.5"/>
  <cols>
    <col min="1" max="1" width="4.54296875" style="52" bestFit="1" customWidth="1"/>
    <col min="2" max="2" width="7.81640625" bestFit="1" customWidth="1"/>
    <col min="3" max="3" width="10.7265625" style="62" bestFit="1" customWidth="1"/>
    <col min="4" max="4" width="10.26953125" style="79" bestFit="1" customWidth="1"/>
    <col min="5" max="5" width="2.54296875" style="180" customWidth="1"/>
    <col min="6" max="6" width="4.54296875" style="52" bestFit="1" customWidth="1"/>
    <col min="7" max="7" width="8" bestFit="1" customWidth="1"/>
    <col min="8" max="8" width="3.81640625" style="1" customWidth="1"/>
    <col min="9" max="9" width="10.7265625" style="62" bestFit="1" customWidth="1"/>
    <col min="10" max="10" width="10.26953125" style="79" bestFit="1" customWidth="1"/>
    <col min="11" max="11" width="2.54296875" style="180" customWidth="1"/>
    <col min="12" max="12" width="4.54296875" style="52" bestFit="1" customWidth="1"/>
    <col min="13" max="13" width="8.1796875" bestFit="1" customWidth="1"/>
    <col min="14" max="14" width="3.81640625" style="1" customWidth="1"/>
    <col min="15" max="15" width="10.7265625" style="62" bestFit="1" customWidth="1"/>
    <col min="16" max="16" width="10" style="79" bestFit="1" customWidth="1"/>
    <col min="17" max="17" width="2.54296875" style="180" customWidth="1"/>
  </cols>
  <sheetData>
    <row r="1" spans="1:17">
      <c r="B1" s="120" t="s">
        <v>266</v>
      </c>
      <c r="C1" s="78" t="s">
        <v>5</v>
      </c>
      <c r="D1" s="79" t="s">
        <v>152</v>
      </c>
      <c r="E1" s="179"/>
      <c r="G1" s="120" t="s">
        <v>325</v>
      </c>
      <c r="H1" s="200" t="s">
        <v>332</v>
      </c>
      <c r="I1" s="78" t="s">
        <v>5</v>
      </c>
      <c r="J1" s="79" t="s">
        <v>152</v>
      </c>
      <c r="K1" s="179"/>
      <c r="M1" s="120" t="s">
        <v>450</v>
      </c>
      <c r="N1" s="200" t="s">
        <v>332</v>
      </c>
      <c r="O1" s="78" t="s">
        <v>5</v>
      </c>
      <c r="P1" s="79" t="s">
        <v>152</v>
      </c>
      <c r="Q1" s="179"/>
    </row>
    <row r="2" spans="1:17">
      <c r="A2" s="52" t="s">
        <v>148</v>
      </c>
      <c r="B2" t="s">
        <v>149</v>
      </c>
      <c r="C2" s="62">
        <v>210</v>
      </c>
    </row>
    <row r="3" spans="1:17">
      <c r="B3" t="s">
        <v>150</v>
      </c>
      <c r="C3" s="62">
        <v>210</v>
      </c>
    </row>
    <row r="4" spans="1:17">
      <c r="B4" t="s">
        <v>151</v>
      </c>
      <c r="C4" s="62">
        <v>210</v>
      </c>
    </row>
    <row r="5" spans="1:17">
      <c r="A5" s="177"/>
      <c r="B5" s="31"/>
      <c r="C5" s="111">
        <f>SUM(C2:C4)</f>
        <v>630</v>
      </c>
      <c r="D5" s="121">
        <v>45230</v>
      </c>
      <c r="E5" s="181"/>
      <c r="I5" s="78"/>
      <c r="O5" s="78"/>
    </row>
    <row r="6" spans="1:17">
      <c r="A6" s="52" t="s">
        <v>153</v>
      </c>
      <c r="B6" t="s">
        <v>154</v>
      </c>
      <c r="C6" s="62">
        <v>210</v>
      </c>
    </row>
    <row r="7" spans="1:17">
      <c r="B7" t="s">
        <v>155</v>
      </c>
      <c r="C7" s="62">
        <v>420</v>
      </c>
    </row>
    <row r="8" spans="1:17">
      <c r="B8" t="s">
        <v>156</v>
      </c>
      <c r="C8" s="62">
        <v>210</v>
      </c>
    </row>
    <row r="9" spans="1:17">
      <c r="B9" t="s">
        <v>157</v>
      </c>
      <c r="C9" s="62">
        <v>210</v>
      </c>
    </row>
    <row r="10" spans="1:17">
      <c r="B10" t="s">
        <v>158</v>
      </c>
      <c r="C10" s="62">
        <v>210</v>
      </c>
    </row>
    <row r="11" spans="1:17">
      <c r="B11" t="s">
        <v>159</v>
      </c>
      <c r="C11" s="62">
        <v>210</v>
      </c>
    </row>
    <row r="12" spans="1:17">
      <c r="A12" s="177"/>
      <c r="B12" s="31"/>
      <c r="C12" s="111">
        <f>SUM(C6:C11)</f>
        <v>1470</v>
      </c>
      <c r="D12" s="121">
        <v>45245</v>
      </c>
      <c r="E12" s="181"/>
      <c r="G12" s="28"/>
      <c r="H12" s="201"/>
      <c r="I12" s="78"/>
      <c r="M12" s="28"/>
      <c r="N12" s="201"/>
      <c r="O12" s="78"/>
    </row>
    <row r="13" spans="1:17">
      <c r="A13" s="52" t="s">
        <v>153</v>
      </c>
      <c r="B13" t="s">
        <v>166</v>
      </c>
      <c r="C13" s="62">
        <v>210</v>
      </c>
      <c r="E13" s="182"/>
    </row>
    <row r="14" spans="1:17">
      <c r="B14" t="s">
        <v>167</v>
      </c>
      <c r="C14" s="62">
        <v>420</v>
      </c>
      <c r="G14" s="3"/>
      <c r="H14" s="202"/>
      <c r="M14" s="3"/>
      <c r="N14" s="202"/>
    </row>
    <row r="15" spans="1:17">
      <c r="B15" t="s">
        <v>169</v>
      </c>
      <c r="C15" s="62">
        <v>210</v>
      </c>
    </row>
    <row r="16" spans="1:17">
      <c r="B16" t="s">
        <v>170</v>
      </c>
      <c r="C16" s="62">
        <v>210</v>
      </c>
    </row>
    <row r="17" spans="1:17">
      <c r="B17" t="s">
        <v>173</v>
      </c>
      <c r="C17" s="62">
        <v>210</v>
      </c>
    </row>
    <row r="18" spans="1:17">
      <c r="B18" t="s">
        <v>176</v>
      </c>
      <c r="C18" s="62">
        <v>210</v>
      </c>
    </row>
    <row r="19" spans="1:17">
      <c r="B19" t="s">
        <v>178</v>
      </c>
      <c r="C19" s="62">
        <v>210</v>
      </c>
    </row>
    <row r="20" spans="1:17">
      <c r="B20" t="s">
        <v>179</v>
      </c>
      <c r="C20" s="62">
        <f>210*1.5</f>
        <v>315</v>
      </c>
    </row>
    <row r="21" spans="1:17">
      <c r="B21" t="s">
        <v>181</v>
      </c>
      <c r="C21" s="62">
        <v>210</v>
      </c>
    </row>
    <row r="22" spans="1:17">
      <c r="A22" s="177"/>
      <c r="B22" s="31"/>
      <c r="C22" s="111">
        <f>SUM(C13:C21)</f>
        <v>2205</v>
      </c>
      <c r="D22" s="121">
        <v>45259</v>
      </c>
      <c r="E22" s="181"/>
      <c r="I22" s="78"/>
      <c r="K22" s="181"/>
      <c r="O22" s="78"/>
      <c r="Q22" s="181"/>
    </row>
    <row r="23" spans="1:17">
      <c r="A23" s="52" t="s">
        <v>153</v>
      </c>
      <c r="B23" t="s">
        <v>184</v>
      </c>
      <c r="C23" s="62">
        <v>210</v>
      </c>
    </row>
    <row r="24" spans="1:17">
      <c r="A24" s="52" t="s">
        <v>187</v>
      </c>
      <c r="B24" t="s">
        <v>189</v>
      </c>
      <c r="C24" s="62">
        <f>210*1.5</f>
        <v>315</v>
      </c>
    </row>
    <row r="25" spans="1:17">
      <c r="B25" t="s">
        <v>190</v>
      </c>
      <c r="C25" s="62">
        <v>210</v>
      </c>
    </row>
    <row r="26" spans="1:17">
      <c r="B26" t="s">
        <v>195</v>
      </c>
      <c r="C26" s="62">
        <v>210</v>
      </c>
    </row>
    <row r="27" spans="1:17">
      <c r="B27" t="s">
        <v>196</v>
      </c>
      <c r="C27" s="62">
        <v>210</v>
      </c>
    </row>
    <row r="28" spans="1:17">
      <c r="B28" t="s">
        <v>199</v>
      </c>
      <c r="C28" s="62">
        <v>420</v>
      </c>
    </row>
    <row r="29" spans="1:17">
      <c r="B29" t="s">
        <v>203</v>
      </c>
      <c r="C29" s="62">
        <v>210</v>
      </c>
    </row>
    <row r="30" spans="1:17">
      <c r="B30" t="s">
        <v>204</v>
      </c>
      <c r="C30" s="62">
        <v>210</v>
      </c>
    </row>
    <row r="31" spans="1:17">
      <c r="B31" t="s">
        <v>205</v>
      </c>
      <c r="C31" s="62">
        <v>210</v>
      </c>
    </row>
    <row r="32" spans="1:17">
      <c r="A32" s="177"/>
      <c r="B32" s="31"/>
      <c r="C32" s="111">
        <f>SUM(C23:C31)</f>
        <v>2205</v>
      </c>
      <c r="D32" s="121">
        <v>45273</v>
      </c>
      <c r="I32" s="78"/>
      <c r="O32" s="78"/>
    </row>
    <row r="33" spans="1:12">
      <c r="A33" s="52" t="s">
        <v>187</v>
      </c>
      <c r="B33" t="s">
        <v>224</v>
      </c>
      <c r="C33" s="62">
        <v>420</v>
      </c>
    </row>
    <row r="34" spans="1:12">
      <c r="B34" t="s">
        <v>227</v>
      </c>
      <c r="C34" s="62">
        <v>210</v>
      </c>
    </row>
    <row r="35" spans="1:12">
      <c r="B35" t="s">
        <v>230</v>
      </c>
      <c r="C35" s="62">
        <v>210</v>
      </c>
    </row>
    <row r="36" spans="1:12">
      <c r="B36" t="s">
        <v>248</v>
      </c>
      <c r="C36" s="62">
        <v>210</v>
      </c>
    </row>
    <row r="37" spans="1:12">
      <c r="B37" t="s">
        <v>258</v>
      </c>
      <c r="C37" s="62">
        <v>315</v>
      </c>
    </row>
    <row r="38" spans="1:12">
      <c r="A38" s="178" t="s">
        <v>272</v>
      </c>
      <c r="B38" s="118"/>
      <c r="C38" s="119">
        <v>105</v>
      </c>
      <c r="F38" s="178"/>
      <c r="L38" s="178"/>
    </row>
    <row r="39" spans="1:12">
      <c r="B39" t="s">
        <v>263</v>
      </c>
      <c r="C39" s="62">
        <v>420</v>
      </c>
    </row>
    <row r="40" spans="1:12">
      <c r="B40" t="s">
        <v>264</v>
      </c>
      <c r="C40" s="62">
        <v>210</v>
      </c>
    </row>
    <row r="41" spans="1:12">
      <c r="A41" s="178" t="s">
        <v>273</v>
      </c>
      <c r="C41" s="62">
        <v>200</v>
      </c>
      <c r="F41" s="178"/>
      <c r="L41" s="178"/>
    </row>
    <row r="42" spans="1:12">
      <c r="A42" s="177"/>
      <c r="B42" s="31"/>
      <c r="C42" s="111">
        <f>SUM(C33:C41)</f>
        <v>2300</v>
      </c>
      <c r="D42" s="121">
        <v>45287</v>
      </c>
      <c r="F42" s="177"/>
      <c r="G42" s="313"/>
      <c r="H42" s="315"/>
      <c r="I42" s="88"/>
      <c r="J42" s="241"/>
      <c r="L42" s="178"/>
    </row>
    <row r="43" spans="1:12">
      <c r="A43" s="52" t="s">
        <v>187</v>
      </c>
      <c r="B43" t="s">
        <v>274</v>
      </c>
      <c r="C43" s="62">
        <v>210</v>
      </c>
      <c r="L43" s="178"/>
    </row>
    <row r="44" spans="1:12">
      <c r="A44" s="52" t="s">
        <v>291</v>
      </c>
      <c r="B44" t="s">
        <v>292</v>
      </c>
      <c r="C44" s="62">
        <v>210</v>
      </c>
      <c r="F44" s="52" t="s">
        <v>291</v>
      </c>
      <c r="G44" t="s">
        <v>326</v>
      </c>
      <c r="H44" s="1" t="s">
        <v>16</v>
      </c>
      <c r="I44" s="62">
        <v>210</v>
      </c>
      <c r="L44" s="178"/>
    </row>
    <row r="45" spans="1:12">
      <c r="B45" t="s">
        <v>305</v>
      </c>
      <c r="C45" s="62">
        <v>210</v>
      </c>
      <c r="G45" t="s">
        <v>305</v>
      </c>
      <c r="H45" s="1" t="s">
        <v>16</v>
      </c>
      <c r="I45" s="62">
        <v>210</v>
      </c>
      <c r="L45" s="178"/>
    </row>
    <row r="46" spans="1:12">
      <c r="B46" t="s">
        <v>312</v>
      </c>
      <c r="C46" s="62">
        <v>315</v>
      </c>
      <c r="G46" t="s">
        <v>313</v>
      </c>
      <c r="H46" s="1" t="s">
        <v>86</v>
      </c>
      <c r="I46" s="62">
        <v>420</v>
      </c>
      <c r="L46" s="178"/>
    </row>
    <row r="47" spans="1:12">
      <c r="B47" t="s">
        <v>313</v>
      </c>
      <c r="C47" s="62">
        <v>420</v>
      </c>
      <c r="G47" t="s">
        <v>314</v>
      </c>
      <c r="H47" s="1" t="s">
        <v>37</v>
      </c>
      <c r="I47" s="62">
        <v>210</v>
      </c>
      <c r="L47" s="178"/>
    </row>
    <row r="48" spans="1:12">
      <c r="B48" t="s">
        <v>314</v>
      </c>
      <c r="C48" s="62">
        <v>210</v>
      </c>
      <c r="G48" s="194" t="s">
        <v>315</v>
      </c>
      <c r="H48" s="203" t="s">
        <v>44</v>
      </c>
      <c r="I48" s="195">
        <v>210</v>
      </c>
      <c r="L48" s="178"/>
    </row>
    <row r="49" spans="1:16">
      <c r="B49" t="s">
        <v>315</v>
      </c>
      <c r="C49" s="62">
        <v>210</v>
      </c>
      <c r="L49" s="178"/>
    </row>
    <row r="50" spans="1:16">
      <c r="A50" s="177"/>
      <c r="B50" s="31"/>
      <c r="C50" s="111">
        <f>SUM(C43:C49)</f>
        <v>1785</v>
      </c>
      <c r="D50" s="121">
        <v>45301</v>
      </c>
      <c r="F50" s="177"/>
      <c r="G50" s="35"/>
      <c r="H50" s="33"/>
      <c r="I50" s="111">
        <f>SUM(I44:I48)</f>
        <v>1260</v>
      </c>
      <c r="J50" s="121">
        <v>45301</v>
      </c>
      <c r="L50" s="178"/>
    </row>
    <row r="51" spans="1:16">
      <c r="A51" s="52" t="s">
        <v>291</v>
      </c>
      <c r="B51" t="s">
        <v>316</v>
      </c>
      <c r="C51" s="62">
        <v>210</v>
      </c>
      <c r="F51" s="52" t="s">
        <v>291</v>
      </c>
      <c r="L51" s="178"/>
    </row>
    <row r="52" spans="1:16">
      <c r="B52" t="s">
        <v>358</v>
      </c>
      <c r="C52" s="62">
        <v>210</v>
      </c>
      <c r="G52" t="s">
        <v>358</v>
      </c>
      <c r="H52" s="1" t="s">
        <v>37</v>
      </c>
      <c r="I52" s="62">
        <v>210</v>
      </c>
      <c r="L52" s="178"/>
    </row>
    <row r="53" spans="1:16">
      <c r="B53" t="s">
        <v>378</v>
      </c>
      <c r="C53" s="62">
        <v>210</v>
      </c>
      <c r="G53" t="s">
        <v>359</v>
      </c>
      <c r="H53" s="1" t="s">
        <v>86</v>
      </c>
      <c r="I53" s="62">
        <v>210</v>
      </c>
      <c r="L53" s="178"/>
    </row>
    <row r="54" spans="1:16">
      <c r="B54" t="s">
        <v>360</v>
      </c>
      <c r="C54" s="62">
        <v>315</v>
      </c>
      <c r="G54" t="s">
        <v>378</v>
      </c>
      <c r="H54" s="1" t="s">
        <v>16</v>
      </c>
      <c r="I54" s="62">
        <v>210</v>
      </c>
      <c r="L54" s="178"/>
    </row>
    <row r="55" spans="1:16">
      <c r="B55" t="s">
        <v>383</v>
      </c>
      <c r="C55" s="62">
        <v>210</v>
      </c>
      <c r="G55" t="s">
        <v>360</v>
      </c>
      <c r="H55" s="1" t="s">
        <v>16</v>
      </c>
      <c r="I55" s="62">
        <v>315</v>
      </c>
      <c r="L55" s="178"/>
    </row>
    <row r="56" spans="1:16">
      <c r="B56" t="s">
        <v>384</v>
      </c>
      <c r="C56" s="62">
        <v>210</v>
      </c>
      <c r="L56" s="178"/>
    </row>
    <row r="57" spans="1:16">
      <c r="B57" t="s">
        <v>385</v>
      </c>
      <c r="C57" s="62">
        <v>210</v>
      </c>
      <c r="L57" s="178"/>
    </row>
    <row r="58" spans="1:16">
      <c r="A58" s="177"/>
      <c r="B58" s="31"/>
      <c r="C58" s="111">
        <f>SUM(C51:C57)</f>
        <v>1575</v>
      </c>
      <c r="D58" s="241">
        <v>45315</v>
      </c>
      <c r="F58" s="225"/>
      <c r="G58" s="31"/>
      <c r="H58" s="33"/>
      <c r="I58" s="111">
        <f>SUM(I52:I55)</f>
        <v>945</v>
      </c>
      <c r="J58" s="241">
        <v>45315</v>
      </c>
      <c r="L58" s="178"/>
    </row>
    <row r="59" spans="1:16">
      <c r="A59" s="52" t="s">
        <v>291</v>
      </c>
      <c r="B59" s="206" t="s">
        <v>439</v>
      </c>
      <c r="C59" s="62">
        <v>210</v>
      </c>
    </row>
    <row r="60" spans="1:16">
      <c r="B60" s="206" t="s">
        <v>440</v>
      </c>
      <c r="C60" s="62">
        <v>315</v>
      </c>
    </row>
    <row r="61" spans="1:16">
      <c r="B61" s="206" t="s">
        <v>414</v>
      </c>
      <c r="C61" s="62">
        <v>210</v>
      </c>
    </row>
    <row r="62" spans="1:16">
      <c r="B62" s="206" t="s">
        <v>415</v>
      </c>
      <c r="C62" s="62">
        <v>210</v>
      </c>
    </row>
    <row r="63" spans="1:16">
      <c r="A63" s="52" t="s">
        <v>424</v>
      </c>
      <c r="B63" s="206" t="s">
        <v>441</v>
      </c>
      <c r="C63" s="62">
        <v>210</v>
      </c>
      <c r="L63" s="224"/>
      <c r="M63" s="263"/>
      <c r="N63" s="48"/>
      <c r="P63" s="264"/>
    </row>
    <row r="64" spans="1:16">
      <c r="B64" s="206" t="s">
        <v>442</v>
      </c>
      <c r="C64" s="62">
        <v>210</v>
      </c>
      <c r="L64" s="224"/>
      <c r="M64" s="43"/>
      <c r="N64" s="48"/>
      <c r="P64" s="264"/>
    </row>
    <row r="65" spans="1:16">
      <c r="B65" s="206" t="s">
        <v>445</v>
      </c>
      <c r="C65" s="62">
        <v>420</v>
      </c>
    </row>
    <row r="66" spans="1:16">
      <c r="B66" s="206" t="s">
        <v>446</v>
      </c>
      <c r="C66" s="62">
        <v>210</v>
      </c>
      <c r="F66" s="224" t="s">
        <v>424</v>
      </c>
      <c r="G66" s="263" t="s">
        <v>443</v>
      </c>
      <c r="H66" s="48" t="s">
        <v>37</v>
      </c>
      <c r="I66" s="62">
        <v>315</v>
      </c>
      <c r="J66" s="264"/>
    </row>
    <row r="67" spans="1:16">
      <c r="B67" s="206" t="s">
        <v>447</v>
      </c>
      <c r="C67" s="62">
        <v>210</v>
      </c>
      <c r="F67" s="224"/>
      <c r="G67" s="43" t="s">
        <v>445</v>
      </c>
      <c r="H67" s="48" t="s">
        <v>16</v>
      </c>
      <c r="I67" s="62">
        <v>420</v>
      </c>
      <c r="J67" s="264"/>
    </row>
    <row r="68" spans="1:16">
      <c r="A68" s="177"/>
      <c r="B68" s="31"/>
      <c r="C68" s="111">
        <f>SUM(C59:C67)</f>
        <v>2205</v>
      </c>
      <c r="D68" s="121">
        <v>45329</v>
      </c>
      <c r="E68" s="262"/>
      <c r="F68" s="225"/>
      <c r="G68" s="31"/>
      <c r="H68" s="33"/>
      <c r="I68" s="111">
        <f>SUM(I66:I67)</f>
        <v>735</v>
      </c>
      <c r="J68" s="241">
        <v>45329</v>
      </c>
    </row>
    <row r="69" spans="1:16">
      <c r="A69" s="52" t="s">
        <v>424</v>
      </c>
      <c r="B69" s="206" t="s">
        <v>448</v>
      </c>
      <c r="C69" s="62">
        <v>210</v>
      </c>
    </row>
    <row r="70" spans="1:16">
      <c r="B70" s="206" t="s">
        <v>449</v>
      </c>
      <c r="C70" s="62">
        <v>210</v>
      </c>
    </row>
    <row r="71" spans="1:16">
      <c r="B71" s="206" t="s">
        <v>458</v>
      </c>
      <c r="C71" s="62">
        <v>210</v>
      </c>
    </row>
    <row r="72" spans="1:16">
      <c r="B72" s="206" t="s">
        <v>459</v>
      </c>
      <c r="C72" s="62">
        <v>210</v>
      </c>
    </row>
    <row r="73" spans="1:16">
      <c r="B73" s="206" t="s">
        <v>460</v>
      </c>
      <c r="C73" s="62">
        <v>210</v>
      </c>
    </row>
    <row r="74" spans="1:16">
      <c r="B74" s="206" t="s">
        <v>461</v>
      </c>
      <c r="C74" s="62">
        <v>210</v>
      </c>
    </row>
    <row r="75" spans="1:16">
      <c r="B75" s="206" t="s">
        <v>462</v>
      </c>
      <c r="C75" s="62">
        <v>210</v>
      </c>
    </row>
    <row r="76" spans="1:16">
      <c r="B76" s="206" t="s">
        <v>483</v>
      </c>
      <c r="C76" s="62">
        <v>210</v>
      </c>
    </row>
    <row r="77" spans="1:16">
      <c r="B77" s="206" t="s">
        <v>484</v>
      </c>
      <c r="C77" s="62">
        <v>210</v>
      </c>
    </row>
    <row r="78" spans="1:16">
      <c r="B78" s="206" t="s">
        <v>485</v>
      </c>
      <c r="C78" s="62">
        <v>210</v>
      </c>
      <c r="L78" s="52" t="s">
        <v>424</v>
      </c>
      <c r="M78" t="s">
        <v>459</v>
      </c>
      <c r="N78" s="1" t="s">
        <v>86</v>
      </c>
      <c r="O78" s="62">
        <v>210</v>
      </c>
    </row>
    <row r="79" spans="1:16">
      <c r="A79" s="177"/>
      <c r="B79" s="31"/>
      <c r="C79" s="111">
        <f>SUM(C69:C78)</f>
        <v>2100</v>
      </c>
      <c r="D79" s="241">
        <v>45343</v>
      </c>
      <c r="F79" s="225"/>
      <c r="G79" s="31"/>
      <c r="H79" s="33"/>
      <c r="I79" s="88"/>
      <c r="J79" s="241"/>
      <c r="L79" s="225"/>
      <c r="M79" s="31"/>
      <c r="N79" s="33"/>
      <c r="O79" s="111">
        <f>O78</f>
        <v>210</v>
      </c>
      <c r="P79" s="241">
        <v>45343</v>
      </c>
    </row>
    <row r="80" spans="1:16">
      <c r="A80" s="52" t="s">
        <v>424</v>
      </c>
      <c r="B80" s="206" t="s">
        <v>486</v>
      </c>
      <c r="C80" s="62">
        <v>210</v>
      </c>
    </row>
    <row r="81" spans="1:16">
      <c r="B81" s="206" t="s">
        <v>487</v>
      </c>
      <c r="C81" s="62">
        <v>420</v>
      </c>
    </row>
    <row r="82" spans="1:16">
      <c r="B82" s="206" t="s">
        <v>561</v>
      </c>
      <c r="C82" s="62">
        <v>210</v>
      </c>
    </row>
    <row r="83" spans="1:16">
      <c r="B83" s="206" t="s">
        <v>562</v>
      </c>
      <c r="C83" s="62">
        <v>210</v>
      </c>
    </row>
    <row r="84" spans="1:16">
      <c r="B84" s="206" t="s">
        <v>563</v>
      </c>
      <c r="C84" s="62">
        <v>210</v>
      </c>
    </row>
    <row r="85" spans="1:16">
      <c r="A85" s="52" t="s">
        <v>576</v>
      </c>
      <c r="B85" s="206" t="s">
        <v>564</v>
      </c>
      <c r="C85" s="62">
        <v>210</v>
      </c>
    </row>
    <row r="86" spans="1:16">
      <c r="B86" s="206" t="s">
        <v>565</v>
      </c>
      <c r="C86" s="62">
        <v>315</v>
      </c>
    </row>
    <row r="87" spans="1:16">
      <c r="B87" s="206" t="s">
        <v>583</v>
      </c>
      <c r="C87" s="62">
        <v>210</v>
      </c>
    </row>
    <row r="88" spans="1:16">
      <c r="B88" s="206" t="s">
        <v>190</v>
      </c>
      <c r="C88" s="62">
        <v>210</v>
      </c>
    </row>
    <row r="89" spans="1:16">
      <c r="B89" s="206" t="s">
        <v>584</v>
      </c>
      <c r="C89" s="62">
        <v>210</v>
      </c>
      <c r="L89" s="52" t="s">
        <v>424</v>
      </c>
      <c r="M89" t="s">
        <v>562</v>
      </c>
      <c r="N89" s="1" t="s">
        <v>86</v>
      </c>
      <c r="O89" s="62">
        <v>210</v>
      </c>
    </row>
    <row r="90" spans="1:16">
      <c r="A90" s="177"/>
      <c r="B90" s="31"/>
      <c r="C90" s="111">
        <f>SUM(C80:C89)</f>
        <v>2415</v>
      </c>
      <c r="D90" s="241">
        <v>45357</v>
      </c>
      <c r="F90" s="225"/>
      <c r="G90" s="31"/>
      <c r="H90" s="33"/>
      <c r="I90" s="88"/>
      <c r="J90" s="241"/>
      <c r="L90" s="225"/>
      <c r="M90" s="31"/>
      <c r="N90" s="33"/>
      <c r="O90" s="111">
        <f>O89</f>
        <v>210</v>
      </c>
      <c r="P90" s="241">
        <v>45357</v>
      </c>
    </row>
    <row r="91" spans="1:16">
      <c r="A91" s="52" t="s">
        <v>576</v>
      </c>
      <c r="B91" s="206" t="s">
        <v>196</v>
      </c>
      <c r="C91" s="62">
        <v>250</v>
      </c>
    </row>
    <row r="92" spans="1:16">
      <c r="B92" s="206" t="s">
        <v>203</v>
      </c>
      <c r="C92" s="62">
        <v>250</v>
      </c>
    </row>
    <row r="93" spans="1:16">
      <c r="B93" s="206" t="s">
        <v>204</v>
      </c>
      <c r="C93" s="62">
        <v>250</v>
      </c>
    </row>
    <row r="94" spans="1:16">
      <c r="B94" s="206" t="s">
        <v>598</v>
      </c>
      <c r="C94" s="62">
        <v>250</v>
      </c>
    </row>
    <row r="95" spans="1:16">
      <c r="B95" s="206" t="s">
        <v>599</v>
      </c>
      <c r="C95" s="62">
        <v>250</v>
      </c>
    </row>
    <row r="96" spans="1:16">
      <c r="B96" s="206" t="s">
        <v>616</v>
      </c>
      <c r="C96" s="62">
        <v>500</v>
      </c>
    </row>
    <row r="97" spans="1:16">
      <c r="B97" s="206" t="s">
        <v>227</v>
      </c>
      <c r="C97" s="62">
        <v>250</v>
      </c>
    </row>
    <row r="98" spans="1:16">
      <c r="B98" s="206" t="s">
        <v>230</v>
      </c>
      <c r="C98" s="62">
        <v>250</v>
      </c>
    </row>
    <row r="99" spans="1:16">
      <c r="B99" s="206" t="s">
        <v>614</v>
      </c>
      <c r="C99" s="62">
        <v>250</v>
      </c>
      <c r="F99" s="52" t="s">
        <v>576</v>
      </c>
      <c r="G99" t="s">
        <v>614</v>
      </c>
      <c r="H99" s="1" t="s">
        <v>44</v>
      </c>
      <c r="I99" s="62">
        <v>250</v>
      </c>
      <c r="L99" s="52" t="s">
        <v>576</v>
      </c>
      <c r="M99" t="s">
        <v>204</v>
      </c>
      <c r="N99" s="1" t="s">
        <v>86</v>
      </c>
      <c r="O99" s="62">
        <v>250</v>
      </c>
    </row>
    <row r="100" spans="1:16">
      <c r="A100" s="177"/>
      <c r="B100" s="31"/>
      <c r="C100" s="111">
        <f>SUM(C91:C99)</f>
        <v>2500</v>
      </c>
      <c r="D100" s="241">
        <v>45371</v>
      </c>
      <c r="F100" s="225"/>
      <c r="G100" s="31"/>
      <c r="H100" s="33"/>
      <c r="I100" s="111">
        <v>250</v>
      </c>
      <c r="J100" s="241">
        <v>45371</v>
      </c>
      <c r="L100" s="225"/>
      <c r="M100" s="31"/>
      <c r="N100" s="33"/>
      <c r="O100" s="111">
        <v>250</v>
      </c>
      <c r="P100" s="241">
        <v>45371</v>
      </c>
    </row>
    <row r="101" spans="1:16">
      <c r="A101" s="435" t="s">
        <v>576</v>
      </c>
      <c r="B101" s="433" t="s">
        <v>615</v>
      </c>
      <c r="C101" s="318">
        <v>375</v>
      </c>
      <c r="D101" s="434"/>
    </row>
    <row r="102" spans="1:16">
      <c r="A102" s="224"/>
      <c r="B102" s="263" t="s">
        <v>635</v>
      </c>
      <c r="C102" s="62">
        <v>250</v>
      </c>
      <c r="D102" s="264"/>
    </row>
    <row r="103" spans="1:16">
      <c r="A103" s="224"/>
      <c r="B103" s="263" t="s">
        <v>263</v>
      </c>
      <c r="C103" s="62">
        <v>250</v>
      </c>
      <c r="D103" s="264"/>
    </row>
    <row r="104" spans="1:16">
      <c r="A104" s="224"/>
      <c r="B104" s="263" t="s">
        <v>264</v>
      </c>
      <c r="C104" s="62">
        <v>250</v>
      </c>
      <c r="D104" s="264"/>
    </row>
    <row r="105" spans="1:16">
      <c r="A105" s="224"/>
      <c r="B105" s="263" t="s">
        <v>636</v>
      </c>
      <c r="C105" s="62">
        <v>250</v>
      </c>
      <c r="D105" s="264"/>
    </row>
    <row r="106" spans="1:16">
      <c r="A106" s="224"/>
      <c r="B106" s="263" t="s">
        <v>653</v>
      </c>
      <c r="C106" s="62">
        <v>500</v>
      </c>
      <c r="D106" s="264"/>
    </row>
    <row r="107" spans="1:16">
      <c r="A107" s="224" t="s">
        <v>690</v>
      </c>
      <c r="B107" s="263" t="s">
        <v>650</v>
      </c>
      <c r="C107" s="62">
        <v>500</v>
      </c>
      <c r="D107" s="264"/>
      <c r="F107" s="52" t="s">
        <v>576</v>
      </c>
      <c r="G107" t="s">
        <v>615</v>
      </c>
      <c r="H107" s="1" t="s">
        <v>86</v>
      </c>
      <c r="I107" s="62">
        <v>375</v>
      </c>
    </row>
    <row r="108" spans="1:16">
      <c r="A108" s="224"/>
      <c r="B108" s="263" t="s">
        <v>651</v>
      </c>
      <c r="C108" s="62">
        <v>250</v>
      </c>
      <c r="D108" s="264"/>
      <c r="G108" t="s">
        <v>274</v>
      </c>
      <c r="H108" s="1" t="s">
        <v>37</v>
      </c>
      <c r="I108" s="62">
        <v>500</v>
      </c>
      <c r="L108" s="52" t="s">
        <v>576</v>
      </c>
      <c r="M108" t="s">
        <v>615</v>
      </c>
      <c r="N108" s="1" t="s">
        <v>86</v>
      </c>
      <c r="O108" s="62">
        <v>375</v>
      </c>
    </row>
    <row r="109" spans="1:16">
      <c r="A109" s="225"/>
      <c r="B109" s="31"/>
      <c r="C109" s="111">
        <f>SUM(C101:C108)</f>
        <v>2625</v>
      </c>
      <c r="D109" s="241">
        <v>45385</v>
      </c>
      <c r="F109" s="225"/>
      <c r="G109" s="31"/>
      <c r="H109" s="33"/>
      <c r="I109" s="111">
        <f>SUM(I107:I108)</f>
        <v>875</v>
      </c>
      <c r="J109" s="241">
        <v>45385</v>
      </c>
      <c r="L109" s="225"/>
      <c r="M109" s="31"/>
      <c r="N109" s="33"/>
      <c r="O109" s="111">
        <f>SUM(O108)</f>
        <v>375</v>
      </c>
      <c r="P109" s="241">
        <v>45385</v>
      </c>
    </row>
    <row r="110" spans="1:16">
      <c r="A110" s="52" t="s">
        <v>690</v>
      </c>
      <c r="B110" s="438" t="s">
        <v>652</v>
      </c>
      <c r="C110" s="62">
        <v>250</v>
      </c>
    </row>
    <row r="111" spans="1:16">
      <c r="B111" s="438" t="s">
        <v>314</v>
      </c>
      <c r="C111" s="62">
        <v>250</v>
      </c>
    </row>
    <row r="112" spans="1:16">
      <c r="B112" s="438" t="s">
        <v>312</v>
      </c>
      <c r="C112" s="62">
        <v>375</v>
      </c>
    </row>
    <row r="113" spans="1:16">
      <c r="B113" s="438" t="s">
        <v>316</v>
      </c>
      <c r="C113" s="62">
        <v>250</v>
      </c>
    </row>
    <row r="114" spans="1:16">
      <c r="B114" s="438" t="s">
        <v>358</v>
      </c>
      <c r="C114" s="62">
        <v>250</v>
      </c>
    </row>
    <row r="115" spans="1:16">
      <c r="B115" s="438" t="s">
        <v>359</v>
      </c>
      <c r="C115" s="62">
        <v>250</v>
      </c>
      <c r="F115" s="52" t="s">
        <v>690</v>
      </c>
      <c r="G115" t="s">
        <v>652</v>
      </c>
      <c r="H115" s="1" t="s">
        <v>44</v>
      </c>
      <c r="I115" s="62">
        <v>250</v>
      </c>
    </row>
    <row r="116" spans="1:16">
      <c r="A116" s="177"/>
      <c r="B116" s="31"/>
      <c r="C116" s="111">
        <f>SUM(C110:C115)</f>
        <v>1625</v>
      </c>
      <c r="D116" s="241">
        <v>45399</v>
      </c>
      <c r="F116" s="225"/>
      <c r="G116" s="31"/>
      <c r="H116" s="33"/>
      <c r="I116" s="111">
        <f>I115</f>
        <v>250</v>
      </c>
      <c r="J116" s="241">
        <v>45399</v>
      </c>
    </row>
    <row r="117" spans="1:16">
      <c r="A117" s="435" t="s">
        <v>690</v>
      </c>
      <c r="B117" s="559" t="s">
        <v>740</v>
      </c>
      <c r="C117" s="318">
        <v>250</v>
      </c>
      <c r="D117" s="434"/>
    </row>
    <row r="118" spans="1:16">
      <c r="A118" s="224"/>
      <c r="B118" s="438" t="s">
        <v>384</v>
      </c>
      <c r="C118" s="62">
        <v>250</v>
      </c>
      <c r="D118" s="264"/>
    </row>
    <row r="119" spans="1:16">
      <c r="A119" s="224"/>
      <c r="B119" s="438" t="s">
        <v>744</v>
      </c>
      <c r="C119" s="62">
        <v>250</v>
      </c>
      <c r="D119" s="264"/>
      <c r="F119" s="52" t="s">
        <v>690</v>
      </c>
      <c r="G119" t="s">
        <v>741</v>
      </c>
      <c r="H119" s="1" t="s">
        <v>44</v>
      </c>
      <c r="I119" s="62">
        <v>250</v>
      </c>
    </row>
    <row r="120" spans="1:16">
      <c r="A120" s="224"/>
      <c r="B120" s="438" t="s">
        <v>414</v>
      </c>
      <c r="C120" s="62">
        <v>250</v>
      </c>
      <c r="D120" s="264"/>
      <c r="G120" t="s">
        <v>415</v>
      </c>
      <c r="H120" s="1" t="s">
        <v>44</v>
      </c>
      <c r="I120" s="62">
        <v>250</v>
      </c>
    </row>
    <row r="121" spans="1:16">
      <c r="A121" s="225"/>
      <c r="B121" s="31"/>
      <c r="C121" s="111">
        <f>SUM(C117:C120)</f>
        <v>1000</v>
      </c>
      <c r="D121" s="241">
        <v>45413</v>
      </c>
      <c r="F121" s="225"/>
      <c r="G121" s="31"/>
      <c r="H121" s="33"/>
      <c r="I121" s="111">
        <f>SUM(I119:I120)</f>
        <v>500</v>
      </c>
      <c r="J121" s="241">
        <v>45413</v>
      </c>
      <c r="L121" s="225"/>
      <c r="M121" s="31"/>
      <c r="N121" s="33"/>
      <c r="O121" s="88"/>
      <c r="P121" s="241"/>
    </row>
    <row r="122" spans="1:16">
      <c r="A122" s="435" t="s">
        <v>781</v>
      </c>
      <c r="B122" s="559" t="s">
        <v>759</v>
      </c>
      <c r="C122" s="318">
        <v>250</v>
      </c>
      <c r="D122" s="434"/>
    </row>
    <row r="123" spans="1:16">
      <c r="A123" s="224"/>
      <c r="B123" s="438" t="s">
        <v>785</v>
      </c>
      <c r="C123" s="62">
        <v>250</v>
      </c>
      <c r="D123" s="264"/>
    </row>
    <row r="124" spans="1:16">
      <c r="A124" s="224"/>
      <c r="B124" s="438" t="s">
        <v>159</v>
      </c>
      <c r="C124" s="62">
        <v>250</v>
      </c>
      <c r="D124" s="264"/>
    </row>
    <row r="125" spans="1:16">
      <c r="A125" s="224"/>
      <c r="B125" s="438" t="s">
        <v>811</v>
      </c>
      <c r="C125" s="62">
        <v>250</v>
      </c>
      <c r="D125" s="264"/>
    </row>
    <row r="126" spans="1:16">
      <c r="A126" s="225"/>
      <c r="B126" s="31"/>
      <c r="C126" s="111">
        <f>SUM(C122:C125)</f>
        <v>1000</v>
      </c>
      <c r="D126" s="241">
        <v>45427</v>
      </c>
      <c r="F126" s="225"/>
      <c r="G126" s="31"/>
      <c r="H126" s="33"/>
      <c r="I126" s="88"/>
      <c r="J126" s="241"/>
      <c r="L126" s="225"/>
      <c r="M126" s="31"/>
      <c r="N126" s="33"/>
      <c r="O126" s="88"/>
      <c r="P126" s="241"/>
    </row>
    <row r="127" spans="1:16">
      <c r="A127" s="435" t="s">
        <v>781</v>
      </c>
      <c r="B127" s="559" t="s">
        <v>170</v>
      </c>
      <c r="C127" s="318">
        <v>250</v>
      </c>
      <c r="D127" s="434"/>
      <c r="F127" s="435" t="s">
        <v>781</v>
      </c>
      <c r="G127" s="319" t="s">
        <v>170</v>
      </c>
      <c r="H127" s="632" t="s">
        <v>44</v>
      </c>
      <c r="I127" s="318">
        <v>250</v>
      </c>
      <c r="J127" s="434"/>
    </row>
    <row r="128" spans="1:16">
      <c r="A128" s="224"/>
      <c r="B128" s="438" t="s">
        <v>826</v>
      </c>
      <c r="C128" s="62">
        <v>250</v>
      </c>
      <c r="D128" s="264"/>
      <c r="F128" s="224"/>
      <c r="G128" s="43" t="s">
        <v>173</v>
      </c>
      <c r="H128" s="48" t="s">
        <v>44</v>
      </c>
      <c r="I128" s="62">
        <v>250</v>
      </c>
      <c r="J128" s="264"/>
    </row>
    <row r="129" spans="1:16">
      <c r="A129" s="224"/>
      <c r="B129" s="438" t="s">
        <v>178</v>
      </c>
      <c r="C129" s="62">
        <v>250</v>
      </c>
      <c r="D129" s="264"/>
      <c r="F129" s="224"/>
      <c r="G129" s="43" t="s">
        <v>826</v>
      </c>
      <c r="H129" s="48" t="s">
        <v>44</v>
      </c>
      <c r="I129" s="62">
        <v>250</v>
      </c>
      <c r="J129" s="264"/>
    </row>
    <row r="130" spans="1:16">
      <c r="A130" s="225"/>
      <c r="B130" s="31"/>
      <c r="C130" s="111">
        <f>SUM(C127:C129)</f>
        <v>750</v>
      </c>
      <c r="D130" s="241">
        <v>45441</v>
      </c>
      <c r="F130" s="225"/>
      <c r="G130" s="31"/>
      <c r="H130" s="33"/>
      <c r="I130" s="111">
        <f>SUM(I127:I129)</f>
        <v>750</v>
      </c>
      <c r="J130" s="241">
        <v>45441</v>
      </c>
      <c r="L130" s="225"/>
      <c r="M130" s="31"/>
      <c r="N130" s="33"/>
      <c r="O130" s="88"/>
      <c r="P130" s="241"/>
    </row>
    <row r="131" spans="1:16">
      <c r="A131" s="435" t="s">
        <v>781</v>
      </c>
      <c r="B131" s="559" t="s">
        <v>184</v>
      </c>
      <c r="C131" s="318">
        <v>250</v>
      </c>
      <c r="D131" s="434"/>
    </row>
    <row r="132" spans="1:16">
      <c r="A132" s="224" t="s">
        <v>868</v>
      </c>
      <c r="B132" s="438" t="s">
        <v>869</v>
      </c>
      <c r="C132" s="62">
        <v>250</v>
      </c>
      <c r="D132" s="264"/>
    </row>
    <row r="133" spans="1:16">
      <c r="A133" s="224"/>
      <c r="B133" s="438" t="s">
        <v>876</v>
      </c>
      <c r="C133" s="62">
        <v>250</v>
      </c>
      <c r="D133" s="264"/>
    </row>
    <row r="134" spans="1:16">
      <c r="A134" s="224"/>
      <c r="B134" s="438" t="s">
        <v>873</v>
      </c>
      <c r="C134" s="62">
        <v>250</v>
      </c>
      <c r="D134" s="264"/>
    </row>
    <row r="135" spans="1:16">
      <c r="A135" s="224"/>
      <c r="B135" s="438" t="s">
        <v>874</v>
      </c>
      <c r="C135" s="62">
        <v>250</v>
      </c>
      <c r="D135" s="264"/>
    </row>
    <row r="136" spans="1:16">
      <c r="A136" s="225"/>
      <c r="B136" s="31"/>
      <c r="C136" s="111">
        <f>SUM(C131:C135)</f>
        <v>1250</v>
      </c>
      <c r="D136" s="241">
        <v>45455</v>
      </c>
      <c r="F136" s="225"/>
      <c r="G136" s="31"/>
      <c r="H136" s="33"/>
      <c r="I136" s="88"/>
      <c r="J136" s="241"/>
      <c r="L136" s="225"/>
      <c r="M136" s="31"/>
      <c r="N136" s="33"/>
      <c r="O136" s="88"/>
      <c r="P136" s="241"/>
    </row>
    <row r="137" spans="1:16">
      <c r="A137" s="435" t="s">
        <v>868</v>
      </c>
      <c r="B137" s="559" t="s">
        <v>875</v>
      </c>
      <c r="C137" s="318">
        <v>250</v>
      </c>
      <c r="D137" s="434"/>
    </row>
    <row r="138" spans="1:16">
      <c r="A138" s="224"/>
      <c r="B138" s="438" t="s">
        <v>892</v>
      </c>
      <c r="C138" s="62">
        <v>250</v>
      </c>
      <c r="D138" s="264"/>
    </row>
    <row r="139" spans="1:16">
      <c r="A139" s="224"/>
      <c r="B139" s="438" t="s">
        <v>893</v>
      </c>
      <c r="C139" s="62">
        <v>250</v>
      </c>
      <c r="D139" s="264"/>
    </row>
    <row r="140" spans="1:16">
      <c r="A140" s="224"/>
      <c r="B140" s="438" t="s">
        <v>974</v>
      </c>
      <c r="C140" s="62">
        <v>250</v>
      </c>
      <c r="D140" s="264"/>
    </row>
    <row r="141" spans="1:16">
      <c r="A141" s="224"/>
      <c r="B141" s="438" t="s">
        <v>975</v>
      </c>
      <c r="C141" s="62">
        <v>250</v>
      </c>
      <c r="D141" s="264"/>
    </row>
    <row r="142" spans="1:16">
      <c r="A142" s="224"/>
      <c r="B142" s="438" t="s">
        <v>976</v>
      </c>
      <c r="C142" s="62">
        <v>250</v>
      </c>
      <c r="D142" s="264"/>
      <c r="L142" s="435" t="s">
        <v>868</v>
      </c>
      <c r="M142" s="319" t="s">
        <v>975</v>
      </c>
      <c r="N142" s="632" t="s">
        <v>86</v>
      </c>
      <c r="O142" s="318">
        <v>250</v>
      </c>
      <c r="P142" s="434"/>
    </row>
    <row r="143" spans="1:16">
      <c r="A143" s="225"/>
      <c r="B143" s="31"/>
      <c r="C143" s="111">
        <f>SUM(C137:C142)</f>
        <v>1500</v>
      </c>
      <c r="D143" s="241">
        <v>45469</v>
      </c>
      <c r="F143" s="225"/>
      <c r="G143" s="31"/>
      <c r="H143" s="33"/>
      <c r="I143" s="88"/>
      <c r="J143" s="241"/>
      <c r="L143" s="225"/>
      <c r="M143" s="31"/>
      <c r="N143" s="33"/>
      <c r="O143" s="111">
        <f>O142</f>
        <v>250</v>
      </c>
      <c r="P143" s="241">
        <v>45469</v>
      </c>
    </row>
    <row r="144" spans="1:16">
      <c r="A144" s="435" t="s">
        <v>868</v>
      </c>
      <c r="B144" s="559" t="s">
        <v>977</v>
      </c>
      <c r="C144" s="318">
        <v>250</v>
      </c>
      <c r="D144" s="434"/>
    </row>
    <row r="145" spans="1:16">
      <c r="A145" s="224" t="s">
        <v>1054</v>
      </c>
      <c r="B145" s="438" t="s">
        <v>652</v>
      </c>
      <c r="C145" s="62">
        <v>250</v>
      </c>
      <c r="D145" s="264"/>
    </row>
    <row r="146" spans="1:16">
      <c r="A146" s="224"/>
      <c r="B146" s="438" t="s">
        <v>314</v>
      </c>
      <c r="C146" s="62">
        <v>250</v>
      </c>
      <c r="D146" s="264"/>
    </row>
    <row r="147" spans="1:16">
      <c r="A147" s="224"/>
      <c r="B147" s="438" t="s">
        <v>1061</v>
      </c>
      <c r="C147" s="62">
        <v>250</v>
      </c>
      <c r="D147" s="264"/>
    </row>
    <row r="148" spans="1:16">
      <c r="A148" s="225"/>
      <c r="B148" s="31"/>
      <c r="C148" s="111">
        <f>SUM(C144:C147)</f>
        <v>1000</v>
      </c>
      <c r="D148" s="241">
        <v>45483</v>
      </c>
      <c r="F148" s="225"/>
      <c r="G148" s="31"/>
      <c r="H148" s="33"/>
      <c r="I148" s="88"/>
      <c r="J148" s="241"/>
      <c r="L148" s="225"/>
      <c r="M148" s="31"/>
      <c r="N148" s="33"/>
      <c r="O148" s="88"/>
      <c r="P148" s="241"/>
    </row>
    <row r="149" spans="1:16">
      <c r="A149" s="435" t="s">
        <v>1054</v>
      </c>
      <c r="B149" s="559" t="s">
        <v>358</v>
      </c>
      <c r="C149" s="318">
        <v>250</v>
      </c>
      <c r="D149" s="434"/>
    </row>
    <row r="150" spans="1:16">
      <c r="A150" s="224"/>
      <c r="B150" s="438" t="s">
        <v>741</v>
      </c>
      <c r="C150" s="62">
        <v>250</v>
      </c>
      <c r="D150" s="264"/>
    </row>
    <row r="151" spans="1:16">
      <c r="A151" s="224"/>
      <c r="B151" s="438" t="s">
        <v>383</v>
      </c>
      <c r="C151" s="62">
        <v>250</v>
      </c>
      <c r="D151" s="264"/>
    </row>
    <row r="152" spans="1:16">
      <c r="A152" s="224"/>
      <c r="B152" s="438" t="s">
        <v>384</v>
      </c>
      <c r="C152" s="62">
        <v>250</v>
      </c>
      <c r="D152" s="264"/>
    </row>
    <row r="153" spans="1:16">
      <c r="A153" s="225"/>
      <c r="B153" s="31"/>
      <c r="C153" s="111">
        <f>SUM(C149:C152)</f>
        <v>1000</v>
      </c>
      <c r="D153" s="241">
        <v>45497</v>
      </c>
      <c r="F153" s="225"/>
      <c r="G153" s="31"/>
      <c r="H153" s="33"/>
      <c r="I153" s="88"/>
      <c r="J153" s="241"/>
      <c r="L153" s="225"/>
      <c r="M153" s="31"/>
      <c r="N153" s="33"/>
      <c r="O153" s="88"/>
      <c r="P153" s="241"/>
    </row>
    <row r="154" spans="1:16">
      <c r="A154" s="435" t="s">
        <v>1256</v>
      </c>
      <c r="B154" s="559" t="s">
        <v>1286</v>
      </c>
      <c r="C154" s="318">
        <v>250</v>
      </c>
      <c r="D154" s="434"/>
    </row>
    <row r="155" spans="1:16">
      <c r="A155" s="225"/>
      <c r="B155" s="31"/>
      <c r="C155" s="111">
        <f>C154</f>
        <v>250</v>
      </c>
      <c r="D155" s="241">
        <v>45511</v>
      </c>
    </row>
    <row r="156" spans="1:16">
      <c r="A156" s="52" t="s">
        <v>1256</v>
      </c>
      <c r="B156" s="438" t="s">
        <v>1287</v>
      </c>
      <c r="C156" s="62">
        <v>500</v>
      </c>
    </row>
    <row r="157" spans="1:16">
      <c r="B157" s="53" t="s">
        <v>1332</v>
      </c>
      <c r="C157" s="62">
        <v>250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Z55"/>
  <sheetViews>
    <sheetView workbookViewId="0">
      <pane ySplit="1080" topLeftCell="A28" activePane="bottomLeft"/>
      <selection activeCell="C4" sqref="C4"/>
      <selection pane="bottomLeft" activeCell="M54" sqref="M54"/>
    </sheetView>
  </sheetViews>
  <sheetFormatPr defaultRowHeight="14.5"/>
  <cols>
    <col min="1" max="1" width="7.54296875" style="6" bestFit="1" customWidth="1"/>
    <col min="2" max="2" width="10" style="6" bestFit="1" customWidth="1"/>
    <col min="3" max="3" width="5.54296875" style="1" bestFit="1" customWidth="1"/>
    <col min="4" max="4" width="8.54296875" style="139" bestFit="1" customWidth="1"/>
    <col min="5" max="5" width="10.1796875" style="141" bestFit="1" customWidth="1"/>
    <col min="6" max="6" width="9.1796875" style="141" bestFit="1" customWidth="1"/>
    <col min="7" max="7" width="10.1796875" style="141" bestFit="1" customWidth="1"/>
    <col min="8" max="8" width="9.1796875" style="167" bestFit="1" customWidth="1"/>
    <col min="9" max="9" width="7.26953125" style="381" bestFit="1" customWidth="1"/>
    <col min="10" max="10" width="15.26953125" style="205" customWidth="1"/>
    <col min="11" max="11" width="9.81640625" bestFit="1" customWidth="1"/>
    <col min="12" max="12" width="11.7265625" style="380" bestFit="1" customWidth="1"/>
    <col min="13" max="13" width="9.1796875" style="1"/>
  </cols>
  <sheetData>
    <row r="1" spans="1:13" s="6" customFormat="1">
      <c r="C1" s="8"/>
      <c r="D1" s="136"/>
      <c r="E1" s="140"/>
      <c r="F1" s="140"/>
      <c r="G1" s="140"/>
      <c r="H1" s="161"/>
      <c r="I1" s="381"/>
      <c r="J1" s="396"/>
      <c r="L1" s="380"/>
      <c r="M1" s="8"/>
    </row>
    <row r="2" spans="1:13" s="6" customFormat="1">
      <c r="A2" s="154"/>
      <c r="B2" s="149"/>
      <c r="C2" s="155" t="s">
        <v>17</v>
      </c>
      <c r="D2" s="155" t="s">
        <v>297</v>
      </c>
      <c r="E2" s="155" t="s">
        <v>298</v>
      </c>
      <c r="F2" s="155" t="s">
        <v>299</v>
      </c>
      <c r="G2" s="155" t="s">
        <v>300</v>
      </c>
      <c r="H2" s="162" t="s">
        <v>301</v>
      </c>
      <c r="I2" s="155" t="s">
        <v>669</v>
      </c>
      <c r="J2" s="155" t="s">
        <v>670</v>
      </c>
      <c r="K2" s="155" t="s">
        <v>671</v>
      </c>
      <c r="L2" s="155" t="s">
        <v>402</v>
      </c>
      <c r="M2" s="8"/>
    </row>
    <row r="3" spans="1:13" s="14" customFormat="1" ht="9" customHeight="1">
      <c r="A3" s="156"/>
      <c r="B3" s="157"/>
      <c r="C3" s="158"/>
      <c r="D3" s="159"/>
      <c r="E3" s="160"/>
      <c r="F3" s="160"/>
      <c r="G3" s="160"/>
      <c r="H3" s="382"/>
      <c r="I3" s="383"/>
      <c r="J3" s="397"/>
      <c r="K3" s="384"/>
      <c r="L3" s="385"/>
      <c r="M3" s="168"/>
    </row>
    <row r="4" spans="1:13">
      <c r="A4" s="445">
        <v>45200</v>
      </c>
      <c r="B4" s="446" t="s">
        <v>23</v>
      </c>
      <c r="C4" s="150">
        <v>8</v>
      </c>
      <c r="D4" s="151">
        <f>+C4/31</f>
        <v>0.25806451612903225</v>
      </c>
      <c r="E4" s="152">
        <v>8867</v>
      </c>
      <c r="F4" s="152">
        <f>+E4*0.12</f>
        <v>1064.04</v>
      </c>
      <c r="G4" s="152">
        <f>+E4-F4</f>
        <v>7802.96</v>
      </c>
      <c r="H4" s="163">
        <f>'Brown Exp'!M11</f>
        <v>20701.04</v>
      </c>
    </row>
    <row r="5" spans="1:13">
      <c r="A5" s="12"/>
      <c r="B5" s="14" t="s">
        <v>24</v>
      </c>
      <c r="C5" s="54">
        <v>5</v>
      </c>
      <c r="D5" s="137">
        <v>0.16</v>
      </c>
      <c r="E5" s="142">
        <f>3325+1108+2217</f>
        <v>6650</v>
      </c>
      <c r="F5" s="142">
        <f>+E5*0.12</f>
        <v>798</v>
      </c>
      <c r="G5" s="142">
        <f>+E5-F5</f>
        <v>5852</v>
      </c>
      <c r="H5" s="164"/>
    </row>
    <row r="6" spans="1:13">
      <c r="A6" s="12"/>
      <c r="B6" s="14" t="s">
        <v>85</v>
      </c>
      <c r="C6" s="54"/>
      <c r="D6" s="137"/>
      <c r="E6" s="142"/>
      <c r="F6" s="142"/>
      <c r="G6" s="142"/>
      <c r="H6" s="164"/>
    </row>
    <row r="7" spans="1:13">
      <c r="A7" s="13"/>
      <c r="B7" s="9" t="s">
        <v>296</v>
      </c>
      <c r="C7" s="57"/>
      <c r="D7" s="138"/>
      <c r="E7" s="143"/>
      <c r="F7" s="143"/>
      <c r="G7" s="143"/>
      <c r="H7" s="165"/>
    </row>
    <row r="8" spans="1:13">
      <c r="A8" s="144"/>
      <c r="B8" s="145" t="s">
        <v>304</v>
      </c>
      <c r="C8" s="146"/>
      <c r="D8" s="147"/>
      <c r="E8" s="148">
        <f>SUM(E4:E7)</f>
        <v>15517</v>
      </c>
      <c r="F8" s="148">
        <f>SUM(F4:F7)</f>
        <v>1862.04</v>
      </c>
      <c r="G8" s="148">
        <f>SUM(G4:G7)</f>
        <v>13654.96</v>
      </c>
      <c r="H8" s="166">
        <f>SUM(H4:H7)</f>
        <v>20701.04</v>
      </c>
    </row>
    <row r="9" spans="1:13">
      <c r="A9" s="447">
        <v>45231</v>
      </c>
      <c r="B9" s="446" t="s">
        <v>23</v>
      </c>
      <c r="C9" s="150">
        <v>22</v>
      </c>
      <c r="D9" s="151">
        <v>0.73</v>
      </c>
      <c r="E9" s="152">
        <v>27228</v>
      </c>
      <c r="F9" s="152">
        <f>+E9*0.12</f>
        <v>3267.3599999999997</v>
      </c>
      <c r="G9" s="152">
        <f>+E9-F9</f>
        <v>23960.639999999999</v>
      </c>
      <c r="H9" s="163">
        <f>'Brown Exp'!M18</f>
        <v>13547.91</v>
      </c>
    </row>
    <row r="10" spans="1:13">
      <c r="A10" s="12"/>
      <c r="B10" s="14" t="s">
        <v>24</v>
      </c>
      <c r="C10" s="54">
        <v>23</v>
      </c>
      <c r="D10" s="137">
        <v>0.77</v>
      </c>
      <c r="E10" s="142">
        <v>26610</v>
      </c>
      <c r="F10" s="142">
        <f>+E10*0.12</f>
        <v>3193.2</v>
      </c>
      <c r="G10" s="142">
        <f>+E10-F10</f>
        <v>23416.799999999999</v>
      </c>
      <c r="H10" s="164"/>
    </row>
    <row r="11" spans="1:13">
      <c r="A11" s="12"/>
      <c r="B11" s="14" t="s">
        <v>85</v>
      </c>
      <c r="C11" s="54"/>
      <c r="D11" s="137"/>
      <c r="E11" s="142"/>
      <c r="F11" s="142"/>
      <c r="G11" s="142"/>
      <c r="H11" s="164"/>
    </row>
    <row r="12" spans="1:13">
      <c r="A12" s="13"/>
      <c r="B12" s="9" t="s">
        <v>296</v>
      </c>
      <c r="C12" s="57"/>
      <c r="D12" s="138"/>
      <c r="E12" s="143"/>
      <c r="F12" s="143"/>
      <c r="G12" s="143"/>
      <c r="H12" s="165"/>
    </row>
    <row r="13" spans="1:13">
      <c r="A13" s="144"/>
      <c r="B13" s="145" t="s">
        <v>304</v>
      </c>
      <c r="C13" s="146"/>
      <c r="D13" s="147"/>
      <c r="E13" s="148">
        <f>SUM(E9:E12)</f>
        <v>53838</v>
      </c>
      <c r="F13" s="148">
        <f>SUM(F9:F12)</f>
        <v>6460.5599999999995</v>
      </c>
      <c r="G13" s="148">
        <f>SUM(G9:G12)</f>
        <v>47377.440000000002</v>
      </c>
      <c r="H13" s="166">
        <f>SUM(H9:H12)</f>
        <v>13547.91</v>
      </c>
    </row>
    <row r="14" spans="1:13">
      <c r="A14" s="153">
        <v>45261</v>
      </c>
      <c r="B14" s="149" t="s">
        <v>23</v>
      </c>
      <c r="C14" s="150">
        <v>16</v>
      </c>
      <c r="D14" s="151">
        <v>0.52</v>
      </c>
      <c r="E14" s="152">
        <v>30924</v>
      </c>
      <c r="F14" s="152">
        <f>+E14*0.12</f>
        <v>3710.8799999999997</v>
      </c>
      <c r="G14" s="152">
        <f>+E14-F14</f>
        <v>27213.119999999999</v>
      </c>
      <c r="H14" s="163"/>
    </row>
    <row r="15" spans="1:13">
      <c r="A15" s="12"/>
      <c r="B15" s="14" t="s">
        <v>24</v>
      </c>
      <c r="C15" s="54">
        <v>27</v>
      </c>
      <c r="D15" s="137">
        <v>0.87</v>
      </c>
      <c r="E15" s="142">
        <v>58191</v>
      </c>
      <c r="F15" s="142">
        <f>+E15*0.12</f>
        <v>6982.92</v>
      </c>
      <c r="G15" s="142">
        <f>+E15-F15</f>
        <v>51208.08</v>
      </c>
      <c r="H15" s="164"/>
    </row>
    <row r="16" spans="1:13">
      <c r="A16" s="12"/>
      <c r="B16" s="14" t="s">
        <v>85</v>
      </c>
      <c r="C16" s="54">
        <v>2</v>
      </c>
      <c r="D16" s="137">
        <v>0.06</v>
      </c>
      <c r="E16" s="142">
        <v>3958</v>
      </c>
      <c r="F16" s="142">
        <f>+E16*0.12</f>
        <v>474.96</v>
      </c>
      <c r="G16" s="142">
        <f>+E16-F16</f>
        <v>3483.04</v>
      </c>
      <c r="H16" s="164"/>
    </row>
    <row r="17" spans="1:25">
      <c r="A17" s="13"/>
      <c r="B17" s="9" t="s">
        <v>296</v>
      </c>
      <c r="C17" s="57">
        <v>17</v>
      </c>
      <c r="D17" s="138">
        <v>0.55000000000000004</v>
      </c>
      <c r="E17" s="143">
        <v>128250</v>
      </c>
      <c r="F17" s="143">
        <f>+E17*0.12</f>
        <v>15390</v>
      </c>
      <c r="G17" s="143">
        <f>+E17-F17</f>
        <v>112860</v>
      </c>
      <c r="H17" s="165"/>
    </row>
    <row r="18" spans="1:25">
      <c r="A18" s="144"/>
      <c r="B18" s="145" t="s">
        <v>304</v>
      </c>
      <c r="C18" s="146"/>
      <c r="D18" s="147"/>
      <c r="E18" s="148">
        <f>SUM(E14:E17)</f>
        <v>221323</v>
      </c>
      <c r="F18" s="148">
        <f>SUM(F14:F17)</f>
        <v>26558.76</v>
      </c>
      <c r="G18" s="148">
        <f>SUM(G14:G17)</f>
        <v>194764.24</v>
      </c>
      <c r="H18" s="166">
        <v>10414</v>
      </c>
      <c r="I18" s="386"/>
      <c r="J18" s="374"/>
      <c r="K18" s="31"/>
      <c r="L18" s="387"/>
    </row>
    <row r="19" spans="1:25">
      <c r="A19" s="153">
        <v>45292</v>
      </c>
      <c r="B19" s="149" t="s">
        <v>23</v>
      </c>
      <c r="C19" s="150">
        <v>26</v>
      </c>
      <c r="D19" s="151">
        <v>0.84</v>
      </c>
      <c r="E19" s="152">
        <v>42766</v>
      </c>
      <c r="F19" s="152">
        <f>+E19*0.12</f>
        <v>5131.92</v>
      </c>
      <c r="G19" s="152">
        <f>+E19-F19</f>
        <v>37634.080000000002</v>
      </c>
      <c r="H19" s="163"/>
      <c r="I19" s="381" t="s">
        <v>668</v>
      </c>
      <c r="J19" s="205" t="s">
        <v>662</v>
      </c>
      <c r="K19" t="s">
        <v>663</v>
      </c>
      <c r="L19" s="390">
        <v>6750</v>
      </c>
      <c r="Q19" s="394"/>
    </row>
    <row r="20" spans="1:25">
      <c r="A20" s="12"/>
      <c r="B20" s="14" t="s">
        <v>24</v>
      </c>
      <c r="C20" s="54">
        <v>27</v>
      </c>
      <c r="D20" s="137">
        <v>0.87</v>
      </c>
      <c r="E20" s="142">
        <v>36574</v>
      </c>
      <c r="F20" s="142">
        <f>+E20*0.12</f>
        <v>4388.88</v>
      </c>
      <c r="G20" s="142">
        <f>+E20-F20</f>
        <v>32185.119999999999</v>
      </c>
      <c r="H20" s="164"/>
      <c r="J20" s="205" t="s">
        <v>664</v>
      </c>
      <c r="K20" t="s">
        <v>665</v>
      </c>
      <c r="L20" s="391">
        <v>879.3</v>
      </c>
      <c r="Q20" s="395"/>
      <c r="W20" s="395"/>
      <c r="Y20" s="395"/>
    </row>
    <row r="21" spans="1:25">
      <c r="A21" s="12"/>
      <c r="B21" s="14" t="s">
        <v>85</v>
      </c>
      <c r="C21" s="54">
        <v>7</v>
      </c>
      <c r="D21" s="137">
        <v>0.23</v>
      </c>
      <c r="E21" s="142">
        <v>13300</v>
      </c>
      <c r="F21" s="142">
        <f>+E21*0.12</f>
        <v>1596</v>
      </c>
      <c r="G21" s="142">
        <f>+E21-F21</f>
        <v>11704</v>
      </c>
      <c r="H21" s="164"/>
      <c r="J21" s="205" t="s">
        <v>666</v>
      </c>
      <c r="K21" t="s">
        <v>667</v>
      </c>
      <c r="L21" s="391">
        <v>700</v>
      </c>
      <c r="Q21" s="395"/>
      <c r="Y21" s="395"/>
    </row>
    <row r="22" spans="1:25">
      <c r="A22" s="13"/>
      <c r="B22" s="9" t="s">
        <v>296</v>
      </c>
      <c r="C22" s="57">
        <v>22</v>
      </c>
      <c r="D22" s="138">
        <v>0.71</v>
      </c>
      <c r="E22" s="143">
        <v>19570</v>
      </c>
      <c r="F22" s="143">
        <f>+E22*0.12</f>
        <v>2348.4</v>
      </c>
      <c r="G22" s="143">
        <f>+E22-F22</f>
        <v>17221.599999999999</v>
      </c>
      <c r="H22" s="165"/>
      <c r="L22" s="391"/>
      <c r="Q22" s="394"/>
    </row>
    <row r="23" spans="1:25">
      <c r="A23" s="144"/>
      <c r="B23" s="145" t="s">
        <v>304</v>
      </c>
      <c r="C23" s="146"/>
      <c r="D23" s="147"/>
      <c r="E23" s="148">
        <f>SUM(E19:E22)</f>
        <v>112210</v>
      </c>
      <c r="F23" s="148">
        <f>SUM(F19:F22)</f>
        <v>13465.199999999999</v>
      </c>
      <c r="G23" s="148">
        <f>SUM(G19:G22)</f>
        <v>98744.799999999988</v>
      </c>
      <c r="H23" s="166">
        <v>6649</v>
      </c>
      <c r="I23" s="388"/>
      <c r="J23" s="398"/>
      <c r="K23" s="389"/>
      <c r="L23" s="392">
        <f>SUM(L19:L22)</f>
        <v>8329.2999999999993</v>
      </c>
      <c r="M23" s="393" t="s">
        <v>585</v>
      </c>
      <c r="Q23" s="394"/>
    </row>
    <row r="24" spans="1:25">
      <c r="A24" s="153">
        <v>45323</v>
      </c>
      <c r="B24" s="149" t="s">
        <v>23</v>
      </c>
      <c r="C24" s="150">
        <v>27</v>
      </c>
      <c r="D24" s="151">
        <v>0.93</v>
      </c>
      <c r="E24" s="152">
        <v>39491.699999999997</v>
      </c>
      <c r="F24" s="152">
        <f>+E24*0.12</f>
        <v>4739.0039999999999</v>
      </c>
      <c r="G24" s="152">
        <f>+E24-F24</f>
        <v>34752.695999999996</v>
      </c>
      <c r="H24" s="163"/>
      <c r="I24" s="381" t="s">
        <v>672</v>
      </c>
      <c r="J24" s="205" t="s">
        <v>676</v>
      </c>
      <c r="K24" t="s">
        <v>663</v>
      </c>
      <c r="L24" s="390">
        <v>1030</v>
      </c>
      <c r="Q24" s="394"/>
      <c r="V24" s="394"/>
      <c r="X24" s="394"/>
    </row>
    <row r="25" spans="1:25">
      <c r="A25" s="12"/>
      <c r="B25" s="14" t="s">
        <v>24</v>
      </c>
      <c r="C25" s="54">
        <v>26</v>
      </c>
      <c r="D25" s="137">
        <v>0.9</v>
      </c>
      <c r="E25" s="142">
        <v>32973.97</v>
      </c>
      <c r="F25" s="142">
        <f>+E25*0.12</f>
        <v>3956.8764000000001</v>
      </c>
      <c r="G25" s="142">
        <f>+E25-F25</f>
        <v>29017.0936</v>
      </c>
      <c r="H25" s="164"/>
      <c r="J25" s="205" t="s">
        <v>677</v>
      </c>
      <c r="K25" t="s">
        <v>663</v>
      </c>
      <c r="L25" s="391">
        <v>1024.25</v>
      </c>
    </row>
    <row r="26" spans="1:25">
      <c r="A26" s="12"/>
      <c r="B26" s="14" t="s">
        <v>85</v>
      </c>
      <c r="C26" s="54">
        <v>7</v>
      </c>
      <c r="D26" s="137">
        <v>0.24</v>
      </c>
      <c r="E26" s="142">
        <v>14580</v>
      </c>
      <c r="F26" s="142">
        <f>+E26*0.12</f>
        <v>1749.6</v>
      </c>
      <c r="G26" s="142">
        <f>+E26-F26</f>
        <v>12830.4</v>
      </c>
      <c r="H26" s="164"/>
      <c r="J26" s="205" t="s">
        <v>673</v>
      </c>
      <c r="K26" t="s">
        <v>674</v>
      </c>
      <c r="L26" s="391">
        <v>1620</v>
      </c>
    </row>
    <row r="27" spans="1:25">
      <c r="A27" s="13"/>
      <c r="B27" s="9" t="s">
        <v>296</v>
      </c>
      <c r="C27" s="57">
        <v>29</v>
      </c>
      <c r="D27" s="138">
        <v>1</v>
      </c>
      <c r="E27" s="143">
        <v>19460.75</v>
      </c>
      <c r="F27" s="143">
        <f>+E27*0.12</f>
        <v>2335.29</v>
      </c>
      <c r="G27" s="143">
        <f>+E27-F27</f>
        <v>17125.46</v>
      </c>
      <c r="H27" s="165"/>
      <c r="L27" s="399"/>
    </row>
    <row r="28" spans="1:25">
      <c r="A28" s="144"/>
      <c r="B28" s="145" t="s">
        <v>304</v>
      </c>
      <c r="C28" s="146"/>
      <c r="D28" s="147"/>
      <c r="E28" s="148">
        <f>SUM(E24:E27)</f>
        <v>106506.42</v>
      </c>
      <c r="F28" s="148">
        <f>SUM(F24:F27)</f>
        <v>12780.770400000001</v>
      </c>
      <c r="G28" s="148">
        <f>SUM(G24:G27)</f>
        <v>93725.649600000004</v>
      </c>
      <c r="H28" s="166">
        <v>4111.22</v>
      </c>
      <c r="I28" s="388"/>
      <c r="J28" s="398"/>
      <c r="K28" s="389"/>
      <c r="L28" s="392">
        <f>SUM(L24:L27)</f>
        <v>3674.25</v>
      </c>
      <c r="M28" s="393" t="s">
        <v>585</v>
      </c>
    </row>
    <row r="29" spans="1:25">
      <c r="A29" s="153">
        <v>45352</v>
      </c>
      <c r="B29" s="149" t="s">
        <v>23</v>
      </c>
      <c r="C29" s="150">
        <v>20</v>
      </c>
      <c r="D29" s="151">
        <v>0.65</v>
      </c>
      <c r="E29" s="152">
        <v>32173</v>
      </c>
      <c r="F29" s="152">
        <f>+E29*0.12</f>
        <v>3860.7599999999998</v>
      </c>
      <c r="G29" s="152">
        <f>+E29-F29</f>
        <v>28312.240000000002</v>
      </c>
      <c r="H29" s="163"/>
      <c r="I29" s="381" t="s">
        <v>675</v>
      </c>
      <c r="J29" s="205" t="s">
        <v>678</v>
      </c>
      <c r="K29" t="s">
        <v>663</v>
      </c>
      <c r="L29" s="391">
        <v>512.5</v>
      </c>
    </row>
    <row r="30" spans="1:25">
      <c r="A30" s="12"/>
      <c r="B30" s="14" t="s">
        <v>24</v>
      </c>
      <c r="C30" s="54">
        <v>28</v>
      </c>
      <c r="D30" s="137">
        <v>0.9</v>
      </c>
      <c r="E30" s="142">
        <v>49007</v>
      </c>
      <c r="F30" s="142">
        <f>+E30*0.12</f>
        <v>5880.84</v>
      </c>
      <c r="G30" s="142">
        <f>+E30-F30</f>
        <v>43126.16</v>
      </c>
      <c r="H30" s="164"/>
      <c r="J30" s="205" t="s">
        <v>679</v>
      </c>
      <c r="K30" t="s">
        <v>680</v>
      </c>
      <c r="L30" s="391">
        <v>1080</v>
      </c>
    </row>
    <row r="31" spans="1:25">
      <c r="A31" s="12"/>
      <c r="B31" s="14" t="s">
        <v>85</v>
      </c>
      <c r="C31" s="54">
        <v>5</v>
      </c>
      <c r="D31" s="137">
        <v>0.16</v>
      </c>
      <c r="E31" s="142">
        <v>4920</v>
      </c>
      <c r="F31" s="142">
        <f>+E31*0.12</f>
        <v>590.4</v>
      </c>
      <c r="G31" s="142">
        <f>+E31-F31</f>
        <v>4329.6000000000004</v>
      </c>
      <c r="H31" s="164"/>
      <c r="J31" s="205" t="s">
        <v>681</v>
      </c>
      <c r="L31" s="391">
        <v>2149.52</v>
      </c>
    </row>
    <row r="32" spans="1:25">
      <c r="A32" s="13"/>
      <c r="B32" s="9" t="s">
        <v>296</v>
      </c>
      <c r="C32" s="57">
        <v>19</v>
      </c>
      <c r="D32" s="138">
        <v>0.61</v>
      </c>
      <c r="E32" s="143">
        <v>9738</v>
      </c>
      <c r="F32" s="143">
        <f>+E32*0.12</f>
        <v>1168.56</v>
      </c>
      <c r="G32" s="143">
        <f>+E32-F32</f>
        <v>8569.44</v>
      </c>
      <c r="H32" s="165"/>
      <c r="L32" s="391"/>
      <c r="R32" s="394"/>
    </row>
    <row r="33" spans="1:26">
      <c r="A33" s="144"/>
      <c r="B33" s="145" t="s">
        <v>304</v>
      </c>
      <c r="C33" s="146"/>
      <c r="D33" s="147"/>
      <c r="E33" s="148">
        <f>SUM(E29:E32)</f>
        <v>95838</v>
      </c>
      <c r="F33" s="148">
        <f>SUM(F29:F32)</f>
        <v>11500.56</v>
      </c>
      <c r="G33" s="148">
        <f>SUM(G29:G32)</f>
        <v>84337.440000000017</v>
      </c>
      <c r="H33" s="166">
        <f>'Brown Exp'!M55</f>
        <v>4058.7799999999997</v>
      </c>
      <c r="I33" s="388"/>
      <c r="J33" s="398"/>
      <c r="K33" s="389"/>
      <c r="L33" s="392">
        <f>SUM(L29:L32)</f>
        <v>3742.02</v>
      </c>
      <c r="M33" s="393" t="s">
        <v>585</v>
      </c>
      <c r="R33" s="395"/>
      <c r="X33" s="395"/>
      <c r="Z33" s="395"/>
    </row>
    <row r="34" spans="1:26">
      <c r="A34" s="153">
        <v>45383</v>
      </c>
      <c r="B34" s="149" t="s">
        <v>23</v>
      </c>
      <c r="C34" s="150">
        <v>9</v>
      </c>
      <c r="D34" s="151">
        <v>0.3</v>
      </c>
      <c r="E34" s="152">
        <v>15042</v>
      </c>
      <c r="F34" s="152">
        <f>+E34*0.12</f>
        <v>1805.04</v>
      </c>
      <c r="G34" s="152">
        <f>+E34-F34</f>
        <v>13236.96</v>
      </c>
      <c r="H34" s="163"/>
      <c r="I34" s="564" t="s">
        <v>763</v>
      </c>
      <c r="J34" s="208" t="s">
        <v>764</v>
      </c>
      <c r="K34" s="43" t="s">
        <v>765</v>
      </c>
      <c r="L34" s="391">
        <v>1190</v>
      </c>
    </row>
    <row r="35" spans="1:26">
      <c r="A35" s="12"/>
      <c r="B35" s="14" t="s">
        <v>24</v>
      </c>
      <c r="C35" s="54">
        <v>20</v>
      </c>
      <c r="D35" s="137">
        <v>0.67</v>
      </c>
      <c r="E35" s="142">
        <v>31739</v>
      </c>
      <c r="F35" s="142">
        <f>+E35*0.12</f>
        <v>3808.68</v>
      </c>
      <c r="G35" s="142">
        <f>+E35-F35</f>
        <v>27930.32</v>
      </c>
      <c r="H35" s="164"/>
      <c r="I35" s="564"/>
      <c r="J35" s="208" t="s">
        <v>766</v>
      </c>
      <c r="K35" s="43" t="s">
        <v>767</v>
      </c>
      <c r="L35" s="391">
        <v>450</v>
      </c>
    </row>
    <row r="36" spans="1:26">
      <c r="A36" s="12"/>
      <c r="B36" s="14" t="s">
        <v>85</v>
      </c>
      <c r="C36" s="54">
        <v>0</v>
      </c>
      <c r="D36" s="137">
        <v>0</v>
      </c>
      <c r="E36" s="142">
        <v>0</v>
      </c>
      <c r="F36" s="142">
        <f>+E36*0.12</f>
        <v>0</v>
      </c>
      <c r="G36" s="142">
        <f>+E36-F36</f>
        <v>0</v>
      </c>
      <c r="H36" s="164"/>
      <c r="I36" s="564"/>
      <c r="J36" s="208"/>
      <c r="K36" s="43"/>
      <c r="L36" s="391"/>
    </row>
    <row r="37" spans="1:26">
      <c r="A37" s="13"/>
      <c r="B37" s="9" t="s">
        <v>296</v>
      </c>
      <c r="C37" s="57">
        <v>14</v>
      </c>
      <c r="D37" s="138">
        <v>0.47</v>
      </c>
      <c r="E37" s="143">
        <v>10710</v>
      </c>
      <c r="F37" s="143">
        <f>+E37*0.12</f>
        <v>1285.2</v>
      </c>
      <c r="G37" s="143">
        <f>+E37-F37</f>
        <v>9424.7999999999993</v>
      </c>
      <c r="H37" s="165"/>
      <c r="I37" s="564"/>
      <c r="J37" s="208"/>
      <c r="K37" s="43"/>
      <c r="L37" s="391"/>
      <c r="R37" s="394"/>
    </row>
    <row r="38" spans="1:26">
      <c r="A38" s="144"/>
      <c r="B38" s="145" t="s">
        <v>304</v>
      </c>
      <c r="C38" s="146"/>
      <c r="D38" s="147"/>
      <c r="E38" s="148">
        <f>SUM(E34:E37)</f>
        <v>57491</v>
      </c>
      <c r="F38" s="148">
        <f>SUM(F34:F37)</f>
        <v>6898.9199999999992</v>
      </c>
      <c r="G38" s="148">
        <f>SUM(G34:G37)</f>
        <v>50592.08</v>
      </c>
      <c r="H38" s="166">
        <f>'Brown Exp'!M61</f>
        <v>3105.51</v>
      </c>
      <c r="I38" s="388"/>
      <c r="J38" s="398"/>
      <c r="K38" s="389"/>
      <c r="L38" s="392">
        <f>SUM(L34:L37)</f>
        <v>1640</v>
      </c>
      <c r="M38" s="393" t="s">
        <v>585</v>
      </c>
      <c r="R38" s="395"/>
      <c r="X38" s="395"/>
      <c r="Z38" s="395"/>
    </row>
    <row r="39" spans="1:26">
      <c r="A39" s="153">
        <v>45413</v>
      </c>
      <c r="B39" s="149" t="s">
        <v>23</v>
      </c>
      <c r="C39" s="150">
        <v>6</v>
      </c>
      <c r="D39" s="151">
        <v>0.19</v>
      </c>
      <c r="E39" s="152">
        <v>12667</v>
      </c>
      <c r="F39" s="152">
        <f>+E39*0.12</f>
        <v>1520.04</v>
      </c>
      <c r="G39" s="152">
        <f>+E39-F39</f>
        <v>11146.96</v>
      </c>
      <c r="H39" s="163"/>
      <c r="I39" s="564"/>
      <c r="J39" s="208"/>
      <c r="K39" s="43"/>
      <c r="L39" s="391"/>
    </row>
    <row r="40" spans="1:26">
      <c r="A40" s="12"/>
      <c r="B40" s="14" t="s">
        <v>24</v>
      </c>
      <c r="C40" s="54">
        <v>4</v>
      </c>
      <c r="D40" s="137">
        <v>0.13</v>
      </c>
      <c r="E40" s="142">
        <v>6334</v>
      </c>
      <c r="F40" s="142">
        <f>+E40*0.12</f>
        <v>760.07999999999993</v>
      </c>
      <c r="G40" s="142">
        <f>+E40-F40</f>
        <v>5573.92</v>
      </c>
      <c r="H40" s="164"/>
      <c r="I40" s="564"/>
      <c r="J40" s="208"/>
      <c r="K40" s="43"/>
      <c r="L40" s="391"/>
    </row>
    <row r="41" spans="1:26">
      <c r="A41" s="12"/>
      <c r="B41" s="14" t="s">
        <v>85</v>
      </c>
      <c r="C41" s="54">
        <v>0</v>
      </c>
      <c r="D41" s="137">
        <v>0</v>
      </c>
      <c r="E41" s="142">
        <v>0</v>
      </c>
      <c r="F41" s="142">
        <f>+E41*0.12</f>
        <v>0</v>
      </c>
      <c r="G41" s="142">
        <f>+E41-F41</f>
        <v>0</v>
      </c>
      <c r="H41" s="164"/>
      <c r="I41" s="564"/>
      <c r="J41" s="208"/>
      <c r="K41" s="43"/>
      <c r="L41" s="391"/>
    </row>
    <row r="42" spans="1:26">
      <c r="A42" s="13"/>
      <c r="B42" s="9" t="s">
        <v>296</v>
      </c>
      <c r="C42" s="57">
        <v>18</v>
      </c>
      <c r="D42" s="138">
        <v>0.57999999999999996</v>
      </c>
      <c r="E42" s="143">
        <v>0</v>
      </c>
      <c r="F42" s="143">
        <f>+E42*0.12</f>
        <v>0</v>
      </c>
      <c r="G42" s="143">
        <f>+E42-F42</f>
        <v>0</v>
      </c>
      <c r="H42" s="165"/>
      <c r="I42" s="564"/>
      <c r="J42" s="208"/>
      <c r="K42" s="43"/>
      <c r="L42" s="391"/>
      <c r="R42" s="394"/>
    </row>
    <row r="43" spans="1:26">
      <c r="A43" s="144"/>
      <c r="B43" s="145" t="s">
        <v>304</v>
      </c>
      <c r="C43" s="146"/>
      <c r="D43" s="147"/>
      <c r="E43" s="148">
        <f>SUM(E39:E42)</f>
        <v>19001</v>
      </c>
      <c r="F43" s="148">
        <f>SUM(F39:F42)</f>
        <v>2280.12</v>
      </c>
      <c r="G43" s="148">
        <f>SUM(G39:G42)</f>
        <v>16720.879999999997</v>
      </c>
      <c r="H43" s="166">
        <v>2563</v>
      </c>
      <c r="I43" s="388"/>
      <c r="J43" s="398"/>
      <c r="K43" s="389"/>
      <c r="L43" s="392">
        <f>SUM(L39:L42)</f>
        <v>0</v>
      </c>
      <c r="M43" s="393" t="s">
        <v>820</v>
      </c>
      <c r="R43" s="395"/>
      <c r="X43" s="395"/>
      <c r="Z43" s="395"/>
    </row>
    <row r="44" spans="1:26">
      <c r="A44" s="153">
        <v>45444</v>
      </c>
      <c r="B44" s="149" t="s">
        <v>23</v>
      </c>
      <c r="C44" s="150">
        <v>4</v>
      </c>
      <c r="D44" s="151">
        <v>0.13</v>
      </c>
      <c r="E44" s="152">
        <v>6333.66</v>
      </c>
      <c r="F44" s="152">
        <f>+E44*0.12</f>
        <v>760.03919999999994</v>
      </c>
      <c r="G44" s="152">
        <f>+E44-F44</f>
        <v>5573.6207999999997</v>
      </c>
      <c r="H44" s="163"/>
      <c r="I44" s="564" t="s">
        <v>1010</v>
      </c>
      <c r="J44" s="208" t="s">
        <v>1011</v>
      </c>
      <c r="K44" s="43"/>
      <c r="L44" s="391"/>
    </row>
    <row r="45" spans="1:26">
      <c r="A45" s="12"/>
      <c r="B45" s="14" t="s">
        <v>24</v>
      </c>
      <c r="C45" s="54">
        <v>8</v>
      </c>
      <c r="D45" s="137">
        <v>0.27</v>
      </c>
      <c r="E45" s="142">
        <v>12667.36</v>
      </c>
      <c r="F45" s="142">
        <f>+E45*0.12</f>
        <v>1520.0832</v>
      </c>
      <c r="G45" s="142">
        <f>+E45-F45</f>
        <v>11147.2768</v>
      </c>
      <c r="H45" s="164"/>
      <c r="I45" s="564"/>
      <c r="J45" s="208" t="s">
        <v>1012</v>
      </c>
      <c r="K45" s="43" t="s">
        <v>680</v>
      </c>
      <c r="L45" s="391">
        <v>360</v>
      </c>
    </row>
    <row r="46" spans="1:26">
      <c r="A46" s="12"/>
      <c r="B46" s="14" t="s">
        <v>85</v>
      </c>
      <c r="C46" s="54">
        <v>6</v>
      </c>
      <c r="D46" s="137">
        <v>0.2</v>
      </c>
      <c r="E46" s="142">
        <v>13515.65</v>
      </c>
      <c r="F46" s="142">
        <f>+E46*0.12</f>
        <v>1621.8779999999999</v>
      </c>
      <c r="G46" s="142">
        <f>+E46-F46</f>
        <v>11893.771999999999</v>
      </c>
      <c r="H46" s="164"/>
      <c r="I46" s="564"/>
      <c r="J46" s="208" t="s">
        <v>681</v>
      </c>
      <c r="K46" s="43"/>
      <c r="L46" s="391">
        <v>410.85</v>
      </c>
    </row>
    <row r="47" spans="1:26">
      <c r="A47" s="13"/>
      <c r="B47" s="9" t="s">
        <v>296</v>
      </c>
      <c r="C47" s="57">
        <v>0</v>
      </c>
      <c r="D47" s="138">
        <v>0</v>
      </c>
      <c r="E47" s="143">
        <v>0</v>
      </c>
      <c r="F47" s="143">
        <f>+E47*0.12</f>
        <v>0</v>
      </c>
      <c r="G47" s="143">
        <f>+E47-F47</f>
        <v>0</v>
      </c>
      <c r="H47" s="165"/>
      <c r="I47" s="564"/>
      <c r="J47" s="208"/>
      <c r="K47" s="43"/>
      <c r="L47" s="391"/>
      <c r="R47" s="394"/>
    </row>
    <row r="48" spans="1:26">
      <c r="A48" s="144"/>
      <c r="B48" s="145" t="s">
        <v>304</v>
      </c>
      <c r="C48" s="146"/>
      <c r="D48" s="147"/>
      <c r="E48" s="148">
        <f>SUM(E44:E47)</f>
        <v>32516.67</v>
      </c>
      <c r="F48" s="148">
        <f>SUM(F44:F47)</f>
        <v>3902.0003999999999</v>
      </c>
      <c r="G48" s="148">
        <f>SUM(G44:G47)</f>
        <v>28614.669600000001</v>
      </c>
      <c r="H48" s="166">
        <v>3844.95</v>
      </c>
      <c r="I48" s="388"/>
      <c r="J48" s="398"/>
      <c r="K48" s="389"/>
      <c r="L48" s="392">
        <f>SUM(L44:L47)</f>
        <v>770.85</v>
      </c>
      <c r="M48" s="393" t="s">
        <v>585</v>
      </c>
      <c r="R48" s="395"/>
      <c r="X48" s="395"/>
      <c r="Z48" s="395"/>
    </row>
    <row r="49" spans="1:26">
      <c r="A49" s="154"/>
      <c r="B49" s="149"/>
      <c r="C49" s="155" t="s">
        <v>17</v>
      </c>
      <c r="D49" s="155" t="s">
        <v>297</v>
      </c>
      <c r="E49" s="155" t="s">
        <v>298</v>
      </c>
      <c r="F49" s="155" t="s">
        <v>299</v>
      </c>
      <c r="G49" s="155" t="s">
        <v>300</v>
      </c>
      <c r="H49" s="162" t="s">
        <v>301</v>
      </c>
      <c r="I49" s="563" t="s">
        <v>669</v>
      </c>
      <c r="J49" s="155" t="s">
        <v>670</v>
      </c>
      <c r="K49" s="155"/>
      <c r="L49" s="400" t="s">
        <v>402</v>
      </c>
      <c r="R49" s="394"/>
    </row>
    <row r="50" spans="1:26" ht="9.75" customHeight="1">
      <c r="A50" s="560"/>
      <c r="B50" s="458"/>
      <c r="C50" s="459"/>
      <c r="D50" s="561"/>
      <c r="E50" s="562"/>
      <c r="F50" s="562"/>
      <c r="G50" s="562"/>
      <c r="H50" s="385"/>
      <c r="I50" s="383"/>
      <c r="J50" s="397"/>
      <c r="K50" s="384"/>
      <c r="L50" s="385"/>
      <c r="R50" s="394"/>
    </row>
    <row r="51" spans="1:26">
      <c r="A51" s="153">
        <v>45474</v>
      </c>
      <c r="B51" s="149" t="s">
        <v>23</v>
      </c>
      <c r="C51" s="150">
        <v>0</v>
      </c>
      <c r="D51" s="151">
        <v>0</v>
      </c>
      <c r="E51" s="152">
        <v>0</v>
      </c>
      <c r="F51" s="152">
        <f>+E51*0.12</f>
        <v>0</v>
      </c>
      <c r="G51" s="152">
        <f>+E51-F51</f>
        <v>0</v>
      </c>
      <c r="H51" s="163"/>
      <c r="I51" s="564" t="s">
        <v>1258</v>
      </c>
      <c r="J51" s="208" t="s">
        <v>1259</v>
      </c>
      <c r="K51" s="43"/>
      <c r="L51" s="391">
        <v>1099</v>
      </c>
    </row>
    <row r="52" spans="1:26">
      <c r="A52" s="12"/>
      <c r="B52" s="14" t="s">
        <v>24</v>
      </c>
      <c r="C52" s="54">
        <v>5</v>
      </c>
      <c r="D52" s="137">
        <v>0.16</v>
      </c>
      <c r="E52" s="142">
        <v>7917</v>
      </c>
      <c r="F52" s="142">
        <f>+E52*0.12</f>
        <v>950.04</v>
      </c>
      <c r="G52" s="142">
        <f>+E52-F52</f>
        <v>6966.96</v>
      </c>
      <c r="H52" s="164"/>
      <c r="I52" s="564"/>
      <c r="J52" s="208" t="s">
        <v>1260</v>
      </c>
      <c r="K52" s="43"/>
      <c r="L52" s="391">
        <v>1995</v>
      </c>
    </row>
    <row r="53" spans="1:26">
      <c r="A53" s="12"/>
      <c r="B53" s="14" t="s">
        <v>85</v>
      </c>
      <c r="C53" s="54">
        <v>0</v>
      </c>
      <c r="D53" s="137">
        <v>0</v>
      </c>
      <c r="E53" s="142">
        <v>0</v>
      </c>
      <c r="F53" s="142">
        <f>+E53*0.12</f>
        <v>0</v>
      </c>
      <c r="G53" s="142">
        <f>+E53-F53</f>
        <v>0</v>
      </c>
      <c r="H53" s="164"/>
      <c r="I53" s="564"/>
      <c r="J53" s="208"/>
      <c r="K53" s="43"/>
      <c r="L53" s="391"/>
    </row>
    <row r="54" spans="1:26">
      <c r="A54" s="13"/>
      <c r="B54" s="9" t="s">
        <v>296</v>
      </c>
      <c r="C54" s="57">
        <v>0</v>
      </c>
      <c r="D54" s="138">
        <v>0</v>
      </c>
      <c r="E54" s="143">
        <v>0</v>
      </c>
      <c r="F54" s="143">
        <f>+E54*0.12</f>
        <v>0</v>
      </c>
      <c r="G54" s="143">
        <f>+E54-F54</f>
        <v>0</v>
      </c>
      <c r="H54" s="165"/>
      <c r="I54" s="564"/>
      <c r="J54" s="208"/>
      <c r="K54" s="43"/>
      <c r="L54" s="391"/>
      <c r="M54" s="393" t="s">
        <v>585</v>
      </c>
      <c r="R54" s="394"/>
    </row>
    <row r="55" spans="1:26">
      <c r="A55" s="144"/>
      <c r="B55" s="145" t="s">
        <v>304</v>
      </c>
      <c r="C55" s="146"/>
      <c r="D55" s="147"/>
      <c r="E55" s="148">
        <f>SUM(E51:E54)</f>
        <v>7917</v>
      </c>
      <c r="F55" s="148">
        <f>SUM(F51:F54)</f>
        <v>950.04</v>
      </c>
      <c r="G55" s="148">
        <f>SUM(G51:G54)</f>
        <v>6966.96</v>
      </c>
      <c r="H55" s="166">
        <v>5088</v>
      </c>
      <c r="I55" s="388"/>
      <c r="J55" s="398"/>
      <c r="K55" s="389"/>
      <c r="L55" s="392">
        <f>SUM(L51:L54)</f>
        <v>3094</v>
      </c>
      <c r="M55" s="393"/>
      <c r="R55" s="395"/>
      <c r="X55" s="395"/>
      <c r="Z55" s="395"/>
    </row>
  </sheetData>
  <sortState ref="C22:Q42">
    <sortCondition ref="C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BOOKINGS</vt:lpstr>
      <vt:lpstr>DIARY</vt:lpstr>
      <vt:lpstr>TO DO</vt:lpstr>
      <vt:lpstr>CLEANING</vt:lpstr>
      <vt:lpstr>MARKETING</vt:lpstr>
      <vt:lpstr>LISTINGS</vt:lpstr>
      <vt:lpstr>AMENITTIES</vt:lpstr>
      <vt:lpstr>WAGES</vt:lpstr>
      <vt:lpstr>Brown Data</vt:lpstr>
      <vt:lpstr>Brown Exp</vt:lpstr>
      <vt:lpstr>Brown Recon</vt:lpstr>
      <vt:lpstr>Berman - Arrowood</vt:lpstr>
      <vt:lpstr>Dunkley - Toplis</vt:lpstr>
      <vt:lpstr>Camerer - Sewell</vt:lpstr>
      <vt:lpstr>Havenga - Hills</vt:lpstr>
      <vt:lpstr>Teasdale - Panorama</vt:lpstr>
      <vt:lpstr>Reyneke - Proteadale</vt:lpstr>
      <vt:lpstr>Crook - Whalerock Beach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Daniel</cp:lastModifiedBy>
  <cp:lastPrinted>2024-08-01T12:46:58Z</cp:lastPrinted>
  <dcterms:created xsi:type="dcterms:W3CDTF">2023-09-26T13:51:32Z</dcterms:created>
  <dcterms:modified xsi:type="dcterms:W3CDTF">2024-08-18T07:53:41Z</dcterms:modified>
</cp:coreProperties>
</file>