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9CEF2C0-026C-4398-9E34-C13DEEBA7E7D}" xr6:coauthVersionLast="47" xr6:coauthVersionMax="47" xr10:uidLastSave="{00000000-0000-0000-0000-000000000000}"/>
  <bookViews>
    <workbookView xWindow="-108" yWindow="-108" windowWidth="23256" windowHeight="12576" tabRatio="626" firstSheet="1" activeTab="8" xr2:uid="{00000000-000D-0000-FFFF-FFFF00000000}"/>
  </bookViews>
  <sheets>
    <sheet name="Overview" sheetId="1" r:id="rId1"/>
    <sheet name="Resistors" sheetId="2" r:id="rId2"/>
    <sheet name="Capacitors" sheetId="3" r:id="rId3"/>
    <sheet name="Inductors" sheetId="4" r:id="rId4"/>
    <sheet name="Chokes" sheetId="5" r:id="rId5"/>
    <sheet name="Screws_Inch" sheetId="20" r:id="rId6"/>
    <sheet name="Screws_Metric" sheetId="19" r:id="rId7"/>
    <sheet name="Standoffs" sheetId="21" r:id="rId8"/>
    <sheet name="Thermal_Pads" sheetId="22" r:id="rId9"/>
    <sheet name="Thermal-templ" sheetId="7" r:id="rId10"/>
    <sheet name="Connectors" sheetId="8" r:id="rId11"/>
    <sheet name="Fuses" sheetId="9" r:id="rId12"/>
    <sheet name="Transient" sheetId="10" r:id="rId13"/>
    <sheet name="DC-DC" sheetId="11" r:id="rId14"/>
    <sheet name="AC-DC" sheetId="14" r:id="rId15"/>
    <sheet name="Dis-templ" sheetId="13" r:id="rId16"/>
    <sheet name="ICs-templ" sheetId="15" r:id="rId17"/>
    <sheet name="Cables" sheetId="16" r:id="rId18"/>
    <sheet name="Misc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2" l="1"/>
  <c r="D8" i="22" s="1"/>
  <c r="F3" i="22"/>
  <c r="G3" i="22"/>
  <c r="X10" i="22" s="1"/>
  <c r="H3" i="22"/>
  <c r="X11" i="22" s="1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X6" i="22"/>
  <c r="P3" i="22"/>
  <c r="X19" i="22" s="1"/>
  <c r="O3" i="22"/>
  <c r="X18" i="22" s="1"/>
  <c r="N3" i="22"/>
  <c r="X17" i="22" s="1"/>
  <c r="M3" i="22"/>
  <c r="X16" i="22" s="1"/>
  <c r="L3" i="22"/>
  <c r="X15" i="22" s="1"/>
  <c r="K3" i="22"/>
  <c r="X14" i="22" s="1"/>
  <c r="J3" i="22"/>
  <c r="X13" i="22" s="1"/>
  <c r="I3" i="22"/>
  <c r="X12" i="22" s="1"/>
  <c r="C3" i="22"/>
  <c r="D8" i="21"/>
  <c r="E8" i="21"/>
  <c r="I3" i="20"/>
  <c r="W13" i="20" s="1"/>
  <c r="I3" i="19"/>
  <c r="W13" i="19" s="1"/>
  <c r="W19" i="19"/>
  <c r="W18" i="19"/>
  <c r="W17" i="19"/>
  <c r="W16" i="19"/>
  <c r="W15" i="19"/>
  <c r="W14" i="19"/>
  <c r="W12" i="19"/>
  <c r="W11" i="19"/>
  <c r="W10" i="19"/>
  <c r="W9" i="19"/>
  <c r="W8" i="19"/>
  <c r="W7" i="19"/>
  <c r="W6" i="19"/>
  <c r="S33" i="21"/>
  <c r="S32" i="21"/>
  <c r="S31" i="21"/>
  <c r="S30" i="21"/>
  <c r="S29" i="21"/>
  <c r="S28" i="21"/>
  <c r="S27" i="21"/>
  <c r="S26" i="21"/>
  <c r="S25" i="21"/>
  <c r="S24" i="21"/>
  <c r="S23" i="21"/>
  <c r="Y22" i="21"/>
  <c r="S22" i="21"/>
  <c r="S21" i="21"/>
  <c r="S20" i="21"/>
  <c r="S19" i="21"/>
  <c r="S18" i="21"/>
  <c r="S17" i="21"/>
  <c r="Y16" i="21"/>
  <c r="S16" i="21"/>
  <c r="S15" i="21"/>
  <c r="S14" i="21"/>
  <c r="S13" i="21"/>
  <c r="S12" i="21"/>
  <c r="S11" i="21"/>
  <c r="S10" i="21"/>
  <c r="S9" i="21"/>
  <c r="Y6" i="21"/>
  <c r="Q3" i="21"/>
  <c r="P3" i="21"/>
  <c r="Y20" i="21" s="1"/>
  <c r="O3" i="21"/>
  <c r="Y19" i="21" s="1"/>
  <c r="N3" i="21"/>
  <c r="Y18" i="21" s="1"/>
  <c r="M3" i="21"/>
  <c r="Y17" i="21" s="1"/>
  <c r="L3" i="21"/>
  <c r="K3" i="21"/>
  <c r="Y15" i="21" s="1"/>
  <c r="J3" i="21"/>
  <c r="Y14" i="21" s="1"/>
  <c r="I3" i="21"/>
  <c r="Y13" i="21" s="1"/>
  <c r="H3" i="21"/>
  <c r="Y12" i="21" s="1"/>
  <c r="G3" i="21"/>
  <c r="Y11" i="21" s="1"/>
  <c r="F3" i="21"/>
  <c r="Y10" i="21" s="1"/>
  <c r="C3" i="21"/>
  <c r="E8" i="20"/>
  <c r="E3" i="20" s="1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W6" i="20"/>
  <c r="O3" i="20"/>
  <c r="W19" i="20" s="1"/>
  <c r="N3" i="20"/>
  <c r="W18" i="20" s="1"/>
  <c r="M3" i="20"/>
  <c r="W17" i="20" s="1"/>
  <c r="L3" i="20"/>
  <c r="W16" i="20" s="1"/>
  <c r="K3" i="20"/>
  <c r="W15" i="20" s="1"/>
  <c r="J3" i="20"/>
  <c r="W14" i="20" s="1"/>
  <c r="H3" i="20"/>
  <c r="W12" i="20" s="1"/>
  <c r="G3" i="20"/>
  <c r="W11" i="20" s="1"/>
  <c r="F3" i="20"/>
  <c r="W10" i="20" s="1"/>
  <c r="C3" i="20"/>
  <c r="W7" i="20" s="1"/>
  <c r="E8" i="19"/>
  <c r="D8" i="19" s="1"/>
  <c r="D3" i="19" s="1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O3" i="19"/>
  <c r="W22" i="19" s="1"/>
  <c r="N3" i="19"/>
  <c r="W20" i="19" s="1"/>
  <c r="M3" i="19"/>
  <c r="L3" i="19"/>
  <c r="K3" i="19"/>
  <c r="J3" i="19"/>
  <c r="H3" i="19"/>
  <c r="G3" i="19"/>
  <c r="F3" i="19"/>
  <c r="C3" i="19"/>
  <c r="D10" i="5"/>
  <c r="T10" i="5" s="1"/>
  <c r="D9" i="5"/>
  <c r="T9" i="5" s="1"/>
  <c r="G3" i="5"/>
  <c r="Z11" i="5" s="1"/>
  <c r="D8" i="5"/>
  <c r="J3" i="5"/>
  <c r="Z14" i="5" s="1"/>
  <c r="D8" i="3"/>
  <c r="S33" i="17"/>
  <c r="T33" i="17" s="1"/>
  <c r="U33" i="17" s="1"/>
  <c r="S32" i="17"/>
  <c r="T32" i="17" s="1"/>
  <c r="U32" i="17" s="1"/>
  <c r="S31" i="17"/>
  <c r="S30" i="17"/>
  <c r="S29" i="17"/>
  <c r="T29" i="17" s="1"/>
  <c r="U29" i="17" s="1"/>
  <c r="S28" i="17"/>
  <c r="S27" i="17"/>
  <c r="S26" i="17"/>
  <c r="T26" i="17" s="1"/>
  <c r="U26" i="17" s="1"/>
  <c r="S25" i="17"/>
  <c r="T25" i="17" s="1"/>
  <c r="U25" i="17" s="1"/>
  <c r="S24" i="17"/>
  <c r="T24" i="17" s="1"/>
  <c r="U24" i="17" s="1"/>
  <c r="S23" i="17"/>
  <c r="S22" i="17"/>
  <c r="S21" i="17"/>
  <c r="T21" i="17" s="1"/>
  <c r="U21" i="17" s="1"/>
  <c r="S20" i="17"/>
  <c r="T20" i="17" s="1"/>
  <c r="U20" i="17" s="1"/>
  <c r="S19" i="17"/>
  <c r="T19" i="17" s="1"/>
  <c r="U19" i="17" s="1"/>
  <c r="S18" i="17"/>
  <c r="S17" i="17"/>
  <c r="T17" i="17" s="1"/>
  <c r="U17" i="17" s="1"/>
  <c r="S16" i="17"/>
  <c r="S15" i="17"/>
  <c r="T15" i="17" s="1"/>
  <c r="U15" i="17" s="1"/>
  <c r="S14" i="17"/>
  <c r="T14" i="17" s="1"/>
  <c r="U14" i="17" s="1"/>
  <c r="S13" i="17"/>
  <c r="T13" i="17" s="1"/>
  <c r="U13" i="17" s="1"/>
  <c r="Y12" i="17"/>
  <c r="S12" i="17"/>
  <c r="T12" i="17" s="1"/>
  <c r="U12" i="17" s="1"/>
  <c r="S11" i="17"/>
  <c r="T11" i="17" s="1"/>
  <c r="U11" i="17" s="1"/>
  <c r="S10" i="17"/>
  <c r="T10" i="17" s="1"/>
  <c r="U10" i="17" s="1"/>
  <c r="S9" i="17"/>
  <c r="T9" i="17" s="1"/>
  <c r="U9" i="17" s="1"/>
  <c r="S8" i="17"/>
  <c r="T8" i="17" s="1"/>
  <c r="D8" i="17"/>
  <c r="D3" i="17" s="1"/>
  <c r="Y6" i="17"/>
  <c r="Q3" i="17"/>
  <c r="Y22" i="17" s="1"/>
  <c r="P3" i="17"/>
  <c r="Y20" i="17" s="1"/>
  <c r="O3" i="17"/>
  <c r="Y19" i="17" s="1"/>
  <c r="N3" i="17"/>
  <c r="Y18" i="17" s="1"/>
  <c r="M3" i="17"/>
  <c r="Y17" i="17" s="1"/>
  <c r="L3" i="17"/>
  <c r="Y16" i="17" s="1"/>
  <c r="K3" i="17"/>
  <c r="Y15" i="17" s="1"/>
  <c r="J3" i="17"/>
  <c r="Y14" i="17" s="1"/>
  <c r="I3" i="17"/>
  <c r="Y13" i="17" s="1"/>
  <c r="H3" i="17"/>
  <c r="G3" i="17"/>
  <c r="Y11" i="17" s="1"/>
  <c r="F3" i="17"/>
  <c r="Y10" i="17" s="1"/>
  <c r="E3" i="17"/>
  <c r="Y9" i="17" s="1"/>
  <c r="C3" i="17"/>
  <c r="T31" i="17" s="1"/>
  <c r="U31" i="17" s="1"/>
  <c r="S33" i="16"/>
  <c r="S32" i="16"/>
  <c r="S31" i="16"/>
  <c r="S30" i="16"/>
  <c r="S29" i="16"/>
  <c r="S28" i="16"/>
  <c r="T28" i="16" s="1"/>
  <c r="U28" i="16" s="1"/>
  <c r="S27" i="16"/>
  <c r="S26" i="16"/>
  <c r="T26" i="16" s="1"/>
  <c r="U26" i="16" s="1"/>
  <c r="S25" i="16"/>
  <c r="S24" i="16"/>
  <c r="S23" i="16"/>
  <c r="Y22" i="16"/>
  <c r="S22" i="16"/>
  <c r="S21" i="16"/>
  <c r="S20" i="16"/>
  <c r="S19" i="16"/>
  <c r="S18" i="16"/>
  <c r="S17" i="16"/>
  <c r="Y16" i="16"/>
  <c r="S16" i="16"/>
  <c r="T16" i="16" s="1"/>
  <c r="U16" i="16" s="1"/>
  <c r="S15" i="16"/>
  <c r="S14" i="16"/>
  <c r="S13" i="16"/>
  <c r="S12" i="16"/>
  <c r="S11" i="16"/>
  <c r="S10" i="16"/>
  <c r="S9" i="16"/>
  <c r="D8" i="16"/>
  <c r="D3" i="16" s="1"/>
  <c r="Y8" i="16" s="1"/>
  <c r="Y6" i="16"/>
  <c r="Q3" i="16"/>
  <c r="P3" i="16"/>
  <c r="Y20" i="16" s="1"/>
  <c r="O3" i="16"/>
  <c r="Y19" i="16" s="1"/>
  <c r="N3" i="16"/>
  <c r="Y18" i="16" s="1"/>
  <c r="M3" i="16"/>
  <c r="Y17" i="16" s="1"/>
  <c r="L3" i="16"/>
  <c r="K3" i="16"/>
  <c r="Y15" i="16" s="1"/>
  <c r="J3" i="16"/>
  <c r="Y14" i="16" s="1"/>
  <c r="I3" i="16"/>
  <c r="Y13" i="16" s="1"/>
  <c r="H3" i="16"/>
  <c r="Y12" i="16" s="1"/>
  <c r="G3" i="16"/>
  <c r="Y11" i="16" s="1"/>
  <c r="F3" i="16"/>
  <c r="Y10" i="16" s="1"/>
  <c r="E3" i="16"/>
  <c r="Y9" i="16" s="1"/>
  <c r="C3" i="16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Y15" i="15"/>
  <c r="S15" i="15"/>
  <c r="S14" i="15"/>
  <c r="S13" i="15"/>
  <c r="Y12" i="15"/>
  <c r="S12" i="15"/>
  <c r="T12" i="15" s="1"/>
  <c r="U12" i="15" s="1"/>
  <c r="S11" i="15"/>
  <c r="S10" i="15"/>
  <c r="S9" i="15"/>
  <c r="D8" i="15"/>
  <c r="D3" i="15" s="1"/>
  <c r="Y6" i="15"/>
  <c r="Q3" i="15"/>
  <c r="Y22" i="15" s="1"/>
  <c r="P3" i="15"/>
  <c r="Y20" i="15" s="1"/>
  <c r="O3" i="15"/>
  <c r="Y19" i="15" s="1"/>
  <c r="N3" i="15"/>
  <c r="Y18" i="15" s="1"/>
  <c r="M3" i="15"/>
  <c r="Y17" i="15" s="1"/>
  <c r="L3" i="15"/>
  <c r="Y16" i="15" s="1"/>
  <c r="K3" i="15"/>
  <c r="J3" i="15"/>
  <c r="Y14" i="15" s="1"/>
  <c r="I3" i="15"/>
  <c r="Y13" i="15" s="1"/>
  <c r="H3" i="15"/>
  <c r="G3" i="15"/>
  <c r="Y11" i="15" s="1"/>
  <c r="F3" i="15"/>
  <c r="Y10" i="15" s="1"/>
  <c r="E3" i="15"/>
  <c r="Y9" i="15" s="1"/>
  <c r="C3" i="15"/>
  <c r="S33" i="13"/>
  <c r="S32" i="13"/>
  <c r="S31" i="13"/>
  <c r="S30" i="13"/>
  <c r="S29" i="13"/>
  <c r="S28" i="13"/>
  <c r="S27" i="13"/>
  <c r="S26" i="13"/>
  <c r="S25" i="13"/>
  <c r="T25" i="13" s="1"/>
  <c r="U25" i="13" s="1"/>
  <c r="S24" i="13"/>
  <c r="T24" i="13" s="1"/>
  <c r="U24" i="13" s="1"/>
  <c r="S23" i="13"/>
  <c r="T23" i="13" s="1"/>
  <c r="U23" i="13" s="1"/>
  <c r="Y22" i="13"/>
  <c r="S22" i="13"/>
  <c r="S21" i="13"/>
  <c r="S20" i="13"/>
  <c r="S19" i="13"/>
  <c r="S18" i="13"/>
  <c r="S17" i="13"/>
  <c r="S16" i="13"/>
  <c r="S15" i="13"/>
  <c r="S14" i="13"/>
  <c r="T14" i="13" s="1"/>
  <c r="U14" i="13" s="1"/>
  <c r="S13" i="13"/>
  <c r="S12" i="13"/>
  <c r="S11" i="13"/>
  <c r="T11" i="13" s="1"/>
  <c r="U11" i="13" s="1"/>
  <c r="S10" i="13"/>
  <c r="S9" i="13"/>
  <c r="D8" i="13"/>
  <c r="D3" i="13" s="1"/>
  <c r="Y7" i="13"/>
  <c r="Y6" i="13"/>
  <c r="Q3" i="13"/>
  <c r="P3" i="13"/>
  <c r="Y20" i="13" s="1"/>
  <c r="O3" i="13"/>
  <c r="Y19" i="13" s="1"/>
  <c r="N3" i="13"/>
  <c r="Y18" i="13" s="1"/>
  <c r="M3" i="13"/>
  <c r="Y17" i="13" s="1"/>
  <c r="L3" i="13"/>
  <c r="Y16" i="13" s="1"/>
  <c r="K3" i="13"/>
  <c r="Y15" i="13" s="1"/>
  <c r="J3" i="13"/>
  <c r="Y14" i="13" s="1"/>
  <c r="I3" i="13"/>
  <c r="Y13" i="13" s="1"/>
  <c r="H3" i="13"/>
  <c r="Y12" i="13" s="1"/>
  <c r="G3" i="13"/>
  <c r="Y11" i="13" s="1"/>
  <c r="F3" i="13"/>
  <c r="Y10" i="13" s="1"/>
  <c r="E3" i="13"/>
  <c r="Y9" i="13" s="1"/>
  <c r="C3" i="13"/>
  <c r="S33" i="14"/>
  <c r="S32" i="14"/>
  <c r="T32" i="14" s="1"/>
  <c r="U32" i="14" s="1"/>
  <c r="S31" i="14"/>
  <c r="T31" i="14" s="1"/>
  <c r="U31" i="14" s="1"/>
  <c r="S30" i="14"/>
  <c r="S29" i="14"/>
  <c r="S28" i="14"/>
  <c r="S27" i="14"/>
  <c r="S26" i="14"/>
  <c r="S25" i="14"/>
  <c r="T25" i="14" s="1"/>
  <c r="U25" i="14" s="1"/>
  <c r="S24" i="14"/>
  <c r="T24" i="14" s="1"/>
  <c r="U24" i="14" s="1"/>
  <c r="S23" i="14"/>
  <c r="T23" i="14" s="1"/>
  <c r="U23" i="14" s="1"/>
  <c r="Y22" i="14"/>
  <c r="S22" i="14"/>
  <c r="S21" i="14"/>
  <c r="S20" i="14"/>
  <c r="T20" i="14" s="1"/>
  <c r="U20" i="14" s="1"/>
  <c r="S19" i="14"/>
  <c r="S18" i="14"/>
  <c r="S17" i="14"/>
  <c r="S16" i="14"/>
  <c r="Y15" i="14"/>
  <c r="S15" i="14"/>
  <c r="S14" i="14"/>
  <c r="T14" i="14" s="1"/>
  <c r="U14" i="14" s="1"/>
  <c r="S13" i="14"/>
  <c r="S12" i="14"/>
  <c r="S11" i="14"/>
  <c r="T11" i="14" s="1"/>
  <c r="U11" i="14" s="1"/>
  <c r="S10" i="14"/>
  <c r="S9" i="14"/>
  <c r="D8" i="14"/>
  <c r="D3" i="14" s="1"/>
  <c r="Y7" i="14"/>
  <c r="Y6" i="14"/>
  <c r="Q3" i="14"/>
  <c r="P3" i="14"/>
  <c r="Y20" i="14" s="1"/>
  <c r="O3" i="14"/>
  <c r="Y19" i="14" s="1"/>
  <c r="N3" i="14"/>
  <c r="Y18" i="14" s="1"/>
  <c r="M3" i="14"/>
  <c r="Y17" i="14" s="1"/>
  <c r="L3" i="14"/>
  <c r="Y16" i="14" s="1"/>
  <c r="K3" i="14"/>
  <c r="J3" i="14"/>
  <c r="Y14" i="14" s="1"/>
  <c r="I3" i="14"/>
  <c r="Y13" i="14" s="1"/>
  <c r="H3" i="14"/>
  <c r="Y12" i="14" s="1"/>
  <c r="G3" i="14"/>
  <c r="Y11" i="14" s="1"/>
  <c r="F3" i="14"/>
  <c r="Y10" i="14" s="1"/>
  <c r="E3" i="14"/>
  <c r="Y9" i="14" s="1"/>
  <c r="C3" i="14"/>
  <c r="T21" i="14" s="1"/>
  <c r="U21" i="14" s="1"/>
  <c r="S33" i="11"/>
  <c r="S32" i="11"/>
  <c r="S31" i="11"/>
  <c r="S30" i="11"/>
  <c r="S29" i="11"/>
  <c r="S28" i="11"/>
  <c r="S27" i="11"/>
  <c r="S26" i="11"/>
  <c r="S25" i="11"/>
  <c r="S24" i="11"/>
  <c r="S23" i="11"/>
  <c r="T23" i="11" s="1"/>
  <c r="U23" i="11" s="1"/>
  <c r="S22" i="11"/>
  <c r="T22" i="11" s="1"/>
  <c r="U22" i="11" s="1"/>
  <c r="S21" i="11"/>
  <c r="S20" i="11"/>
  <c r="S19" i="11"/>
  <c r="S18" i="11"/>
  <c r="S17" i="11"/>
  <c r="Y16" i="11"/>
  <c r="S16" i="11"/>
  <c r="Y15" i="11"/>
  <c r="S15" i="11"/>
  <c r="S14" i="11"/>
  <c r="S13" i="11"/>
  <c r="Y12" i="11"/>
  <c r="S12" i="11"/>
  <c r="T12" i="11" s="1"/>
  <c r="U12" i="11" s="1"/>
  <c r="S11" i="11"/>
  <c r="S10" i="11"/>
  <c r="S9" i="11"/>
  <c r="D8" i="11"/>
  <c r="D3" i="11" s="1"/>
  <c r="Y6" i="11"/>
  <c r="Q3" i="11"/>
  <c r="Y22" i="11" s="1"/>
  <c r="P3" i="11"/>
  <c r="Y20" i="11" s="1"/>
  <c r="O3" i="11"/>
  <c r="Y19" i="11" s="1"/>
  <c r="N3" i="11"/>
  <c r="Y18" i="11" s="1"/>
  <c r="M3" i="11"/>
  <c r="Y17" i="11" s="1"/>
  <c r="L3" i="11"/>
  <c r="K3" i="11"/>
  <c r="J3" i="11"/>
  <c r="Y14" i="11" s="1"/>
  <c r="I3" i="11"/>
  <c r="Y13" i="11" s="1"/>
  <c r="H3" i="11"/>
  <c r="G3" i="11"/>
  <c r="Y11" i="11" s="1"/>
  <c r="F3" i="11"/>
  <c r="Y10" i="11" s="1"/>
  <c r="E3" i="11"/>
  <c r="Y9" i="11" s="1"/>
  <c r="C3" i="11"/>
  <c r="S33" i="10"/>
  <c r="T33" i="10" s="1"/>
  <c r="U33" i="10" s="1"/>
  <c r="S32" i="10"/>
  <c r="T32" i="10" s="1"/>
  <c r="U32" i="10" s="1"/>
  <c r="S31" i="10"/>
  <c r="T31" i="10" s="1"/>
  <c r="U31" i="10" s="1"/>
  <c r="S30" i="10"/>
  <c r="S29" i="10"/>
  <c r="S28" i="10"/>
  <c r="S27" i="10"/>
  <c r="T27" i="10" s="1"/>
  <c r="U27" i="10" s="1"/>
  <c r="S26" i="10"/>
  <c r="S25" i="10"/>
  <c r="T25" i="10" s="1"/>
  <c r="U25" i="10" s="1"/>
  <c r="S24" i="10"/>
  <c r="T24" i="10" s="1"/>
  <c r="U24" i="10" s="1"/>
  <c r="S23" i="10"/>
  <c r="T23" i="10" s="1"/>
  <c r="U23" i="10" s="1"/>
  <c r="Y22" i="10"/>
  <c r="S22" i="10"/>
  <c r="S21" i="10"/>
  <c r="S20" i="10"/>
  <c r="T20" i="10" s="1"/>
  <c r="U20" i="10" s="1"/>
  <c r="Y19" i="10"/>
  <c r="S19" i="10"/>
  <c r="S18" i="10"/>
  <c r="S17" i="10"/>
  <c r="T17" i="10" s="1"/>
  <c r="U17" i="10" s="1"/>
  <c r="Y16" i="10"/>
  <c r="S16" i="10"/>
  <c r="S15" i="10"/>
  <c r="S14" i="10"/>
  <c r="T14" i="10" s="1"/>
  <c r="U14" i="10" s="1"/>
  <c r="S13" i="10"/>
  <c r="S12" i="10"/>
  <c r="S11" i="10"/>
  <c r="T11" i="10" s="1"/>
  <c r="U11" i="10" s="1"/>
  <c r="S10" i="10"/>
  <c r="S9" i="10"/>
  <c r="D8" i="10"/>
  <c r="D3" i="10" s="1"/>
  <c r="Y7" i="10"/>
  <c r="Y6" i="10"/>
  <c r="Q3" i="10"/>
  <c r="P3" i="10"/>
  <c r="Y20" i="10" s="1"/>
  <c r="O3" i="10"/>
  <c r="N3" i="10"/>
  <c r="Y18" i="10" s="1"/>
  <c r="M3" i="10"/>
  <c r="Y17" i="10" s="1"/>
  <c r="L3" i="10"/>
  <c r="K3" i="10"/>
  <c r="Y15" i="10" s="1"/>
  <c r="J3" i="10"/>
  <c r="Y14" i="10" s="1"/>
  <c r="I3" i="10"/>
  <c r="Y13" i="10" s="1"/>
  <c r="H3" i="10"/>
  <c r="Y12" i="10" s="1"/>
  <c r="G3" i="10"/>
  <c r="Y11" i="10" s="1"/>
  <c r="F3" i="10"/>
  <c r="Y10" i="10" s="1"/>
  <c r="E3" i="10"/>
  <c r="Y9" i="10" s="1"/>
  <c r="C3" i="10"/>
  <c r="T21" i="10" s="1"/>
  <c r="U21" i="10" s="1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Y15" i="9"/>
  <c r="S15" i="9"/>
  <c r="S14" i="9"/>
  <c r="S13" i="9"/>
  <c r="S12" i="9"/>
  <c r="S11" i="9"/>
  <c r="S10" i="9"/>
  <c r="S9" i="9"/>
  <c r="D8" i="9"/>
  <c r="D3" i="9" s="1"/>
  <c r="Y6" i="9"/>
  <c r="Q3" i="9"/>
  <c r="Y22" i="9" s="1"/>
  <c r="P3" i="9"/>
  <c r="Y20" i="9" s="1"/>
  <c r="O3" i="9"/>
  <c r="Y19" i="9" s="1"/>
  <c r="N3" i="9"/>
  <c r="Y18" i="9" s="1"/>
  <c r="M3" i="9"/>
  <c r="Y17" i="9" s="1"/>
  <c r="L3" i="9"/>
  <c r="Y16" i="9" s="1"/>
  <c r="K3" i="9"/>
  <c r="J3" i="9"/>
  <c r="Y14" i="9" s="1"/>
  <c r="I3" i="9"/>
  <c r="Y13" i="9" s="1"/>
  <c r="H3" i="9"/>
  <c r="Y12" i="9" s="1"/>
  <c r="G3" i="9"/>
  <c r="Y11" i="9" s="1"/>
  <c r="F3" i="9"/>
  <c r="Y10" i="9" s="1"/>
  <c r="E3" i="9"/>
  <c r="Y9" i="9" s="1"/>
  <c r="C3" i="9"/>
  <c r="S33" i="8"/>
  <c r="S32" i="8"/>
  <c r="T32" i="8" s="1"/>
  <c r="U32" i="8" s="1"/>
  <c r="S31" i="8"/>
  <c r="T31" i="8" s="1"/>
  <c r="U31" i="8" s="1"/>
  <c r="S30" i="8"/>
  <c r="S29" i="8"/>
  <c r="S28" i="8"/>
  <c r="S27" i="8"/>
  <c r="T27" i="8" s="1"/>
  <c r="U27" i="8" s="1"/>
  <c r="S26" i="8"/>
  <c r="S25" i="8"/>
  <c r="S24" i="8"/>
  <c r="T24" i="8" s="1"/>
  <c r="U24" i="8" s="1"/>
  <c r="S23" i="8"/>
  <c r="T23" i="8" s="1"/>
  <c r="U23" i="8" s="1"/>
  <c r="Y22" i="8"/>
  <c r="S22" i="8"/>
  <c r="S21" i="8"/>
  <c r="S20" i="8"/>
  <c r="T20" i="8" s="1"/>
  <c r="U20" i="8" s="1"/>
  <c r="Y19" i="8"/>
  <c r="S19" i="8"/>
  <c r="S18" i="8"/>
  <c r="S17" i="8"/>
  <c r="T17" i="8" s="1"/>
  <c r="U17" i="8" s="1"/>
  <c r="S16" i="8"/>
  <c r="Y15" i="8"/>
  <c r="S15" i="8"/>
  <c r="S14" i="8"/>
  <c r="T14" i="8" s="1"/>
  <c r="U14" i="8" s="1"/>
  <c r="S13" i="8"/>
  <c r="S12" i="8"/>
  <c r="S11" i="8"/>
  <c r="T11" i="8" s="1"/>
  <c r="U11" i="8" s="1"/>
  <c r="S10" i="8"/>
  <c r="S9" i="8"/>
  <c r="D8" i="8"/>
  <c r="D3" i="8" s="1"/>
  <c r="Y7" i="8"/>
  <c r="Y6" i="8"/>
  <c r="Q3" i="8"/>
  <c r="P3" i="8"/>
  <c r="Y20" i="8" s="1"/>
  <c r="O3" i="8"/>
  <c r="N3" i="8"/>
  <c r="Y18" i="8" s="1"/>
  <c r="M3" i="8"/>
  <c r="Y17" i="8" s="1"/>
  <c r="L3" i="8"/>
  <c r="Y16" i="8" s="1"/>
  <c r="K3" i="8"/>
  <c r="J3" i="8"/>
  <c r="Y14" i="8" s="1"/>
  <c r="I3" i="8"/>
  <c r="Y13" i="8" s="1"/>
  <c r="H3" i="8"/>
  <c r="Y12" i="8" s="1"/>
  <c r="G3" i="8"/>
  <c r="Y11" i="8" s="1"/>
  <c r="F3" i="8"/>
  <c r="Y10" i="8" s="1"/>
  <c r="E3" i="8"/>
  <c r="Y9" i="8" s="1"/>
  <c r="C3" i="8"/>
  <c r="T33" i="8" s="1"/>
  <c r="U33" i="8" s="1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D8" i="7"/>
  <c r="D3" i="7" s="1"/>
  <c r="U6" i="7"/>
  <c r="M3" i="7"/>
  <c r="U17" i="7" s="1"/>
  <c r="L3" i="7"/>
  <c r="U16" i="7" s="1"/>
  <c r="K3" i="7"/>
  <c r="U15" i="7" s="1"/>
  <c r="J3" i="7"/>
  <c r="U14" i="7" s="1"/>
  <c r="I3" i="7"/>
  <c r="U13" i="7" s="1"/>
  <c r="H3" i="7"/>
  <c r="U12" i="7" s="1"/>
  <c r="G3" i="7"/>
  <c r="U11" i="7" s="1"/>
  <c r="F3" i="7"/>
  <c r="U10" i="7" s="1"/>
  <c r="E3" i="7"/>
  <c r="U9" i="7" s="1"/>
  <c r="C3" i="7"/>
  <c r="U7" i="7" s="1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Z7" i="5"/>
  <c r="Z6" i="5"/>
  <c r="R3" i="5"/>
  <c r="Z23" i="5" s="1"/>
  <c r="Q3" i="5"/>
  <c r="Z21" i="5" s="1"/>
  <c r="P3" i="5"/>
  <c r="Z20" i="5" s="1"/>
  <c r="O3" i="5"/>
  <c r="Z19" i="5" s="1"/>
  <c r="N3" i="5"/>
  <c r="Z18" i="5" s="1"/>
  <c r="M3" i="5"/>
  <c r="Z17" i="5" s="1"/>
  <c r="L3" i="5"/>
  <c r="Z16" i="5" s="1"/>
  <c r="K3" i="5"/>
  <c r="Z15" i="5" s="1"/>
  <c r="I3" i="5"/>
  <c r="Z13" i="5" s="1"/>
  <c r="H3" i="5"/>
  <c r="Z12" i="5" s="1"/>
  <c r="F3" i="5"/>
  <c r="Z10" i="5" s="1"/>
  <c r="E3" i="5"/>
  <c r="Z9" i="5" s="1"/>
  <c r="C3" i="5"/>
  <c r="D8" i="4"/>
  <c r="D3" i="4" s="1"/>
  <c r="S33" i="4"/>
  <c r="S32" i="4"/>
  <c r="S31" i="4"/>
  <c r="S30" i="4"/>
  <c r="S29" i="4"/>
  <c r="S28" i="4"/>
  <c r="S27" i="4"/>
  <c r="S26" i="4"/>
  <c r="S25" i="4"/>
  <c r="S24" i="4"/>
  <c r="S23" i="4"/>
  <c r="Y22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Y7" i="4"/>
  <c r="Y6" i="4"/>
  <c r="Q3" i="4"/>
  <c r="P3" i="4"/>
  <c r="Y20" i="4" s="1"/>
  <c r="O3" i="4"/>
  <c r="Y19" i="4" s="1"/>
  <c r="N3" i="4"/>
  <c r="Y18" i="4" s="1"/>
  <c r="M3" i="4"/>
  <c r="Y17" i="4" s="1"/>
  <c r="L3" i="4"/>
  <c r="Y16" i="4" s="1"/>
  <c r="K3" i="4"/>
  <c r="Y15" i="4" s="1"/>
  <c r="J3" i="4"/>
  <c r="Y14" i="4" s="1"/>
  <c r="I3" i="4"/>
  <c r="Y13" i="4" s="1"/>
  <c r="H3" i="4"/>
  <c r="Y12" i="4" s="1"/>
  <c r="G3" i="4"/>
  <c r="Y11" i="4" s="1"/>
  <c r="F3" i="4"/>
  <c r="Y10" i="4" s="1"/>
  <c r="E3" i="4"/>
  <c r="Y9" i="4" s="1"/>
  <c r="C3" i="4"/>
  <c r="Y13" i="3"/>
  <c r="Y11" i="3"/>
  <c r="S9" i="3"/>
  <c r="S10" i="3"/>
  <c r="S17" i="3"/>
  <c r="S18" i="3"/>
  <c r="S19" i="3"/>
  <c r="S22" i="3"/>
  <c r="S24" i="3"/>
  <c r="S33" i="3"/>
  <c r="S32" i="3"/>
  <c r="S31" i="3"/>
  <c r="S30" i="3"/>
  <c r="S29" i="3"/>
  <c r="S28" i="3"/>
  <c r="S27" i="3"/>
  <c r="S26" i="3"/>
  <c r="S25" i="3"/>
  <c r="S23" i="3"/>
  <c r="S21" i="3"/>
  <c r="S20" i="3"/>
  <c r="S16" i="3"/>
  <c r="S15" i="3"/>
  <c r="S14" i="3"/>
  <c r="S13" i="3"/>
  <c r="S12" i="3"/>
  <c r="S11" i="3"/>
  <c r="Y6" i="3"/>
  <c r="Q3" i="3"/>
  <c r="Y22" i="3" s="1"/>
  <c r="P3" i="3"/>
  <c r="Y20" i="3" s="1"/>
  <c r="O3" i="3"/>
  <c r="Y19" i="3" s="1"/>
  <c r="N3" i="3"/>
  <c r="Y18" i="3" s="1"/>
  <c r="M3" i="3"/>
  <c r="Y17" i="3" s="1"/>
  <c r="L3" i="3"/>
  <c r="Y16" i="3" s="1"/>
  <c r="K3" i="3"/>
  <c r="Y15" i="3" s="1"/>
  <c r="J3" i="3"/>
  <c r="Y14" i="3" s="1"/>
  <c r="H3" i="3"/>
  <c r="Y12" i="3" s="1"/>
  <c r="G3" i="3"/>
  <c r="F3" i="3"/>
  <c r="Y10" i="3" s="1"/>
  <c r="E3" i="3"/>
  <c r="Y9" i="3" s="1"/>
  <c r="C3" i="3"/>
  <c r="Y7" i="3" s="1"/>
  <c r="D9" i="2"/>
  <c r="U9" i="2" s="1"/>
  <c r="D10" i="2"/>
  <c r="U10" i="2" s="1"/>
  <c r="D11" i="2"/>
  <c r="U11" i="2" s="1"/>
  <c r="U13" i="2"/>
  <c r="U14" i="2"/>
  <c r="U15" i="2"/>
  <c r="U20" i="2"/>
  <c r="U21" i="2"/>
  <c r="U22" i="2"/>
  <c r="U25" i="2"/>
  <c r="U26" i="2"/>
  <c r="U27" i="2"/>
  <c r="U18" i="2"/>
  <c r="U19" i="2"/>
  <c r="D8" i="2"/>
  <c r="U28" i="2"/>
  <c r="U29" i="2"/>
  <c r="U30" i="2"/>
  <c r="U31" i="2"/>
  <c r="U32" i="2"/>
  <c r="U33" i="2"/>
  <c r="L3" i="2"/>
  <c r="AA15" i="2" s="1"/>
  <c r="I7" i="1" s="1"/>
  <c r="M3" i="2"/>
  <c r="AA16" i="2" s="1"/>
  <c r="K7" i="1" s="1"/>
  <c r="N3" i="2"/>
  <c r="AA17" i="2" s="1"/>
  <c r="J7" i="1" s="1"/>
  <c r="U12" i="2"/>
  <c r="U16" i="2"/>
  <c r="U17" i="2"/>
  <c r="U23" i="2"/>
  <c r="U24" i="2"/>
  <c r="AA6" i="2"/>
  <c r="D7" i="1" s="1"/>
  <c r="F3" i="2"/>
  <c r="AA9" i="2" s="1"/>
  <c r="G3" i="2"/>
  <c r="AA10" i="2" s="1"/>
  <c r="H3" i="2"/>
  <c r="AA11" i="2" s="1"/>
  <c r="I3" i="2"/>
  <c r="AA12" i="2" s="1"/>
  <c r="J3" i="2"/>
  <c r="AA13" i="2" s="1"/>
  <c r="K3" i="2"/>
  <c r="AA14" i="2" s="1"/>
  <c r="H7" i="1" s="1"/>
  <c r="O3" i="2"/>
  <c r="AA18" i="2" s="1"/>
  <c r="L7" i="1" s="1"/>
  <c r="P3" i="2"/>
  <c r="AA19" i="2" s="1"/>
  <c r="M7" i="1" s="1"/>
  <c r="Q3" i="2"/>
  <c r="AA20" i="2" s="1"/>
  <c r="N7" i="1" s="1"/>
  <c r="R3" i="2"/>
  <c r="AA21" i="2" s="1"/>
  <c r="S3" i="2"/>
  <c r="AA22" i="2" s="1"/>
  <c r="E3" i="2"/>
  <c r="AA8" i="2" s="1"/>
  <c r="G7" i="1" s="1"/>
  <c r="C3" i="2"/>
  <c r="AA7" i="2" s="1"/>
  <c r="F7" i="1" s="1"/>
  <c r="R8" i="22" l="1"/>
  <c r="E3" i="22"/>
  <c r="X9" i="22" s="1"/>
  <c r="D3" i="22"/>
  <c r="X7" i="22"/>
  <c r="P24" i="7"/>
  <c r="Q24" i="7" s="1"/>
  <c r="P15" i="7"/>
  <c r="Q15" i="7" s="1"/>
  <c r="P25" i="7"/>
  <c r="Q25" i="7" s="1"/>
  <c r="P22" i="7"/>
  <c r="Q22" i="7" s="1"/>
  <c r="P14" i="7"/>
  <c r="Q14" i="7" s="1"/>
  <c r="P23" i="7"/>
  <c r="Q23" i="7" s="1"/>
  <c r="P17" i="7"/>
  <c r="Q17" i="7" s="1"/>
  <c r="P18" i="7"/>
  <c r="Q18" i="7" s="1"/>
  <c r="P29" i="7"/>
  <c r="Q29" i="7" s="1"/>
  <c r="P9" i="7"/>
  <c r="Q9" i="7" s="1"/>
  <c r="P20" i="7"/>
  <c r="Q20" i="7" s="1"/>
  <c r="P31" i="7"/>
  <c r="Q31" i="7" s="1"/>
  <c r="P21" i="7"/>
  <c r="Q21" i="7" s="1"/>
  <c r="P32" i="7"/>
  <c r="Q32" i="7" s="1"/>
  <c r="P11" i="7"/>
  <c r="Q11" i="7" s="1"/>
  <c r="P12" i="7"/>
  <c r="Q12" i="7" s="1"/>
  <c r="D3" i="21"/>
  <c r="T26" i="21" s="1"/>
  <c r="U26" i="21" s="1"/>
  <c r="E3" i="21"/>
  <c r="Y9" i="21" s="1"/>
  <c r="Y8" i="21"/>
  <c r="Y7" i="21"/>
  <c r="S8" i="21"/>
  <c r="D8" i="20"/>
  <c r="W9" i="20"/>
  <c r="E3" i="19"/>
  <c r="Q8" i="19"/>
  <c r="R8" i="19" s="1"/>
  <c r="D3" i="5"/>
  <c r="U17" i="5" s="1"/>
  <c r="V17" i="5" s="1"/>
  <c r="U27" i="5"/>
  <c r="V27" i="5" s="1"/>
  <c r="U14" i="5"/>
  <c r="V14" i="5" s="1"/>
  <c r="U24" i="5"/>
  <c r="V24" i="5" s="1"/>
  <c r="T16" i="17"/>
  <c r="U16" i="17" s="1"/>
  <c r="T28" i="17"/>
  <c r="U28" i="17" s="1"/>
  <c r="Y8" i="17"/>
  <c r="T27" i="17"/>
  <c r="U27" i="17" s="1"/>
  <c r="T23" i="17"/>
  <c r="U23" i="17" s="1"/>
  <c r="T22" i="17"/>
  <c r="U22" i="17" s="1"/>
  <c r="T18" i="17"/>
  <c r="U18" i="17" s="1"/>
  <c r="T30" i="17"/>
  <c r="U30" i="17" s="1"/>
  <c r="U8" i="17"/>
  <c r="Y7" i="17"/>
  <c r="T13" i="16"/>
  <c r="U13" i="16" s="1"/>
  <c r="T23" i="16"/>
  <c r="U23" i="16" s="1"/>
  <c r="T24" i="16"/>
  <c r="U24" i="16" s="1"/>
  <c r="T25" i="16"/>
  <c r="U25" i="16" s="1"/>
  <c r="T18" i="16"/>
  <c r="U18" i="16" s="1"/>
  <c r="T27" i="16"/>
  <c r="U27" i="16" s="1"/>
  <c r="T29" i="16"/>
  <c r="U29" i="16" s="1"/>
  <c r="T19" i="16"/>
  <c r="U19" i="16" s="1"/>
  <c r="T30" i="16"/>
  <c r="U30" i="16" s="1"/>
  <c r="T31" i="16"/>
  <c r="U31" i="16" s="1"/>
  <c r="T10" i="16"/>
  <c r="U10" i="16" s="1"/>
  <c r="T32" i="16"/>
  <c r="U32" i="16" s="1"/>
  <c r="T33" i="16"/>
  <c r="U33" i="16" s="1"/>
  <c r="T22" i="16"/>
  <c r="U22" i="16" s="1"/>
  <c r="Y7" i="16"/>
  <c r="S8" i="16"/>
  <c r="T8" i="16" s="1"/>
  <c r="T14" i="16"/>
  <c r="U14" i="16" s="1"/>
  <c r="T20" i="16"/>
  <c r="U20" i="16" s="1"/>
  <c r="T17" i="16"/>
  <c r="U17" i="16" s="1"/>
  <c r="T11" i="16"/>
  <c r="U11" i="16" s="1"/>
  <c r="T9" i="16"/>
  <c r="U9" i="16" s="1"/>
  <c r="T12" i="16"/>
  <c r="U12" i="16" s="1"/>
  <c r="T21" i="16"/>
  <c r="U21" i="16" s="1"/>
  <c r="T15" i="16"/>
  <c r="U15" i="16" s="1"/>
  <c r="T23" i="15"/>
  <c r="U23" i="15" s="1"/>
  <c r="T13" i="15"/>
  <c r="U13" i="15" s="1"/>
  <c r="T24" i="15"/>
  <c r="U24" i="15" s="1"/>
  <c r="T14" i="15"/>
  <c r="U14" i="15" s="1"/>
  <c r="T15" i="15"/>
  <c r="U15" i="15" s="1"/>
  <c r="T26" i="15"/>
  <c r="U26" i="15" s="1"/>
  <c r="T33" i="15"/>
  <c r="U33" i="15" s="1"/>
  <c r="T27" i="15"/>
  <c r="U27" i="15" s="1"/>
  <c r="T16" i="15"/>
  <c r="U16" i="15" s="1"/>
  <c r="T28" i="15"/>
  <c r="U28" i="15" s="1"/>
  <c r="T17" i="15"/>
  <c r="U17" i="15" s="1"/>
  <c r="Y8" i="15"/>
  <c r="T22" i="15"/>
  <c r="U22" i="15" s="1"/>
  <c r="T18" i="15"/>
  <c r="U18" i="15" s="1"/>
  <c r="T30" i="15"/>
  <c r="U30" i="15" s="1"/>
  <c r="T9" i="15"/>
  <c r="U9" i="15" s="1"/>
  <c r="T19" i="15"/>
  <c r="U19" i="15" s="1"/>
  <c r="T31" i="15"/>
  <c r="U31" i="15" s="1"/>
  <c r="T10" i="15"/>
  <c r="U10" i="15" s="1"/>
  <c r="T20" i="15"/>
  <c r="U20" i="15" s="1"/>
  <c r="T32" i="15"/>
  <c r="U32" i="15" s="1"/>
  <c r="T11" i="15"/>
  <c r="U11" i="15" s="1"/>
  <c r="T21" i="15"/>
  <c r="U21" i="15" s="1"/>
  <c r="Y7" i="15"/>
  <c r="S8" i="15"/>
  <c r="T8" i="15" s="1"/>
  <c r="T25" i="15"/>
  <c r="U25" i="15" s="1"/>
  <c r="T29" i="15"/>
  <c r="U29" i="15" s="1"/>
  <c r="T21" i="13"/>
  <c r="U21" i="13" s="1"/>
  <c r="T27" i="13"/>
  <c r="U27" i="13" s="1"/>
  <c r="T17" i="13"/>
  <c r="U17" i="13" s="1"/>
  <c r="T28" i="13"/>
  <c r="U28" i="13" s="1"/>
  <c r="T29" i="13"/>
  <c r="U29" i="13" s="1"/>
  <c r="T16" i="13"/>
  <c r="U16" i="13" s="1"/>
  <c r="T30" i="13"/>
  <c r="U30" i="13" s="1"/>
  <c r="T19" i="13"/>
  <c r="U19" i="13" s="1"/>
  <c r="Y8" i="13"/>
  <c r="T13" i="13"/>
  <c r="U13" i="13" s="1"/>
  <c r="T10" i="13"/>
  <c r="U10" i="13" s="1"/>
  <c r="T26" i="13"/>
  <c r="U26" i="13" s="1"/>
  <c r="T20" i="13"/>
  <c r="U20" i="13" s="1"/>
  <c r="T31" i="13"/>
  <c r="U31" i="13" s="1"/>
  <c r="T32" i="13"/>
  <c r="U32" i="13" s="1"/>
  <c r="T33" i="13"/>
  <c r="U33" i="13" s="1"/>
  <c r="T22" i="13"/>
  <c r="U22" i="13" s="1"/>
  <c r="S8" i="13"/>
  <c r="T8" i="13" s="1"/>
  <c r="T9" i="13"/>
  <c r="U9" i="13" s="1"/>
  <c r="T12" i="13"/>
  <c r="U12" i="13" s="1"/>
  <c r="T15" i="13"/>
  <c r="U15" i="13" s="1"/>
  <c r="T18" i="13"/>
  <c r="U18" i="13" s="1"/>
  <c r="T27" i="14"/>
  <c r="U27" i="14" s="1"/>
  <c r="T17" i="14"/>
  <c r="U17" i="14" s="1"/>
  <c r="T28" i="14"/>
  <c r="U28" i="14" s="1"/>
  <c r="T29" i="14"/>
  <c r="U29" i="14" s="1"/>
  <c r="T30" i="14"/>
  <c r="U30" i="14" s="1"/>
  <c r="T13" i="14"/>
  <c r="U13" i="14" s="1"/>
  <c r="T26" i="14"/>
  <c r="U26" i="14" s="1"/>
  <c r="Y8" i="14"/>
  <c r="T19" i="14"/>
  <c r="U19" i="14" s="1"/>
  <c r="T10" i="14"/>
  <c r="U10" i="14" s="1"/>
  <c r="T16" i="14"/>
  <c r="U16" i="14" s="1"/>
  <c r="T33" i="14"/>
  <c r="U33" i="14" s="1"/>
  <c r="T22" i="14"/>
  <c r="U22" i="14" s="1"/>
  <c r="S8" i="14"/>
  <c r="T8" i="14" s="1"/>
  <c r="T9" i="14"/>
  <c r="U9" i="14" s="1"/>
  <c r="T12" i="14"/>
  <c r="U12" i="14" s="1"/>
  <c r="T15" i="14"/>
  <c r="U15" i="14" s="1"/>
  <c r="T18" i="14"/>
  <c r="U18" i="14" s="1"/>
  <c r="T14" i="11"/>
  <c r="U14" i="11" s="1"/>
  <c r="T15" i="11"/>
  <c r="U15" i="11" s="1"/>
  <c r="T25" i="11"/>
  <c r="U25" i="11" s="1"/>
  <c r="T32" i="11"/>
  <c r="U32" i="11" s="1"/>
  <c r="T27" i="11"/>
  <c r="U27" i="11" s="1"/>
  <c r="Y8" i="11"/>
  <c r="T16" i="11"/>
  <c r="U16" i="11" s="1"/>
  <c r="T26" i="11"/>
  <c r="U26" i="11" s="1"/>
  <c r="T13" i="11"/>
  <c r="U13" i="11" s="1"/>
  <c r="T19" i="11"/>
  <c r="U19" i="11" s="1"/>
  <c r="T30" i="11"/>
  <c r="U30" i="11" s="1"/>
  <c r="T10" i="11"/>
  <c r="U10" i="11" s="1"/>
  <c r="T17" i="11"/>
  <c r="U17" i="11" s="1"/>
  <c r="T29" i="11"/>
  <c r="U29" i="11" s="1"/>
  <c r="T9" i="11"/>
  <c r="U9" i="11" s="1"/>
  <c r="T18" i="11"/>
  <c r="U18" i="11" s="1"/>
  <c r="T31" i="11"/>
  <c r="U31" i="11" s="1"/>
  <c r="T11" i="11"/>
  <c r="U11" i="11" s="1"/>
  <c r="T20" i="11"/>
  <c r="U20" i="11" s="1"/>
  <c r="T21" i="11"/>
  <c r="U21" i="11" s="1"/>
  <c r="T33" i="11"/>
  <c r="U33" i="11" s="1"/>
  <c r="Y7" i="11"/>
  <c r="S8" i="11"/>
  <c r="T8" i="11" s="1"/>
  <c r="T24" i="11"/>
  <c r="U24" i="11" s="1"/>
  <c r="T28" i="11"/>
  <c r="U28" i="11" s="1"/>
  <c r="T28" i="10"/>
  <c r="U28" i="10" s="1"/>
  <c r="T26" i="10"/>
  <c r="U26" i="10" s="1"/>
  <c r="T30" i="10"/>
  <c r="U30" i="10" s="1"/>
  <c r="Y8" i="10"/>
  <c r="T19" i="10"/>
  <c r="U19" i="10" s="1"/>
  <c r="T13" i="10"/>
  <c r="U13" i="10" s="1"/>
  <c r="T16" i="10"/>
  <c r="U16" i="10" s="1"/>
  <c r="T22" i="10"/>
  <c r="U22" i="10" s="1"/>
  <c r="T10" i="10"/>
  <c r="U10" i="10" s="1"/>
  <c r="T29" i="10"/>
  <c r="U29" i="10" s="1"/>
  <c r="S8" i="10"/>
  <c r="T8" i="10" s="1"/>
  <c r="T9" i="10"/>
  <c r="U9" i="10" s="1"/>
  <c r="T12" i="10"/>
  <c r="U12" i="10" s="1"/>
  <c r="T15" i="10"/>
  <c r="U15" i="10" s="1"/>
  <c r="T18" i="10"/>
  <c r="U18" i="10" s="1"/>
  <c r="T11" i="9"/>
  <c r="U11" i="9" s="1"/>
  <c r="T22" i="9"/>
  <c r="U22" i="9" s="1"/>
  <c r="T23" i="9"/>
  <c r="U23" i="9" s="1"/>
  <c r="T24" i="9"/>
  <c r="U24" i="9" s="1"/>
  <c r="T14" i="9"/>
  <c r="U14" i="9" s="1"/>
  <c r="T25" i="9"/>
  <c r="U25" i="9" s="1"/>
  <c r="T27" i="9"/>
  <c r="U27" i="9" s="1"/>
  <c r="T9" i="9"/>
  <c r="U9" i="9" s="1"/>
  <c r="T28" i="9"/>
  <c r="U28" i="9" s="1"/>
  <c r="T17" i="9"/>
  <c r="U17" i="9" s="1"/>
  <c r="T29" i="9"/>
  <c r="U29" i="9" s="1"/>
  <c r="Y8" i="9"/>
  <c r="T10" i="9"/>
  <c r="U10" i="9" s="1"/>
  <c r="T26" i="9"/>
  <c r="U26" i="9" s="1"/>
  <c r="T13" i="9"/>
  <c r="U13" i="9" s="1"/>
  <c r="T30" i="9"/>
  <c r="U30" i="9" s="1"/>
  <c r="T19" i="9"/>
  <c r="U19" i="9" s="1"/>
  <c r="T16" i="9"/>
  <c r="U16" i="9" s="1"/>
  <c r="T31" i="9"/>
  <c r="U31" i="9" s="1"/>
  <c r="T20" i="9"/>
  <c r="U20" i="9" s="1"/>
  <c r="T32" i="9"/>
  <c r="U32" i="9" s="1"/>
  <c r="T33" i="9"/>
  <c r="U33" i="9" s="1"/>
  <c r="Y7" i="9"/>
  <c r="S8" i="9"/>
  <c r="T8" i="9" s="1"/>
  <c r="T12" i="9"/>
  <c r="U12" i="9" s="1"/>
  <c r="T15" i="9"/>
  <c r="U15" i="9" s="1"/>
  <c r="T18" i="9"/>
  <c r="U18" i="9" s="1"/>
  <c r="T21" i="9"/>
  <c r="U21" i="9" s="1"/>
  <c r="T28" i="8"/>
  <c r="U28" i="8" s="1"/>
  <c r="T26" i="8"/>
  <c r="U26" i="8" s="1"/>
  <c r="T10" i="8"/>
  <c r="U10" i="8" s="1"/>
  <c r="T30" i="8"/>
  <c r="U30" i="8" s="1"/>
  <c r="Y8" i="8"/>
  <c r="T19" i="8"/>
  <c r="U19" i="8" s="1"/>
  <c r="T16" i="8"/>
  <c r="U16" i="8" s="1"/>
  <c r="T13" i="8"/>
  <c r="U13" i="8" s="1"/>
  <c r="T22" i="8"/>
  <c r="U22" i="8" s="1"/>
  <c r="S8" i="8"/>
  <c r="T8" i="8" s="1"/>
  <c r="T9" i="8"/>
  <c r="U9" i="8" s="1"/>
  <c r="T12" i="8"/>
  <c r="U12" i="8" s="1"/>
  <c r="T15" i="8"/>
  <c r="U15" i="8" s="1"/>
  <c r="T18" i="8"/>
  <c r="U18" i="8" s="1"/>
  <c r="T21" i="8"/>
  <c r="U21" i="8" s="1"/>
  <c r="T25" i="8"/>
  <c r="U25" i="8" s="1"/>
  <c r="T29" i="8"/>
  <c r="U29" i="8" s="1"/>
  <c r="P27" i="7"/>
  <c r="Q27" i="7" s="1"/>
  <c r="P28" i="7"/>
  <c r="Q28" i="7" s="1"/>
  <c r="P10" i="7"/>
  <c r="Q10" i="7" s="1"/>
  <c r="U8" i="7"/>
  <c r="P16" i="7"/>
  <c r="Q16" i="7" s="1"/>
  <c r="P19" i="7"/>
  <c r="Q19" i="7" s="1"/>
  <c r="P30" i="7"/>
  <c r="Q30" i="7" s="1"/>
  <c r="P26" i="7"/>
  <c r="Q26" i="7" s="1"/>
  <c r="P13" i="7"/>
  <c r="Q13" i="7" s="1"/>
  <c r="P33" i="7"/>
  <c r="Q33" i="7" s="1"/>
  <c r="O8" i="7"/>
  <c r="P8" i="7" s="1"/>
  <c r="U28" i="5"/>
  <c r="V28" i="5" s="1"/>
  <c r="U30" i="5"/>
  <c r="V30" i="5" s="1"/>
  <c r="U19" i="5"/>
  <c r="V19" i="5" s="1"/>
  <c r="U13" i="5"/>
  <c r="V13" i="5" s="1"/>
  <c r="U16" i="5"/>
  <c r="V16" i="5" s="1"/>
  <c r="U20" i="5"/>
  <c r="V20" i="5" s="1"/>
  <c r="T8" i="5"/>
  <c r="U9" i="5"/>
  <c r="V9" i="5" s="1"/>
  <c r="U12" i="5"/>
  <c r="V12" i="5" s="1"/>
  <c r="U15" i="5"/>
  <c r="V15" i="5" s="1"/>
  <c r="U18" i="5"/>
  <c r="V18" i="5" s="1"/>
  <c r="U21" i="5"/>
  <c r="V21" i="5" s="1"/>
  <c r="U29" i="5"/>
  <c r="V29" i="5" s="1"/>
  <c r="T23" i="4"/>
  <c r="U23" i="4" s="1"/>
  <c r="T14" i="4"/>
  <c r="U14" i="4" s="1"/>
  <c r="T21" i="4"/>
  <c r="U21" i="4" s="1"/>
  <c r="T24" i="4"/>
  <c r="U24" i="4" s="1"/>
  <c r="T11" i="4"/>
  <c r="U11" i="4" s="1"/>
  <c r="T9" i="4"/>
  <c r="U9" i="4" s="1"/>
  <c r="T13" i="4"/>
  <c r="U13" i="4" s="1"/>
  <c r="T16" i="4"/>
  <c r="U16" i="4" s="1"/>
  <c r="T25" i="4"/>
  <c r="U25" i="4" s="1"/>
  <c r="T26" i="4"/>
  <c r="U26" i="4" s="1"/>
  <c r="T32" i="4"/>
  <c r="U32" i="4" s="1"/>
  <c r="T33" i="4"/>
  <c r="U33" i="4" s="1"/>
  <c r="T28" i="4"/>
  <c r="U28" i="4" s="1"/>
  <c r="T18" i="4"/>
  <c r="U18" i="4" s="1"/>
  <c r="T15" i="4"/>
  <c r="U15" i="4" s="1"/>
  <c r="T12" i="4"/>
  <c r="U12" i="4" s="1"/>
  <c r="T22" i="4"/>
  <c r="U22" i="4" s="1"/>
  <c r="Y8" i="4"/>
  <c r="T17" i="4"/>
  <c r="U17" i="4" s="1"/>
  <c r="T19" i="4"/>
  <c r="U19" i="4" s="1"/>
  <c r="T29" i="4"/>
  <c r="U29" i="4" s="1"/>
  <c r="T27" i="4"/>
  <c r="U27" i="4" s="1"/>
  <c r="T10" i="4"/>
  <c r="U10" i="4" s="1"/>
  <c r="T30" i="4"/>
  <c r="U30" i="4" s="1"/>
  <c r="T20" i="4"/>
  <c r="U20" i="4" s="1"/>
  <c r="T31" i="4"/>
  <c r="U31" i="4" s="1"/>
  <c r="S8" i="4"/>
  <c r="T8" i="4" s="1"/>
  <c r="I3" i="3"/>
  <c r="D3" i="3"/>
  <c r="Y8" i="3" s="1"/>
  <c r="S8" i="3"/>
  <c r="D3" i="2"/>
  <c r="V29" i="2" s="1"/>
  <c r="W29" i="2" s="1"/>
  <c r="U8" i="2"/>
  <c r="S10" i="22" l="1"/>
  <c r="T10" i="22" s="1"/>
  <c r="S33" i="22"/>
  <c r="T33" i="22" s="1"/>
  <c r="S31" i="22"/>
  <c r="T31" i="22" s="1"/>
  <c r="S23" i="22"/>
  <c r="T23" i="22" s="1"/>
  <c r="S19" i="22"/>
  <c r="T19" i="22" s="1"/>
  <c r="S13" i="22"/>
  <c r="T13" i="22" s="1"/>
  <c r="S11" i="22"/>
  <c r="T11" i="22" s="1"/>
  <c r="S32" i="22"/>
  <c r="T32" i="22" s="1"/>
  <c r="X8" i="22"/>
  <c r="S26" i="22"/>
  <c r="T26" i="22" s="1"/>
  <c r="S22" i="22"/>
  <c r="T22" i="22" s="1"/>
  <c r="S15" i="22"/>
  <c r="T15" i="22" s="1"/>
  <c r="S9" i="22"/>
  <c r="T9" i="22" s="1"/>
  <c r="S30" i="22"/>
  <c r="T30" i="22" s="1"/>
  <c r="S18" i="22"/>
  <c r="T18" i="22" s="1"/>
  <c r="S12" i="22"/>
  <c r="T12" i="22" s="1"/>
  <c r="S21" i="22"/>
  <c r="T21" i="22" s="1"/>
  <c r="S8" i="22"/>
  <c r="S28" i="22"/>
  <c r="T28" i="22" s="1"/>
  <c r="S24" i="22"/>
  <c r="T24" i="22" s="1"/>
  <c r="S20" i="22"/>
  <c r="T20" i="22" s="1"/>
  <c r="S25" i="22"/>
  <c r="T25" i="22" s="1"/>
  <c r="S14" i="22"/>
  <c r="T14" i="22" s="1"/>
  <c r="S29" i="22"/>
  <c r="T29" i="22" s="1"/>
  <c r="S27" i="22"/>
  <c r="T27" i="22" s="1"/>
  <c r="S16" i="22"/>
  <c r="T16" i="22" s="1"/>
  <c r="S17" i="22"/>
  <c r="T17" i="22" s="1"/>
  <c r="T28" i="21"/>
  <c r="U28" i="21" s="1"/>
  <c r="T24" i="21"/>
  <c r="U24" i="21" s="1"/>
  <c r="T11" i="21"/>
  <c r="U11" i="21" s="1"/>
  <c r="T32" i="21"/>
  <c r="U32" i="21" s="1"/>
  <c r="T23" i="21"/>
  <c r="U23" i="21" s="1"/>
  <c r="T14" i="21"/>
  <c r="U14" i="21" s="1"/>
  <c r="T33" i="21"/>
  <c r="U33" i="21" s="1"/>
  <c r="T21" i="21"/>
  <c r="U21" i="21" s="1"/>
  <c r="T12" i="21"/>
  <c r="U12" i="21" s="1"/>
  <c r="T25" i="21"/>
  <c r="U25" i="21" s="1"/>
  <c r="T17" i="21"/>
  <c r="U17" i="21" s="1"/>
  <c r="T8" i="21"/>
  <c r="U8" i="21" s="1"/>
  <c r="T13" i="21"/>
  <c r="U13" i="21" s="1"/>
  <c r="T19" i="21"/>
  <c r="U19" i="21" s="1"/>
  <c r="T27" i="21"/>
  <c r="U27" i="21" s="1"/>
  <c r="T31" i="21"/>
  <c r="U31" i="21" s="1"/>
  <c r="T22" i="21"/>
  <c r="U22" i="21" s="1"/>
  <c r="T20" i="21"/>
  <c r="U20" i="21" s="1"/>
  <c r="T9" i="21"/>
  <c r="U9" i="21" s="1"/>
  <c r="T30" i="21"/>
  <c r="U30" i="21" s="1"/>
  <c r="T15" i="21"/>
  <c r="U15" i="21" s="1"/>
  <c r="T29" i="21"/>
  <c r="U29" i="21" s="1"/>
  <c r="T18" i="21"/>
  <c r="U18" i="21" s="1"/>
  <c r="T10" i="21"/>
  <c r="U10" i="21" s="1"/>
  <c r="T16" i="21"/>
  <c r="U16" i="21" s="1"/>
  <c r="D3" i="20"/>
  <c r="Q8" i="20"/>
  <c r="R8" i="20" s="1"/>
  <c r="R9" i="19"/>
  <c r="S9" i="19" s="1"/>
  <c r="R27" i="19"/>
  <c r="S27" i="19" s="1"/>
  <c r="R26" i="19"/>
  <c r="S26" i="19" s="1"/>
  <c r="R31" i="19"/>
  <c r="S31" i="19" s="1"/>
  <c r="R21" i="19"/>
  <c r="S21" i="19" s="1"/>
  <c r="R24" i="19"/>
  <c r="S24" i="19" s="1"/>
  <c r="R23" i="19"/>
  <c r="S23" i="19" s="1"/>
  <c r="R14" i="19"/>
  <c r="S14" i="19" s="1"/>
  <c r="R11" i="19"/>
  <c r="S11" i="19" s="1"/>
  <c r="R18" i="19"/>
  <c r="S18" i="19" s="1"/>
  <c r="R30" i="19"/>
  <c r="S30" i="19" s="1"/>
  <c r="R13" i="19"/>
  <c r="S13" i="19" s="1"/>
  <c r="R16" i="19"/>
  <c r="S16" i="19" s="1"/>
  <c r="R19" i="19"/>
  <c r="S19" i="19" s="1"/>
  <c r="R22" i="19"/>
  <c r="S22" i="19" s="1"/>
  <c r="R15" i="19"/>
  <c r="S15" i="19" s="1"/>
  <c r="R29" i="19"/>
  <c r="S29" i="19" s="1"/>
  <c r="R32" i="19"/>
  <c r="S32" i="19" s="1"/>
  <c r="R17" i="19"/>
  <c r="S17" i="19" s="1"/>
  <c r="R33" i="19"/>
  <c r="S33" i="19" s="1"/>
  <c r="R10" i="19"/>
  <c r="S10" i="19" s="1"/>
  <c r="R25" i="19"/>
  <c r="S25" i="19" s="1"/>
  <c r="R12" i="19"/>
  <c r="S12" i="19" s="1"/>
  <c r="R28" i="19"/>
  <c r="S28" i="19" s="1"/>
  <c r="R20" i="19"/>
  <c r="S20" i="19" s="1"/>
  <c r="S8" i="19"/>
  <c r="U31" i="5"/>
  <c r="V31" i="5" s="1"/>
  <c r="U11" i="5"/>
  <c r="V11" i="5" s="1"/>
  <c r="U26" i="5"/>
  <c r="V26" i="5" s="1"/>
  <c r="U25" i="5"/>
  <c r="V25" i="5" s="1"/>
  <c r="U10" i="5"/>
  <c r="V10" i="5" s="1"/>
  <c r="Z8" i="5"/>
  <c r="U22" i="5"/>
  <c r="V22" i="5" s="1"/>
  <c r="U8" i="5"/>
  <c r="U32" i="5"/>
  <c r="V32" i="5" s="1"/>
  <c r="U23" i="5"/>
  <c r="V23" i="5" s="1"/>
  <c r="U33" i="5"/>
  <c r="V33" i="5" s="1"/>
  <c r="Y5" i="17"/>
  <c r="Y2" i="17"/>
  <c r="Y2" i="16"/>
  <c r="U8" i="16"/>
  <c r="Y5" i="16"/>
  <c r="Y2" i="15"/>
  <c r="U8" i="15"/>
  <c r="Y5" i="15"/>
  <c r="Y2" i="13"/>
  <c r="U8" i="13"/>
  <c r="Y5" i="13"/>
  <c r="Y2" i="14"/>
  <c r="U8" i="14"/>
  <c r="Y5" i="14"/>
  <c r="Y2" i="11"/>
  <c r="U8" i="11"/>
  <c r="Y5" i="11"/>
  <c r="Y2" i="10"/>
  <c r="U8" i="10"/>
  <c r="Y5" i="10"/>
  <c r="U8" i="9"/>
  <c r="Y2" i="9"/>
  <c r="Y5" i="9"/>
  <c r="U8" i="8"/>
  <c r="Y2" i="8"/>
  <c r="Y5" i="8"/>
  <c r="U2" i="7"/>
  <c r="Q8" i="7"/>
  <c r="U5" i="7"/>
  <c r="V8" i="5"/>
  <c r="Y5" i="4"/>
  <c r="Y2" i="4"/>
  <c r="U8" i="4"/>
  <c r="T23" i="3"/>
  <c r="U23" i="3" s="1"/>
  <c r="T27" i="3"/>
  <c r="U27" i="3" s="1"/>
  <c r="T8" i="3"/>
  <c r="U8" i="3" s="1"/>
  <c r="T28" i="3"/>
  <c r="U28" i="3" s="1"/>
  <c r="T18" i="3"/>
  <c r="U18" i="3" s="1"/>
  <c r="T33" i="3"/>
  <c r="U33" i="3" s="1"/>
  <c r="T15" i="3"/>
  <c r="U15" i="3" s="1"/>
  <c r="T10" i="3"/>
  <c r="U10" i="3" s="1"/>
  <c r="T22" i="3"/>
  <c r="U22" i="3" s="1"/>
  <c r="T13" i="3"/>
  <c r="U13" i="3" s="1"/>
  <c r="T26" i="3"/>
  <c r="U26" i="3" s="1"/>
  <c r="T17" i="3"/>
  <c r="U17" i="3" s="1"/>
  <c r="T32" i="3"/>
  <c r="U32" i="3" s="1"/>
  <c r="T25" i="3"/>
  <c r="U25" i="3" s="1"/>
  <c r="T21" i="3"/>
  <c r="U21" i="3" s="1"/>
  <c r="T11" i="3"/>
  <c r="U11" i="3" s="1"/>
  <c r="T9" i="3"/>
  <c r="U9" i="3" s="1"/>
  <c r="T24" i="3"/>
  <c r="U24" i="3" s="1"/>
  <c r="T31" i="3"/>
  <c r="U31" i="3" s="1"/>
  <c r="T16" i="3"/>
  <c r="U16" i="3" s="1"/>
  <c r="T30" i="3"/>
  <c r="U30" i="3" s="1"/>
  <c r="T20" i="3"/>
  <c r="U20" i="3" s="1"/>
  <c r="T29" i="3"/>
  <c r="U29" i="3" s="1"/>
  <c r="T19" i="3"/>
  <c r="U19" i="3" s="1"/>
  <c r="T14" i="3"/>
  <c r="U14" i="3" s="1"/>
  <c r="T12" i="3"/>
  <c r="U12" i="3" s="1"/>
  <c r="V17" i="2"/>
  <c r="W17" i="2" s="1"/>
  <c r="V26" i="2"/>
  <c r="W26" i="2" s="1"/>
  <c r="V11" i="2"/>
  <c r="W11" i="2" s="1"/>
  <c r="V12" i="2"/>
  <c r="W12" i="2" s="1"/>
  <c r="V31" i="2"/>
  <c r="W31" i="2" s="1"/>
  <c r="V21" i="2"/>
  <c r="W21" i="2" s="1"/>
  <c r="V8" i="2"/>
  <c r="AA2" i="2" s="1"/>
  <c r="O7" i="1" s="1"/>
  <c r="V25" i="2"/>
  <c r="W25" i="2" s="1"/>
  <c r="V18" i="2"/>
  <c r="W18" i="2" s="1"/>
  <c r="V20" i="2"/>
  <c r="W20" i="2" s="1"/>
  <c r="V24" i="2"/>
  <c r="W24" i="2" s="1"/>
  <c r="V13" i="2"/>
  <c r="W13" i="2" s="1"/>
  <c r="V33" i="2"/>
  <c r="W33" i="2" s="1"/>
  <c r="V14" i="2"/>
  <c r="W14" i="2" s="1"/>
  <c r="V28" i="2"/>
  <c r="W28" i="2" s="1"/>
  <c r="V19" i="2"/>
  <c r="W19" i="2" s="1"/>
  <c r="V16" i="2"/>
  <c r="W16" i="2" s="1"/>
  <c r="V15" i="2"/>
  <c r="W15" i="2" s="1"/>
  <c r="V22" i="2"/>
  <c r="W22" i="2" s="1"/>
  <c r="V32" i="2"/>
  <c r="W32" i="2" s="1"/>
  <c r="V27" i="2"/>
  <c r="W27" i="2" s="1"/>
  <c r="V23" i="2"/>
  <c r="W23" i="2" s="1"/>
  <c r="V30" i="2"/>
  <c r="W30" i="2" s="1"/>
  <c r="V9" i="2"/>
  <c r="W9" i="2" s="1"/>
  <c r="V10" i="2"/>
  <c r="W10" i="2" s="1"/>
  <c r="T8" i="22" l="1"/>
  <c r="X2" i="22"/>
  <c r="X5" i="22"/>
  <c r="Y2" i="21"/>
  <c r="Y5" i="21"/>
  <c r="W5" i="19"/>
  <c r="S8" i="20"/>
  <c r="W8" i="20"/>
  <c r="R14" i="20"/>
  <c r="S14" i="20" s="1"/>
  <c r="R23" i="20"/>
  <c r="S23" i="20" s="1"/>
  <c r="R30" i="20"/>
  <c r="S30" i="20" s="1"/>
  <c r="R15" i="20"/>
  <c r="S15" i="20" s="1"/>
  <c r="R20" i="20"/>
  <c r="S20" i="20" s="1"/>
  <c r="R32" i="20"/>
  <c r="S32" i="20" s="1"/>
  <c r="R9" i="20"/>
  <c r="S9" i="20" s="1"/>
  <c r="R17" i="20"/>
  <c r="S17" i="20" s="1"/>
  <c r="R18" i="20"/>
  <c r="S18" i="20" s="1"/>
  <c r="R10" i="20"/>
  <c r="S10" i="20" s="1"/>
  <c r="R13" i="20"/>
  <c r="S13" i="20" s="1"/>
  <c r="R29" i="20"/>
  <c r="S29" i="20" s="1"/>
  <c r="R21" i="20"/>
  <c r="S21" i="20" s="1"/>
  <c r="R22" i="20"/>
  <c r="S22" i="20" s="1"/>
  <c r="R19" i="20"/>
  <c r="S19" i="20" s="1"/>
  <c r="R25" i="20"/>
  <c r="S25" i="20" s="1"/>
  <c r="R33" i="20"/>
  <c r="S33" i="20" s="1"/>
  <c r="R16" i="20"/>
  <c r="S16" i="20" s="1"/>
  <c r="R26" i="20"/>
  <c r="S26" i="20" s="1"/>
  <c r="R28" i="20"/>
  <c r="S28" i="20" s="1"/>
  <c r="R27" i="20"/>
  <c r="S27" i="20" s="1"/>
  <c r="R12" i="20"/>
  <c r="S12" i="20" s="1"/>
  <c r="R24" i="20"/>
  <c r="S24" i="20" s="1"/>
  <c r="R11" i="20"/>
  <c r="S11" i="20" s="1"/>
  <c r="R31" i="20"/>
  <c r="S31" i="20" s="1"/>
  <c r="W2" i="19"/>
  <c r="Z5" i="5"/>
  <c r="Z2" i="5"/>
  <c r="Y5" i="3"/>
  <c r="Y2" i="3"/>
  <c r="AA5" i="2"/>
  <c r="E7" i="1" s="1"/>
  <c r="W8" i="2"/>
  <c r="W5" i="20" l="1"/>
  <c r="W2" i="20"/>
</calcChain>
</file>

<file path=xl/sharedStrings.xml><?xml version="1.0" encoding="utf-8"?>
<sst xmlns="http://schemas.openxmlformats.org/spreadsheetml/2006/main" count="930" uniqueCount="240">
  <si>
    <t>Category</t>
  </si>
  <si>
    <t>Entries</t>
  </si>
  <si>
    <t>Indexes</t>
  </si>
  <si>
    <t>Values</t>
  </si>
  <si>
    <t>MPNs</t>
  </si>
  <si>
    <t>MFGs</t>
  </si>
  <si>
    <t>Distrib PNs</t>
  </si>
  <si>
    <t>Distributors</t>
  </si>
  <si>
    <t>Datasheets</t>
  </si>
  <si>
    <t>Symbols</t>
  </si>
  <si>
    <t>Footprints</t>
  </si>
  <si>
    <t>Resistors</t>
  </si>
  <si>
    <t>Capacitors</t>
  </si>
  <si>
    <t>Inductors</t>
  </si>
  <si>
    <t>Chokes</t>
  </si>
  <si>
    <t>Mechanical</t>
  </si>
  <si>
    <t>Thermal</t>
  </si>
  <si>
    <t>Connectors</t>
  </si>
  <si>
    <t>Fuses</t>
  </si>
  <si>
    <t>Transient</t>
  </si>
  <si>
    <t>DC-DC</t>
  </si>
  <si>
    <t>AC-DC</t>
  </si>
  <si>
    <t>Discreet</t>
  </si>
  <si>
    <t>ICs</t>
  </si>
  <si>
    <t>DB Params</t>
  </si>
  <si>
    <t>Index</t>
  </si>
  <si>
    <t>% Completed</t>
  </si>
  <si>
    <t>MPN</t>
  </si>
  <si>
    <t>Value</t>
  </si>
  <si>
    <t>Size</t>
  </si>
  <si>
    <t>Tolerance</t>
  </si>
  <si>
    <t>Power</t>
  </si>
  <si>
    <t>Voltage</t>
  </si>
  <si>
    <t>Technology</t>
  </si>
  <si>
    <t>Datasheet</t>
  </si>
  <si>
    <t>Symbol</t>
  </si>
  <si>
    <t>Footprint</t>
  </si>
  <si>
    <t>DB Param?</t>
  </si>
  <si>
    <t>Comment</t>
  </si>
  <si>
    <t>Subcategory</t>
  </si>
  <si>
    <t>Entered into DB</t>
  </si>
  <si>
    <t>Complete?</t>
  </si>
  <si>
    <t>0603</t>
  </si>
  <si>
    <t>Thick Film</t>
  </si>
  <si>
    <t>MFHA1206R5000FC</t>
  </si>
  <si>
    <t>https://www.vishay.com/docs/28773/crcwce3.pdf</t>
  </si>
  <si>
    <t>0Dan_Passives:R_US</t>
  </si>
  <si>
    <t>Resistors_SMD:R_0603_1608Metric</t>
  </si>
  <si>
    <t>N/A</t>
  </si>
  <si>
    <t>Blanks</t>
  </si>
  <si>
    <t>% Filled</t>
  </si>
  <si>
    <t>Array</t>
  </si>
  <si>
    <t>MFG</t>
  </si>
  <si>
    <t>Distributor PN</t>
  </si>
  <si>
    <t>Distributor</t>
  </si>
  <si>
    <t>Vishay</t>
  </si>
  <si>
    <t>Digikey</t>
  </si>
  <si>
    <t>283-MFHA1206R5000FCCT-ND</t>
  </si>
  <si>
    <t>1k</t>
  </si>
  <si>
    <t>1206</t>
  </si>
  <si>
    <t>RAVF164DJT1K00CT-ND</t>
  </si>
  <si>
    <t>Stackpole</t>
  </si>
  <si>
    <t>RAVF164DJT1K00</t>
  </si>
  <si>
    <t>https://www.seielect.com/catalog/sei-ravf.pdf</t>
  </si>
  <si>
    <t>10k</t>
  </si>
  <si>
    <t>RAVF164DJT10K0</t>
  </si>
  <si>
    <t>Isolated</t>
  </si>
  <si>
    <t>RAVF164DJT10K0CT-ND</t>
  </si>
  <si>
    <t>4.7k</t>
  </si>
  <si>
    <t>RAVF164DJT4K70</t>
  </si>
  <si>
    <t>RAVF164DJT4K70CT-ND</t>
  </si>
  <si>
    <t>Total Values</t>
  </si>
  <si>
    <t>Total Sizes</t>
  </si>
  <si>
    <t>Total Tolerances</t>
  </si>
  <si>
    <t>Total Powers</t>
  </si>
  <si>
    <t>Total Voltages</t>
  </si>
  <si>
    <t>Total Techs</t>
  </si>
  <si>
    <t>Total MPNs</t>
  </si>
  <si>
    <t>Total MFGs</t>
  </si>
  <si>
    <t>Total Distribs</t>
  </si>
  <si>
    <t>Total Distrib PNs</t>
  </si>
  <si>
    <t>Total Datasheets</t>
  </si>
  <si>
    <t>Total Symbols</t>
  </si>
  <si>
    <t>Total Footprints</t>
  </si>
  <si>
    <t>Total Subcats</t>
  </si>
  <si>
    <t>Total Comments</t>
  </si>
  <si>
    <t>atmega328</t>
  </si>
  <si>
    <t>atmega32u4</t>
  </si>
  <si>
    <t>atmega4809</t>
  </si>
  <si>
    <t>MCUs</t>
  </si>
  <si>
    <t>Polarfire SOCs</t>
  </si>
  <si>
    <t>Arduino Mega</t>
  </si>
  <si>
    <t>Arduino Nano</t>
  </si>
  <si>
    <t>Arduino Micro</t>
  </si>
  <si>
    <t>SI5351A 20-QFN</t>
  </si>
  <si>
    <t>SI5351A 10-MSOP</t>
  </si>
  <si>
    <t>IRM-01-5</t>
  </si>
  <si>
    <t>IRM-02-5</t>
  </si>
  <si>
    <t>IRM-03-5</t>
  </si>
  <si>
    <t>IRM-05-5</t>
  </si>
  <si>
    <t>IRM-01-3.3</t>
  </si>
  <si>
    <t>IRM-02-3.3</t>
  </si>
  <si>
    <t>IRM-03-3.5</t>
  </si>
  <si>
    <t>IRM-05-3.3</t>
  </si>
  <si>
    <t>XH Series</t>
  </si>
  <si>
    <t>3p</t>
  </si>
  <si>
    <t>2p</t>
  </si>
  <si>
    <t>4p</t>
  </si>
  <si>
    <t>5p</t>
  </si>
  <si>
    <t>KK</t>
  </si>
  <si>
    <t>M 2.54</t>
  </si>
  <si>
    <t>F 2.54</t>
  </si>
  <si>
    <t>ThermaWick</t>
  </si>
  <si>
    <t>Heat Sinks</t>
  </si>
  <si>
    <t>Thermal Pads</t>
  </si>
  <si>
    <t>Screws</t>
  </si>
  <si>
    <t>M3-0.5 x6mm</t>
  </si>
  <si>
    <t>Nuts</t>
  </si>
  <si>
    <t>Standoffs</t>
  </si>
  <si>
    <t>CHONK</t>
  </si>
  <si>
    <t>preferred 10 uH</t>
  </si>
  <si>
    <t>10u</t>
  </si>
  <si>
    <t>1u</t>
  </si>
  <si>
    <t>Teensy 4.0</t>
  </si>
  <si>
    <t>Cables</t>
  </si>
  <si>
    <t>Ethernet</t>
  </si>
  <si>
    <t>N002-004-BL</t>
  </si>
  <si>
    <t>Bridges</t>
  </si>
  <si>
    <t>EPC23103ENGRT</t>
  </si>
  <si>
    <t>TVSes</t>
  </si>
  <si>
    <t>MOVs</t>
  </si>
  <si>
    <t>GDTs</t>
  </si>
  <si>
    <t>Misc</t>
  </si>
  <si>
    <t>Silicone Conformal Coating</t>
  </si>
  <si>
    <t>XH Leads</t>
  </si>
  <si>
    <t>XH Housings</t>
  </si>
  <si>
    <t>Microfit Leads</t>
  </si>
  <si>
    <t>Microfit Housings</t>
  </si>
  <si>
    <t>FT232</t>
  </si>
  <si>
    <t>USB</t>
  </si>
  <si>
    <t>Mini R/A</t>
  </si>
  <si>
    <t>B R/A</t>
  </si>
  <si>
    <t>C R/A</t>
  </si>
  <si>
    <t>Edge</t>
  </si>
  <si>
    <t>DDR4</t>
  </si>
  <si>
    <t>Name</t>
  </si>
  <si>
    <t> </t>
  </si>
  <si>
    <t>Temp Co</t>
  </si>
  <si>
    <t>UMK107BJ105KA-T</t>
  </si>
  <si>
    <t>Taiyo Yuden</t>
  </si>
  <si>
    <t>587-2400-1-ND</t>
  </si>
  <si>
    <t>https://www.yuden.co.jp/productdata/catalog/mlcc06_e.pdf</t>
  </si>
  <si>
    <t>X5R</t>
  </si>
  <si>
    <t>587-3258-1-ND</t>
  </si>
  <si>
    <t>LMK107BBJ106MALT</t>
  </si>
  <si>
    <t>311-1343-1-ND</t>
  </si>
  <si>
    <t>YAGEO</t>
  </si>
  <si>
    <t>CC0603ZRY5V9BB104</t>
  </si>
  <si>
    <t>-20+80</t>
  </si>
  <si>
    <t>Y5V</t>
  </si>
  <si>
    <t>100n</t>
  </si>
  <si>
    <t>https://www.yageo.com/upload/media/product/app/datasheet/mlcc/upy-gphc_y5v_6_3v-to-50v.pdf</t>
  </si>
  <si>
    <t>0Dan_Passives:C</t>
  </si>
  <si>
    <t>Capacitors_SMD:C_0603_1608Metric</t>
  </si>
  <si>
    <t>STILL NEED TO MODIFY SQL AND DBL</t>
  </si>
  <si>
    <t>Total Names</t>
  </si>
  <si>
    <t>Total TCs</t>
  </si>
  <si>
    <t>Total Tols</t>
  </si>
  <si>
    <t>Current</t>
  </si>
  <si>
    <t>DCR</t>
  </si>
  <si>
    <t>Total Currents</t>
  </si>
  <si>
    <t>Total DCRs</t>
  </si>
  <si>
    <t>STILL NEED TO MODIFY NAME GEN AND NAMES</t>
  </si>
  <si>
    <t>553-PAC6006.503NLTCT-ND</t>
  </si>
  <si>
    <t>Poles</t>
  </si>
  <si>
    <t>1.8m</t>
  </si>
  <si>
    <t>PAC6006.503NLT</t>
  </si>
  <si>
    <t>Pulse Electronics</t>
  </si>
  <si>
    <t>https://productfinder.pulseelectronics.com/api/open/part-attachments/datasheet/PAC6006.503NLT</t>
  </si>
  <si>
    <t>58u</t>
  </si>
  <si>
    <t>15.5x13.5mm</t>
  </si>
  <si>
    <t>SMD</t>
  </si>
  <si>
    <t>Total Poles'</t>
  </si>
  <si>
    <t>DR331-475BE</t>
  </si>
  <si>
    <t>Bourns Inc.</t>
  </si>
  <si>
    <t>DR331-475BECT-ND</t>
  </si>
  <si>
    <t>https://www.bourns.com/docs/Product-Datasheets/dr331.pdf</t>
  </si>
  <si>
    <t>4.7m</t>
  </si>
  <si>
    <t>7.3x5.4mm</t>
  </si>
  <si>
    <t>380Vrms</t>
  </si>
  <si>
    <t>200m</t>
  </si>
  <si>
    <t>700m</t>
  </si>
  <si>
    <t>SRF0905-102YCT-ND</t>
  </si>
  <si>
    <t>SRF0905-102Y</t>
  </si>
  <si>
    <t>https://www.bourns.com/docs/Product-Datasheets/SRF0905.pdf</t>
  </si>
  <si>
    <t>310m</t>
  </si>
  <si>
    <t>800m</t>
  </si>
  <si>
    <t>80Vdc</t>
  </si>
  <si>
    <t>80vdc</t>
  </si>
  <si>
    <t>9.2x6mm</t>
  </si>
  <si>
    <t>1m</t>
  </si>
  <si>
    <t>Thread Size</t>
  </si>
  <si>
    <t>Length</t>
  </si>
  <si>
    <t>Head Type</t>
  </si>
  <si>
    <t>Material</t>
  </si>
  <si>
    <t>M3x0.5</t>
  </si>
  <si>
    <t>6mm</t>
  </si>
  <si>
    <t>Socket Head</t>
  </si>
  <si>
    <t>18-8</t>
  </si>
  <si>
    <t>McMaster</t>
  </si>
  <si>
    <t>91292A111</t>
  </si>
  <si>
    <t>https://www.mcmaster.com/91292A111/</t>
  </si>
  <si>
    <t>#2-56</t>
  </si>
  <si>
    <t>1/4</t>
  </si>
  <si>
    <t>https://www.mcmaster.com/92196A077/</t>
  </si>
  <si>
    <t>92196A077</t>
  </si>
  <si>
    <t>Total Thread Sizes</t>
  </si>
  <si>
    <t>Total  Lengths</t>
  </si>
  <si>
    <t>Total Head Types</t>
  </si>
  <si>
    <t>Total Materials</t>
  </si>
  <si>
    <t>952-1525-ND</t>
  </si>
  <si>
    <t>Harwin</t>
  </si>
  <si>
    <t>R30-5002002</t>
  </si>
  <si>
    <t>Round</t>
  </si>
  <si>
    <t>Shape</t>
  </si>
  <si>
    <t>Gender</t>
  </si>
  <si>
    <t>F-F</t>
  </si>
  <si>
    <t>20mm</t>
  </si>
  <si>
    <t>https://cdn.harwin.com/pdfs/R30-500.pdf</t>
  </si>
  <si>
    <t>Total Shapes</t>
  </si>
  <si>
    <t>Total Genders</t>
  </si>
  <si>
    <t>Total Lengths</t>
  </si>
  <si>
    <t>Thermal Conductivity</t>
  </si>
  <si>
    <t>20x20x1mm</t>
  </si>
  <si>
    <t>1168-TG-A1780-20-20-1.0-ND</t>
  </si>
  <si>
    <t>Total Therm Conds</t>
  </si>
  <si>
    <t>17.8W/m-k</t>
  </si>
  <si>
    <t>Silicone</t>
  </si>
  <si>
    <t>t-Global Technology</t>
  </si>
  <si>
    <t>TG-A1780-20-20-1.0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</si>
</sst>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7BD38-DD03-45E7-A35E-0C21BD1FE7CE}" name="Table1" displayName="Table1" ref="C6:O21" totalsRowShown="0">
  <autoFilter ref="C6:O21" xr:uid="{B007BD38-DD03-45E7-A35E-0C21BD1FE7CE}"/>
  <tableColumns count="13">
    <tableColumn id="1" xr3:uid="{F3B775CC-6892-4416-A2A6-A72CC9E61CD9}" name="Category"/>
    <tableColumn id="13" xr3:uid="{6D41A2C0-B031-405C-81E7-78C9E01C2978}" name="DB Params"/>
    <tableColumn id="3" xr3:uid="{4EF814E1-62DD-49CA-924A-55AE83BB34FB}" name="Entries"/>
    <tableColumn id="4" xr3:uid="{5BDDE073-2207-456A-ABC7-EC8C1139BC12}" name="Indexes"/>
    <tableColumn id="5" xr3:uid="{974704F1-BD9E-404F-8BA2-A8CA89C442E2}" name="Values"/>
    <tableColumn id="6" xr3:uid="{18F8F9C9-609B-4744-9735-7FBADD1B51FB}" name="MPNs"/>
    <tableColumn id="7" xr3:uid="{629E2B12-AADD-4C52-86C2-C7D5E6B4EB1C}" name="MFGs"/>
    <tableColumn id="8" xr3:uid="{EF8CCE5D-2CF7-4411-9168-6E805C79B684}" name="Distrib PNs"/>
    <tableColumn id="9" xr3:uid="{CA4DFA24-FDAE-448E-9878-50D87A5CE784}" name="Distributors"/>
    <tableColumn id="10" xr3:uid="{67B2EB6C-14EA-4866-B3E7-71F25269DCAD}" name="Datasheets"/>
    <tableColumn id="11" xr3:uid="{0D13D32E-8482-48A6-8A03-BE40E9D6EFDE}" name="Symbols"/>
    <tableColumn id="12" xr3:uid="{0289142F-2541-4E20-B994-B4C7A1902FA8}" name="Footprints"/>
    <tableColumn id="14" xr3:uid="{3A555362-6DB1-4FEE-B095-DC1A5B2FF7D2}" name="% Completed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9FF13B-2348-4EDD-93F5-AAB9AA1702B2}" name="Table33568" displayName="Table33568" ref="C7:M33" totalsRowShown="0">
  <autoFilter ref="C7:M33" xr:uid="{769FF13B-2348-4EDD-93F5-AAB9AA1702B2}"/>
  <tableColumns count="11">
    <tableColumn id="1" xr3:uid="{B040D1B1-1F9A-4EF9-A1F9-E26BDECA3983}" name="Index"/>
    <tableColumn id="14" xr3:uid="{958251FE-09BB-4885-B3B5-8673B5D74F3E}" name="Name"/>
    <tableColumn id="2" xr3:uid="{4C771638-D00E-4253-AC2F-21FCB99755F0}" name="Value"/>
    <tableColumn id="8" xr3:uid="{D304138C-1744-400F-9944-E9108C914E5F}" name="MPN"/>
    <tableColumn id="16" xr3:uid="{CEB9A413-718D-40E0-9269-866151DC8C33}" name="MFG"/>
    <tableColumn id="17" xr3:uid="{0ACAB4D6-8440-4CF4-A446-C144A05AA914}" name="Distributor"/>
    <tableColumn id="18" xr3:uid="{E5A0046A-4BBD-4A30-9992-0DBAA0F91960}" name="Distributor PN"/>
    <tableColumn id="9" xr3:uid="{BE8EA8D2-2659-455E-81F4-ED0449A192E9}" name="Datasheet"/>
    <tableColumn id="10" xr3:uid="{15A2D8EA-EB37-4D68-8844-8E234A430FE0}" name="Symbol"/>
    <tableColumn id="11" xr3:uid="{CE47ED47-C199-4F13-870B-12223E74FD07}" name="Footprint"/>
    <tableColumn id="12" xr3:uid="{01483587-27FA-4188-B330-40E740113201}" name="Comment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ECE9B9-6579-4449-AD88-94B4F1895D21}" name="Table33569" displayName="Table33569" ref="C7:Q33" totalsRowShown="0">
  <autoFilter ref="C7:Q33" xr:uid="{D4ECE9B9-6579-4449-AD88-94B4F1895D21}"/>
  <tableColumns count="15">
    <tableColumn id="1" xr3:uid="{284CB487-B39A-405B-8DAF-2EB1825DFC4F}" name="Index"/>
    <tableColumn id="14" xr3:uid="{EA7F4BD1-0181-454A-8B5D-A4545817D54D}" name="Name"/>
    <tableColumn id="2" xr3:uid="{BC2FBB72-14F2-426F-B5C4-AB972F6283FC}" name="Value"/>
    <tableColumn id="3" xr3:uid="{E8528B9D-CD39-4EA8-9AC8-2FB367659141}" name="Size" dataDxfId="49"/>
    <tableColumn id="6" xr3:uid="{F261A47A-8556-4229-883B-2A23D5AD77E3}" name="Current"/>
    <tableColumn id="7" xr3:uid="{94210E48-D339-47E0-8137-C2DE30A58E26}" name="DCR"/>
    <tableColumn id="19" xr3:uid="{10DFD207-E2F0-4BB5-A6D3-30374271B296}" name="Tolerance"/>
    <tableColumn id="8" xr3:uid="{27766A65-9139-44D9-A562-8ABABB390584}" name="MPN"/>
    <tableColumn id="16" xr3:uid="{A9E61B0C-4012-4A86-95EB-4403016DFDCC}" name="MFG"/>
    <tableColumn id="17" xr3:uid="{66720BE1-8AEA-4E85-AEC9-109BEEA41CE8}" name="Distributor"/>
    <tableColumn id="18" xr3:uid="{14C0DBB9-E463-4398-84CB-766464A4AD16}" name="Distributor PN"/>
    <tableColumn id="9" xr3:uid="{191418BD-6B1D-4995-83A0-D7F349093A26}" name="Datasheet"/>
    <tableColumn id="10" xr3:uid="{E0CF1A17-F553-42AA-BC5E-9D8BB552237C}" name="Symbol"/>
    <tableColumn id="11" xr3:uid="{E613A156-5A2D-4607-AA3A-EEDB699D7D46}" name="Footprint"/>
    <tableColumn id="12" xr3:uid="{F4BEBE2E-FDE8-4E4A-959B-BF52E044DA5A}" name="Comment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AEFCF3-7662-4086-A718-0CDE04FC7988}" name="Table335610" displayName="Table335610" ref="C7:Q33" totalsRowShown="0">
  <autoFilter ref="C7:Q33" xr:uid="{CFAEFCF3-7662-4086-A718-0CDE04FC7988}"/>
  <tableColumns count="15">
    <tableColumn id="1" xr3:uid="{236108DB-DD50-418B-A864-4DBAB3AF4EED}" name="Index"/>
    <tableColumn id="14" xr3:uid="{84DD6624-E352-4689-AB7B-3427FAB78BD4}" name="Name"/>
    <tableColumn id="2" xr3:uid="{945D93E7-4DAB-4BF3-98F6-86B9B8DAA39D}" name="Value"/>
    <tableColumn id="3" xr3:uid="{F0F700C9-F977-4033-B9AC-90FB67BEEA9C}" name="Size" dataDxfId="48"/>
    <tableColumn id="6" xr3:uid="{12A834F6-CF8B-4752-9CAB-00112E38A92E}" name="Current"/>
    <tableColumn id="7" xr3:uid="{12CB3533-9DD6-47A7-ABA8-3C5B6ADC8372}" name="DCR"/>
    <tableColumn id="19" xr3:uid="{65225FEF-5D11-4FA1-820C-FBE8A66F34FC}" name="Tolerance"/>
    <tableColumn id="8" xr3:uid="{1DC21BB0-B397-44AB-95F5-6CD538854AFF}" name="MPN"/>
    <tableColumn id="16" xr3:uid="{ED96CD52-8604-40D2-8A5F-F46CB391521B}" name="MFG"/>
    <tableColumn id="17" xr3:uid="{AF8AE414-D478-4ECC-93FC-8B503F34211D}" name="Distributor"/>
    <tableColumn id="18" xr3:uid="{B2EB609A-C3A4-471F-8445-18878C494625}" name="Distributor PN"/>
    <tableColumn id="9" xr3:uid="{E04323E6-926D-431D-BE60-AC2004DC4BE3}" name="Datasheet"/>
    <tableColumn id="10" xr3:uid="{2167D8CB-8F52-4CFA-9D8B-12D38F7A30E3}" name="Symbol"/>
    <tableColumn id="11" xr3:uid="{16D373B0-A5F5-4111-B35D-64AA49A7C427}" name="Footprint"/>
    <tableColumn id="12" xr3:uid="{19509E52-7FF0-4737-BDAC-23C77172D08B}" name="Comment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1609F6-22B7-4DBC-9DAD-0E6DDF384A71}" name="Table335611" displayName="Table335611" ref="C7:Q33" totalsRowShown="0">
  <autoFilter ref="C7:Q33" xr:uid="{FB1609F6-22B7-4DBC-9DAD-0E6DDF384A71}"/>
  <tableColumns count="15">
    <tableColumn id="1" xr3:uid="{C318D807-D4FE-4C17-90D9-4C0291B0E3DE}" name="Index"/>
    <tableColumn id="14" xr3:uid="{E2B94B78-4A29-4F63-84FA-DC065841F5AB}" name="Name"/>
    <tableColumn id="2" xr3:uid="{8162BF28-BE10-46A1-909E-54109D8A6724}" name="Value"/>
    <tableColumn id="3" xr3:uid="{A1432386-ED9D-4713-993D-08C0C63023EA}" name="Size" dataDxfId="47"/>
    <tableColumn id="6" xr3:uid="{35C55AA7-6C58-432A-9FA7-4B2FE355BFC0}" name="Current"/>
    <tableColumn id="7" xr3:uid="{2321FA87-FDBB-42CE-8520-4471E21348C7}" name="DCR"/>
    <tableColumn id="19" xr3:uid="{404A9B92-BF51-49A8-8361-98934D3E120F}" name="Tolerance"/>
    <tableColumn id="8" xr3:uid="{A341E176-0EC0-4D67-9725-D47A689E8902}" name="MPN"/>
    <tableColumn id="16" xr3:uid="{57727622-A8B0-4A43-BFC5-6BB578F50A1E}" name="MFG"/>
    <tableColumn id="17" xr3:uid="{3F9E9360-2570-4802-96DF-3F62D25DF3C9}" name="Distributor"/>
    <tableColumn id="18" xr3:uid="{987531C4-D8B9-4742-8CBD-4EF7D054D078}" name="Distributor PN"/>
    <tableColumn id="9" xr3:uid="{B0FF3B7B-990D-4B8C-8F23-FC3F3C01EB48}" name="Datasheet"/>
    <tableColumn id="10" xr3:uid="{56D65B5A-43DF-4884-81A3-DD48D6CBC3F6}" name="Symbol"/>
    <tableColumn id="11" xr3:uid="{9BB351D0-09CC-41ED-87B9-4F944A0E342A}" name="Footprint"/>
    <tableColumn id="12" xr3:uid="{CE6C0B2D-8BB7-4CA6-9CBC-6195C86D8D84}" name="Comment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952E41-8F91-4009-8BC7-0C5F56087922}" name="Table335612" displayName="Table335612" ref="C7:Q33" totalsRowShown="0">
  <autoFilter ref="C7:Q33" xr:uid="{2B952E41-8F91-4009-8BC7-0C5F56087922}"/>
  <tableColumns count="15">
    <tableColumn id="1" xr3:uid="{14DA0825-F0AB-443A-9AB4-FDFCC970FF75}" name="Index"/>
    <tableColumn id="14" xr3:uid="{B561A364-2AF8-4DEC-AA24-7E354CB8BF55}" name="Name"/>
    <tableColumn id="2" xr3:uid="{12CDA2E8-D2B4-4DE4-8595-2CAD0D784240}" name="Value"/>
    <tableColumn id="3" xr3:uid="{B097463D-5770-4CC5-B0DD-DF02889B33B9}" name="Size" dataDxfId="46"/>
    <tableColumn id="6" xr3:uid="{30381788-5946-4592-85C4-24EA7AF4DFE6}" name="Current"/>
    <tableColumn id="7" xr3:uid="{124F68E9-79AA-4A23-BF63-97117B33B1C4}" name="DCR"/>
    <tableColumn id="19" xr3:uid="{147603A6-ADA5-43E7-AECF-93B75AAABF3F}" name="Tolerance"/>
    <tableColumn id="8" xr3:uid="{258ED146-7664-4DD6-8ED3-6779F00DEBFD}" name="MPN"/>
    <tableColumn id="16" xr3:uid="{C5FF1B54-E352-4CD7-A3A8-B3EF8D5BEF32}" name="MFG"/>
    <tableColumn id="17" xr3:uid="{BE69ECB0-1EEF-42D1-B07D-3B8E7CBADC1B}" name="Distributor"/>
    <tableColumn id="18" xr3:uid="{389D446A-2E55-4B72-A7BB-3468C68CE5D3}" name="Distributor PN"/>
    <tableColumn id="9" xr3:uid="{AC2621F1-BBFA-4AB0-8D88-A66AF74CAA66}" name="Datasheet"/>
    <tableColumn id="10" xr3:uid="{1E7C5483-5FF5-4E3D-B525-05817C98F943}" name="Symbol"/>
    <tableColumn id="11" xr3:uid="{9F8F5299-1BB3-4C79-A567-DADD389D09B9}" name="Footprint"/>
    <tableColumn id="12" xr3:uid="{08ACCAE8-5D61-4F62-B4AB-FF65B622664E}" name="Comment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F8CB41-F720-4E60-82EA-1A084E16D28A}" name="Table335613" displayName="Table335613" ref="C7:Q33" totalsRowShown="0">
  <autoFilter ref="C7:Q33" xr:uid="{0AF8CB41-F720-4E60-82EA-1A084E16D28A}"/>
  <tableColumns count="15">
    <tableColumn id="1" xr3:uid="{42AAF6D2-5034-4E42-8CD5-47B7FACACF30}" name="Index"/>
    <tableColumn id="14" xr3:uid="{518646C2-5F27-450C-A746-231D74940EF1}" name="Name"/>
    <tableColumn id="2" xr3:uid="{8A5F965A-B8F6-4403-A41A-DC3825FF0445}" name="Value"/>
    <tableColumn id="3" xr3:uid="{A8CB185E-550B-48F0-A121-B966C9FCC74C}" name="Size" dataDxfId="45"/>
    <tableColumn id="6" xr3:uid="{DC1CB182-2FB2-46D8-AE16-EB7A1E45D3EF}" name="Current"/>
    <tableColumn id="7" xr3:uid="{450E48A8-6412-471A-B9CF-7B5EEC84C352}" name="DCR"/>
    <tableColumn id="19" xr3:uid="{61A0C84F-59BF-4938-9256-DA3D5AF2B8DE}" name="Tolerance"/>
    <tableColumn id="8" xr3:uid="{4014422C-6635-4CBB-AD9D-9D1938C49C6A}" name="MPN"/>
    <tableColumn id="16" xr3:uid="{86BCB905-4DCD-4055-A7F1-C23D46CB9EDF}" name="MFG"/>
    <tableColumn id="17" xr3:uid="{D09809E5-64B8-470A-AEE0-96569223C7BF}" name="Distributor"/>
    <tableColumn id="18" xr3:uid="{ED5D047E-1984-43D4-BD0B-C62527ED6B5B}" name="Distributor PN"/>
    <tableColumn id="9" xr3:uid="{C647BE3A-04F6-48F8-B09E-75B76DF3F23C}" name="Datasheet"/>
    <tableColumn id="10" xr3:uid="{749A0E33-1F0E-446F-9DE6-481CDD1C62DE}" name="Symbol"/>
    <tableColumn id="11" xr3:uid="{B2724B91-8E29-4C56-8C55-9547F8B89367}" name="Footprint"/>
    <tableColumn id="12" xr3:uid="{9A10A3FE-BDC2-46F9-89B6-228EBA823616}" name="Comment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2095DA8-39B2-4A13-82E9-0BDBB2A4C8E6}" name="Table335614" displayName="Table335614" ref="C7:Q33" totalsRowShown="0">
  <autoFilter ref="C7:Q33" xr:uid="{D2095DA8-39B2-4A13-82E9-0BDBB2A4C8E6}"/>
  <tableColumns count="15">
    <tableColumn id="1" xr3:uid="{8480A0DB-69C8-4E9C-9331-2CA93AADC648}" name="Index"/>
    <tableColumn id="14" xr3:uid="{16F0FB00-4C78-4193-8C7A-70CA67D926AF}" name="Name"/>
    <tableColumn id="2" xr3:uid="{75ECF015-A63B-47E0-95D2-3D85F705C1CC}" name="Value"/>
    <tableColumn id="3" xr3:uid="{5517F8F5-52A1-43F9-9080-BCF46BE26B4F}" name="Size" dataDxfId="44"/>
    <tableColumn id="6" xr3:uid="{05508699-B055-428C-A278-83D10269B4CF}" name="Current"/>
    <tableColumn id="7" xr3:uid="{A462DB9C-58BD-4E68-9CE8-BDFBDCA20919}" name="DCR"/>
    <tableColumn id="19" xr3:uid="{1296C1AE-8C35-49DC-8AF0-B70533A88AFE}" name="Tolerance"/>
    <tableColumn id="8" xr3:uid="{678113AE-5698-4B36-B8BA-9ED7F4BE020F}" name="MPN"/>
    <tableColumn id="16" xr3:uid="{D9FD48BE-8168-490E-ADC9-DB7CB93E3EC9}" name="MFG"/>
    <tableColumn id="17" xr3:uid="{0D5309EF-8EB9-47B8-83FA-59FEFD5E2F63}" name="Distributor"/>
    <tableColumn id="18" xr3:uid="{24C5BD6A-4940-4A4C-8F55-35199357279F}" name="Distributor PN"/>
    <tableColumn id="9" xr3:uid="{A9116D3C-4B8C-49F9-871D-6B0BEA718E09}" name="Datasheet"/>
    <tableColumn id="10" xr3:uid="{B4F8F624-3457-403E-82C2-D1DDD1F24A96}" name="Symbol"/>
    <tableColumn id="11" xr3:uid="{E750D49F-6AAD-4EBE-BDFF-C0B79CBDFA7A}" name="Footprint"/>
    <tableColumn id="12" xr3:uid="{87C5B180-4045-443E-9DAB-1F5586F2069B}" name="Comment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ECDCF38-1F8F-495E-8295-7D41D7ADFF25}" name="Table335615" displayName="Table335615" ref="C7:Q33" totalsRowShown="0">
  <autoFilter ref="C7:Q33" xr:uid="{6ECDCF38-1F8F-495E-8295-7D41D7ADFF25}"/>
  <tableColumns count="15">
    <tableColumn id="1" xr3:uid="{49F6B6D3-6BAF-4505-B2D0-4C5B272A098D}" name="Index"/>
    <tableColumn id="14" xr3:uid="{54C795AD-BA0A-44B3-A2A2-199C53F6F826}" name="Name"/>
    <tableColumn id="2" xr3:uid="{0143630A-4F26-4799-9176-BBD602D80AEB}" name="Value"/>
    <tableColumn id="3" xr3:uid="{CB0A6066-A664-4542-AC98-88FDA9C8048D}" name="Size" dataDxfId="43"/>
    <tableColumn id="6" xr3:uid="{38CC3492-94B0-4B5D-9130-DA796E372E8E}" name="Current"/>
    <tableColumn id="7" xr3:uid="{87D49F86-59B2-473F-BF67-116CF16F7D61}" name="DCR"/>
    <tableColumn id="19" xr3:uid="{2B21B2E5-879B-40F1-90F1-1DB8F234C552}" name="Tolerance"/>
    <tableColumn id="8" xr3:uid="{9FF67DC6-48EF-47E9-B6CD-D5845D4BB06C}" name="MPN"/>
    <tableColumn id="16" xr3:uid="{8C6174F6-C759-40FE-9ED2-4F691F49E437}" name="MFG"/>
    <tableColumn id="17" xr3:uid="{4AB91FF9-AEBD-4634-AE45-163499B7F0DF}" name="Distributor"/>
    <tableColumn id="18" xr3:uid="{F755C679-1257-4604-ACC2-11CE02C0A51A}" name="Distributor PN"/>
    <tableColumn id="9" xr3:uid="{9B4C2CFD-4319-49A8-9D44-2040F6478A6A}" name="Datasheet"/>
    <tableColumn id="10" xr3:uid="{24A1E42D-B029-4258-A13E-5C062CC6E2B1}" name="Symbol"/>
    <tableColumn id="11" xr3:uid="{ADA5E3C2-5921-4F16-A0CE-6B9FC384E632}" name="Footprint"/>
    <tableColumn id="12" xr3:uid="{88E4D226-455F-417B-A062-61DDF5690475}" name="Comment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858B1C9-AF8E-49B5-B776-5A1641FC290E}" name="Table335616" displayName="Table335616" ref="C7:Q33" totalsRowShown="0">
  <autoFilter ref="C7:Q33" xr:uid="{E858B1C9-AF8E-49B5-B776-5A1641FC290E}"/>
  <tableColumns count="15">
    <tableColumn id="1" xr3:uid="{4639D70F-7F78-4D84-9998-E3E8D633E84B}" name="Index"/>
    <tableColumn id="14" xr3:uid="{C1A5D357-4BD1-46E7-800A-3EC606FFD993}" name="Name"/>
    <tableColumn id="2" xr3:uid="{B7707BBE-AC4B-44A3-A5B3-72E1D8CEB0FE}" name="Value"/>
    <tableColumn id="3" xr3:uid="{00EA4C87-B1BE-4FAA-992F-04C98E165892}" name="Size" dataDxfId="42"/>
    <tableColumn id="6" xr3:uid="{2AE011FB-6AC7-4593-8337-DECC0501D3E0}" name="Current"/>
    <tableColumn id="7" xr3:uid="{9CFCF21A-8ACF-4AF4-BD3C-38FEE6034159}" name="DCR"/>
    <tableColumn id="19" xr3:uid="{ADECD8AC-537C-4A86-9893-CF2458EE8D60}" name="Tolerance"/>
    <tableColumn id="8" xr3:uid="{9FA625C9-A685-4A19-9DE2-20B1E968B3C2}" name="MPN"/>
    <tableColumn id="16" xr3:uid="{396FCD6C-E916-473D-B977-A9D2607EB0CE}" name="MFG"/>
    <tableColumn id="17" xr3:uid="{86B78CD8-08C3-41FD-BA74-928A118E7A58}" name="Distributor"/>
    <tableColumn id="18" xr3:uid="{602DC94F-D9A4-493E-8631-E032E5D3E9A4}" name="Distributor PN"/>
    <tableColumn id="9" xr3:uid="{8BBCD30D-DB0D-48CD-9D2B-B2DCD2C7A9F0}" name="Datasheet"/>
    <tableColumn id="10" xr3:uid="{BA54BE02-927C-4099-B96F-BD8F83E1E842}" name="Symbol"/>
    <tableColumn id="11" xr3:uid="{C42AED0D-D576-4831-90C6-8BBF193632ED}" name="Footprint"/>
    <tableColumn id="12" xr3:uid="{74BE24EF-3C4C-44BC-A810-99FEBA0947F2}" name="Comment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A80DDE6-47C6-4B79-BD52-6842A2A3FA6D}" name="Table335617" displayName="Table335617" ref="C7:Q33" totalsRowShown="0">
  <autoFilter ref="C7:Q33" xr:uid="{5A80DDE6-47C6-4B79-BD52-6842A2A3FA6D}"/>
  <tableColumns count="15">
    <tableColumn id="1" xr3:uid="{979CE817-9F0B-4352-9418-846A62473B0E}" name="Index"/>
    <tableColumn id="14" xr3:uid="{3C4264B8-0910-4C92-9CAB-A8C59BCC912F}" name="Name"/>
    <tableColumn id="2" xr3:uid="{E6C661AD-75F1-4C26-B52B-B04EF86ED7D1}" name="Value"/>
    <tableColumn id="3" xr3:uid="{40DCB340-E494-481A-A722-43C1031A879E}" name="Size" dataDxfId="41"/>
    <tableColumn id="6" xr3:uid="{E82BD869-F678-4A31-9222-AB266E1B6EAA}" name="Current"/>
    <tableColumn id="7" xr3:uid="{2D85CD87-8F81-43A8-9BA0-C5574FECCC6C}" name="DCR"/>
    <tableColumn id="19" xr3:uid="{2188B734-8E45-485D-BE7F-51EB85C5F489}" name="Tolerance"/>
    <tableColumn id="8" xr3:uid="{FBD93527-04E4-4768-9D43-F7B93477C480}" name="MPN"/>
    <tableColumn id="16" xr3:uid="{797B990F-AD42-4154-A7B8-E0094C78883C}" name="MFG"/>
    <tableColumn id="17" xr3:uid="{BA57B286-9E27-47B2-82DA-515040A63CE0}" name="Distributor"/>
    <tableColumn id="18" xr3:uid="{32C2C66A-971F-4BCE-8AB6-A5177FB917C6}" name="Distributor PN"/>
    <tableColumn id="9" xr3:uid="{EDAE5798-BB2A-4DF9-902C-AB0740CD7E04}" name="Datasheet"/>
    <tableColumn id="10" xr3:uid="{9165035A-EBCF-4618-B8F3-2768EB872683}" name="Symbol"/>
    <tableColumn id="11" xr3:uid="{542E4A80-74D1-423E-8053-E084C3F969E0}" name="Footprint"/>
    <tableColumn id="12" xr3:uid="{303319DC-1771-4BD8-8128-1316661E16A8}" name="Comme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10E042-D9E3-4A02-8A8F-1BC5F35B73A5}" name="Table3" displayName="Table3" ref="C7:S33" totalsRowShown="0">
  <autoFilter ref="C7:S33" xr:uid="{9110E042-D9E3-4A02-8A8F-1BC5F35B73A5}"/>
  <tableColumns count="17">
    <tableColumn id="1" xr3:uid="{41AD97C4-6008-4F8C-8A13-76C7C251EF59}" name="Index"/>
    <tableColumn id="14" xr3:uid="{B188C8F3-2D6C-48E3-A87A-EB8832AE7488}" name="Name"/>
    <tableColumn id="2" xr3:uid="{297BA5FE-2C50-4017-8372-6D6FC4B7DDA9}" name="Value"/>
    <tableColumn id="3" xr3:uid="{DE9D50E5-3DCF-4E9F-BDAD-6630162C9BBC}" name="Size" dataDxfId="53"/>
    <tableColumn id="4" xr3:uid="{43DF21E3-E9C3-4F81-B2A9-004618BF6387}" name="Tolerance"/>
    <tableColumn id="5" xr3:uid="{DAFB9311-44F4-47BE-8000-DCF292A41645}" name="Power"/>
    <tableColumn id="6" xr3:uid="{7C0CB763-F335-4F2E-9BCF-B912223A0128}" name="Voltage"/>
    <tableColumn id="7" xr3:uid="{88002CC2-7853-4060-B6CC-BD460C965A57}" name="Technology"/>
    <tableColumn id="8" xr3:uid="{534DD77B-5C88-48E8-BAED-7588E9D1F4E8}" name="MPN"/>
    <tableColumn id="16" xr3:uid="{CAF4344F-CBD4-4D74-86D7-215327AF2F83}" name="MFG"/>
    <tableColumn id="17" xr3:uid="{E2215D26-76EC-4B77-ADF6-58CFEB0B7A39}" name="Distributor"/>
    <tableColumn id="18" xr3:uid="{F3B11860-B910-4B21-BB09-FF99D66B2A2B}" name="Distributor PN"/>
    <tableColumn id="9" xr3:uid="{5EFBC843-FE90-41CF-BD04-7FA07F9E9E02}" name="Datasheet"/>
    <tableColumn id="10" xr3:uid="{DC050B46-57A8-41AD-A6E4-49EAFB439243}" name="Symbol"/>
    <tableColumn id="11" xr3:uid="{1599B739-0B6F-41CF-ADC1-F28BC328B278}" name="Footprint"/>
    <tableColumn id="13" xr3:uid="{973E92CF-17BA-4A5B-9DEA-C8181EEB1DB6}" name="Subcategory"/>
    <tableColumn id="12" xr3:uid="{2E1D6495-E95E-43F0-8000-DFFA4EB4258F}" name="Commen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CF874-09A5-412E-99F8-DEB119BB4024}" name="Table33" displayName="Table33" ref="C7:Q33" totalsRowShown="0">
  <autoFilter ref="C7:Q33" xr:uid="{33FCF874-09A5-412E-99F8-DEB119BB4024}"/>
  <tableColumns count="15">
    <tableColumn id="1" xr3:uid="{ECEF8A5C-1463-4FCF-9EC7-25B96A527C88}" name="Index"/>
    <tableColumn id="14" xr3:uid="{C501E9D6-D59F-4A09-9C84-FE124BF528BA}" name="Name"/>
    <tableColumn id="2" xr3:uid="{F6C422C1-50C4-4DE0-8306-5B7BABBE6B42}" name="Value"/>
    <tableColumn id="3" xr3:uid="{CBB706BD-E57D-4CCE-B92A-EE1E70B659CA}" name="Size" dataDxfId="52"/>
    <tableColumn id="6" xr3:uid="{525F01FB-3EF6-4E0D-B7F9-62189C337E9C}" name="Voltage"/>
    <tableColumn id="7" xr3:uid="{8549ACD9-D086-4BB3-997C-5E0D0A032370}" name="Temp Co"/>
    <tableColumn id="19" xr3:uid="{B77AC302-7582-4382-8CF9-CC981E38E51B}" name="Tolerance"/>
    <tableColumn id="8" xr3:uid="{CCCDB3D5-6A71-4FA5-AED8-B610EFA3DFD4}" name="MPN"/>
    <tableColumn id="16" xr3:uid="{A1813956-90AA-42FA-BCA6-9BDEB1E75C8D}" name="MFG"/>
    <tableColumn id="17" xr3:uid="{F9E785F8-3577-4588-83DB-6A90F0F378F9}" name="Distributor"/>
    <tableColumn id="18" xr3:uid="{B6403C8A-9181-43DF-9245-C429BA99A081}" name="Distributor PN"/>
    <tableColumn id="9" xr3:uid="{2100F8C0-2DB6-4147-B685-D9480562EDB3}" name="Datasheet"/>
    <tableColumn id="10" xr3:uid="{C3269B4D-BD58-4281-A681-EACE65E151B5}" name="Symbol"/>
    <tableColumn id="11" xr3:uid="{12C94435-F3E5-49E1-9259-0D6AF0CD81FD}" name="Footprint"/>
    <tableColumn id="12" xr3:uid="{3D9A5B65-3BE2-4FA3-BE89-1166521321FC}" name="Commen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B5B41F-2F68-4781-AC5C-ECB50FBCBF94}" name="Table335" displayName="Table335" ref="C7:Q33" totalsRowShown="0">
  <autoFilter ref="C7:Q33" xr:uid="{EAB5B41F-2F68-4781-AC5C-ECB50FBCBF94}"/>
  <tableColumns count="15">
    <tableColumn id="1" xr3:uid="{0494E460-C3B7-492A-8E6C-C4DE9CEAB441}" name="Index"/>
    <tableColumn id="14" xr3:uid="{1EB8C059-FB3D-461F-905C-87A4EA8F65A7}" name="Name"/>
    <tableColumn id="2" xr3:uid="{EBF9AD95-DE1B-4D66-90D9-8726EC790744}" name="Value"/>
    <tableColumn id="3" xr3:uid="{10CD3819-305B-41F9-AA3B-64F68709CB83}" name="Size" dataDxfId="51"/>
    <tableColumn id="6" xr3:uid="{9E360ADF-88F0-4235-AA3A-F88BA17DEBF6}" name="Current"/>
    <tableColumn id="7" xr3:uid="{98A7E0E3-6BE9-4BA8-9DD1-7CEF053EF6F5}" name="DCR"/>
    <tableColumn id="19" xr3:uid="{E85652AC-8603-42F2-ADC3-0414611DD965}" name="Tolerance"/>
    <tableColumn id="8" xr3:uid="{D2CEF75E-4D99-4EDF-BAE5-3137B7E0BDB4}" name="MPN"/>
    <tableColumn id="16" xr3:uid="{E55D4F30-F855-4FBB-B3CB-3C6BF64019A5}" name="MFG"/>
    <tableColumn id="17" xr3:uid="{13F94E71-8A1B-4824-B6E7-C65C86CF2C63}" name="Distributor"/>
    <tableColumn id="18" xr3:uid="{99099D4A-AA1B-4704-9316-95FC0CB38A9F}" name="Distributor PN"/>
    <tableColumn id="9" xr3:uid="{6429CE9A-A404-4B0A-B349-A90F4D9FA165}" name="Datasheet"/>
    <tableColumn id="10" xr3:uid="{CA43764F-64B3-45D4-BBF2-3D83A05A2F87}" name="Symbol"/>
    <tableColumn id="11" xr3:uid="{B17E76DB-D19D-4AF3-AC2C-A97AA13D8ECC}" name="Footprint"/>
    <tableColumn id="12" xr3:uid="{361CD937-7CB4-4425-AB93-2CB47E3BD73D}" name="Comm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BD462A-208F-436B-A44F-A919E542EFFF}" name="Table3356" displayName="Table3356" ref="C7:R33" totalsRowShown="0">
  <autoFilter ref="C7:R33" xr:uid="{2DBD462A-208F-436B-A44F-A919E542EFFF}"/>
  <tableColumns count="16">
    <tableColumn id="1" xr3:uid="{CE2C027A-BAB7-435A-A056-56DF0C060766}" name="Index"/>
    <tableColumn id="14" xr3:uid="{CF48866E-31C4-4A19-AB7E-259A5D7E71E1}" name="Name"/>
    <tableColumn id="2" xr3:uid="{9193E704-BFFC-413E-8C48-13039A3EBF28}" name="Value"/>
    <tableColumn id="3" xr3:uid="{713B5FA8-4A52-454D-876C-66442DDA6EE6}" name="Size" dataDxfId="50"/>
    <tableColumn id="4" xr3:uid="{13F2D848-5F85-407B-B97B-5E4978B6157C}" name="Voltage" dataDxfId="40"/>
    <tableColumn id="6" xr3:uid="{19143FD8-193C-4B11-9017-96F1CECA08F5}" name="Current"/>
    <tableColumn id="7" xr3:uid="{43CAB830-1941-48FD-99FF-899489BFCD34}" name="DCR"/>
    <tableColumn id="5" xr3:uid="{5D08B682-C843-43C8-AD16-05B0296E718C}" name="Poles"/>
    <tableColumn id="8" xr3:uid="{93815D72-D8AD-4E41-A4CC-839BD1765067}" name="MPN"/>
    <tableColumn id="16" xr3:uid="{30D549B9-D516-4FC6-91A0-9DE76D0A885C}" name="MFG"/>
    <tableColumn id="17" xr3:uid="{77A1B005-BFB6-486C-9B85-55FED844E4A8}" name="Distributor"/>
    <tableColumn id="18" xr3:uid="{6E02734E-1F27-4275-B2B8-E87F399D1BB6}" name="Distributor PN"/>
    <tableColumn id="9" xr3:uid="{BE589868-E454-4AEE-8367-7053B2E9CBA7}" name="Datasheet"/>
    <tableColumn id="10" xr3:uid="{D0CE669D-56F5-46EB-8279-2DA471C5BB12}" name="Symbol"/>
    <tableColumn id="11" xr3:uid="{91A0398A-C6A6-4997-B1A9-DBA20073831C}" name="Footprint"/>
    <tableColumn id="12" xr3:uid="{75553B13-345A-4670-8DF8-F7BD569DA7E3}" name="Comment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7FE0F06-02A1-4D72-B7CD-A829D3B7A4F0}" name="Table33567181920" displayName="Table33567181920" ref="C7:O33" totalsRowShown="0">
  <autoFilter ref="C7:O33" xr:uid="{276D6C88-6D1A-4613-8017-5F518A730001}"/>
  <tableColumns count="13">
    <tableColumn id="1" xr3:uid="{B0F5F084-7556-4C56-A655-C8A5D3AAD62C}" name="Index"/>
    <tableColumn id="14" xr3:uid="{4E5EEB05-BEA1-4F85-A6A8-8D30EE4D7341}" name="Name"/>
    <tableColumn id="2" xr3:uid="{81E179BA-FB5A-4BC5-814F-986C5382C585}" name="Value"/>
    <tableColumn id="3" xr3:uid="{5122CA89-6779-49B4-861A-32C014043EAE}" name="Thread Size" dataDxfId="38"/>
    <tableColumn id="6" xr3:uid="{8C7130FD-BDF6-47A5-B863-65CC90D47AC3}" name="Length" dataDxfId="37"/>
    <tableColumn id="7" xr3:uid="{61E5A2B4-8569-453C-84BD-E9120B85DE7D}" name="Head Type"/>
    <tableColumn id="4" xr3:uid="{5068596F-0434-437E-BD3D-ABAA0C30F678}" name="Material"/>
    <tableColumn id="17" xr3:uid="{EE097367-DC3B-4D4B-BF22-B3E3F572189D}" name="Distributor"/>
    <tableColumn id="18" xr3:uid="{326C1DA1-29E2-4E0A-B3DF-8DF6449AEAEB}" name="Distributor PN"/>
    <tableColumn id="9" xr3:uid="{0C1FD014-CC9D-4698-92D3-48DC72D9B4F1}" name="Datasheet"/>
    <tableColumn id="10" xr3:uid="{7958C037-6419-4CD3-8FA2-BAFAEA24AF45}" name="Symbol"/>
    <tableColumn id="11" xr3:uid="{33BB37F5-0FE2-4C7B-8E33-7FF75B6B15DF}" name="Footprint"/>
    <tableColumn id="12" xr3:uid="{EC11368A-2EE7-4AC7-B70C-C5A588732174}" name="Comment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D1E4958-80A7-4F5D-A455-26623EC8F071}" name="Table335671819" displayName="Table335671819" ref="C7:O33" totalsRowShown="0">
  <autoFilter ref="C7:O33" xr:uid="{276D6C88-6D1A-4613-8017-5F518A730001}"/>
  <tableColumns count="13">
    <tableColumn id="1" xr3:uid="{E0493E6A-B825-4946-B56F-84393809C845}" name="Index"/>
    <tableColumn id="14" xr3:uid="{8DB7CE1E-9CD7-494C-B754-BF2A33A1EBF6}" name="Name"/>
    <tableColumn id="2" xr3:uid="{A8D197E7-EDFD-449E-9D03-409381580E26}" name="Value"/>
    <tableColumn id="3" xr3:uid="{669FB9EE-F0FC-494C-AF89-FE0278EDFFFC}" name="Thread Size" dataDxfId="39"/>
    <tableColumn id="6" xr3:uid="{0ABE4A2E-D036-4E55-8218-10C9C29C1192}" name="Length"/>
    <tableColumn id="7" xr3:uid="{416BB3FB-D51F-4C69-A35A-908922037A8D}" name="Head Type"/>
    <tableColumn id="4" xr3:uid="{12EB5BC8-50CA-4DAF-9C4B-037E12E6CE44}" name="Material"/>
    <tableColumn id="17" xr3:uid="{92EAC293-709B-4914-A102-35E27BE03C2B}" name="Distributor"/>
    <tableColumn id="18" xr3:uid="{B95CE016-EBD1-4AC2-8E14-8B1DC19F55BC}" name="Distributor PN"/>
    <tableColumn id="9" xr3:uid="{AA1AD420-E3B0-433C-99ED-123D8838DAAF}" name="Datasheet"/>
    <tableColumn id="10" xr3:uid="{7B818AAC-FAEA-4B36-9D92-184F4B05B510}" name="Symbol"/>
    <tableColumn id="11" xr3:uid="{E1FDA7EF-802B-4696-8A2B-2F13AA0E0E2B}" name="Footprint"/>
    <tableColumn id="12" xr3:uid="{FE57F605-23BD-473B-B9C2-22D6B4A893A5}" name="Comment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4F45C54-8558-42A0-9B45-90806996847F}" name="Table3356721" displayName="Table3356721" ref="C7:Q33" totalsRowShown="0">
  <autoFilter ref="C7:Q33" xr:uid="{276D6C88-6D1A-4613-8017-5F518A730001}"/>
  <tableColumns count="15">
    <tableColumn id="1" xr3:uid="{416331EC-A5E8-4540-A735-51F5C55410CD}" name="Index"/>
    <tableColumn id="14" xr3:uid="{8F1CC8DE-2B46-45D9-BD1B-F59CD7A30B1F}" name="Name"/>
    <tableColumn id="2" xr3:uid="{6CFD5EF0-92F3-471A-89AB-0B5889E7F2E8}" name="Value"/>
    <tableColumn id="3" xr3:uid="{202214D8-FA7D-4822-886D-E5FC3FF7CF3C}" name="Shape" dataDxfId="36"/>
    <tableColumn id="6" xr3:uid="{63BE76E4-2BD8-45BA-A27F-4C20371B5C43}" name="Gender"/>
    <tableColumn id="7" xr3:uid="{9B1FA273-6C04-43EB-BAC1-DBCF1EE5423D}" name="Thread Size"/>
    <tableColumn id="19" xr3:uid="{955DBB04-81EB-48A5-857D-3B87C857737E}" name="Length"/>
    <tableColumn id="8" xr3:uid="{FFF9CE04-D06D-4739-995B-5A9A84AA46F7}" name="MPN"/>
    <tableColumn id="16" xr3:uid="{68FB075A-035D-4028-B4F7-904D3A49C4E6}" name="MFG"/>
    <tableColumn id="17" xr3:uid="{AC9EF2E5-DF9B-4930-9B7E-BB09FA2F0393}" name="Distributor"/>
    <tableColumn id="18" xr3:uid="{9A57CE7F-C7A6-4807-823C-4EABA75D643D}" name="Distributor PN"/>
    <tableColumn id="9" xr3:uid="{DC16DBC3-2568-4ECA-ABDB-0316EE8082D6}" name="Datasheet"/>
    <tableColumn id="10" xr3:uid="{EC7FD7C7-F1E2-4791-A6F7-F54882F3CFCB}" name="Symbol"/>
    <tableColumn id="11" xr3:uid="{6729C56D-6134-4415-A2A8-5D9984103EBD}" name="Footprint"/>
    <tableColumn id="12" xr3:uid="{58ADF4EB-D987-48ED-B8DF-F17BD7252C55}" name="Comment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D751BD-DEF6-4642-ACFC-37683D9B9AE2}" name="Table3356822" displayName="Table3356822" ref="C7:P33" totalsRowShown="0">
  <autoFilter ref="C7:P33" xr:uid="{769FF13B-2348-4EDD-93F5-AAB9AA1702B2}"/>
  <tableColumns count="14">
    <tableColumn id="1" xr3:uid="{7514C6A9-C192-4047-8CDC-BE32D86231A3}" name="Index"/>
    <tableColumn id="14" xr3:uid="{29CAD363-0A24-490A-8C67-3BA6DB78D528}" name="Name"/>
    <tableColumn id="2" xr3:uid="{FA848B9F-1B1E-4078-8C9E-749158DF51A2}" name="Value"/>
    <tableColumn id="4" xr3:uid="{1E543A62-0492-41AB-A3F5-68B8FB203F42}" name="Size"/>
    <tableColumn id="5" xr3:uid="{E9E8AB49-FD94-4889-867A-AD180209F594}" name="Thermal Conductivity"/>
    <tableColumn id="6" xr3:uid="{FFD7687F-D74B-4E44-A28E-51EECAB85ED4}" name="Material"/>
    <tableColumn id="8" xr3:uid="{0FEB3515-B105-4ACD-8B66-25ADC2D09855}" name="MPN"/>
    <tableColumn id="16" xr3:uid="{E013B1F3-4AB8-414A-BF6A-BEF93CAE96AC}" name="MFG"/>
    <tableColumn id="17" xr3:uid="{315FD3D3-1765-4A7E-92A0-CB43D969BEF6}" name="Distributor"/>
    <tableColumn id="18" xr3:uid="{5C1661F3-8B91-4951-923C-D30F2A2D49B6}" name="Distributor PN"/>
    <tableColumn id="9" xr3:uid="{840C8666-9AB7-4C8C-87DE-EB33277A16CC}" name="Datasheet"/>
    <tableColumn id="10" xr3:uid="{55C9A595-F628-4CC0-94AD-1517C1C0624B}" name="Symbol"/>
    <tableColumn id="11" xr3:uid="{6BD78749-08A1-4063-ABCF-A2F413E005EB}" name="Footprint"/>
    <tableColumn id="12" xr3:uid="{E9880C14-722B-4AC6-BCE6-7B4C9957FF12}" name="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O21"/>
  <sheetViews>
    <sheetView topLeftCell="A2" workbookViewId="0">
      <selection activeCell="E26" sqref="E26"/>
    </sheetView>
  </sheetViews>
  <sheetFormatPr defaultRowHeight="14.4" x14ac:dyDescent="0.3"/>
  <cols>
    <col min="3" max="3" width="10.77734375" bestFit="1" customWidth="1"/>
    <col min="4" max="4" width="12.21875" bestFit="1" customWidth="1"/>
    <col min="5" max="5" width="11.6640625" bestFit="1" customWidth="1"/>
    <col min="6" max="6" width="9.6640625" bestFit="1" customWidth="1"/>
    <col min="7" max="7" width="8.77734375" bestFit="1" customWidth="1"/>
    <col min="8" max="8" width="8.21875" bestFit="1" customWidth="1"/>
    <col min="9" max="9" width="7.88671875" bestFit="1" customWidth="1"/>
    <col min="10" max="10" width="12.21875" bestFit="1" customWidth="1"/>
    <col min="11" max="11" width="12.88671875" bestFit="1" customWidth="1"/>
    <col min="12" max="12" width="12.44140625" bestFit="1" customWidth="1"/>
    <col min="13" max="13" width="10.33203125" bestFit="1" customWidth="1"/>
    <col min="14" max="14" width="11.77734375" bestFit="1" customWidth="1"/>
    <col min="15" max="15" width="14.33203125" bestFit="1" customWidth="1"/>
  </cols>
  <sheetData>
    <row r="5" spans="3:15" x14ac:dyDescent="0.3">
      <c r="E5" s="4"/>
      <c r="F5" s="4"/>
      <c r="G5" s="4"/>
      <c r="H5" s="4"/>
      <c r="I5" s="4"/>
      <c r="J5" s="4"/>
      <c r="K5" s="4"/>
      <c r="L5" s="4"/>
      <c r="M5" s="4"/>
      <c r="N5" s="4"/>
    </row>
    <row r="6" spans="3:15" x14ac:dyDescent="0.3">
      <c r="C6" t="s">
        <v>0</v>
      </c>
      <c r="D6" t="s">
        <v>24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26</v>
      </c>
    </row>
    <row r="7" spans="3:15" x14ac:dyDescent="0.3">
      <c r="C7" t="s">
        <v>11</v>
      </c>
      <c r="D7">
        <f>Resistors!AA6</f>
        <v>16</v>
      </c>
      <c r="E7">
        <f>Resistors!AA5</f>
        <v>4</v>
      </c>
      <c r="F7">
        <f>Resistors!AA7</f>
        <v>1</v>
      </c>
      <c r="G7">
        <f>Resistors!AA8</f>
        <v>4</v>
      </c>
      <c r="H7">
        <f>Resistors!AA14</f>
        <v>4</v>
      </c>
      <c r="I7">
        <f>Resistors!AA15</f>
        <v>4</v>
      </c>
      <c r="J7">
        <f>Resistors!AA17</f>
        <v>4</v>
      </c>
      <c r="K7">
        <f>Resistors!AA16</f>
        <v>4</v>
      </c>
      <c r="L7">
        <f>Resistors!AA18</f>
        <v>4</v>
      </c>
      <c r="M7">
        <f>Resistors!AA19</f>
        <v>1</v>
      </c>
      <c r="N7">
        <f>Resistors!AA20</f>
        <v>1</v>
      </c>
      <c r="O7">
        <f>Resistors!AA2</f>
        <v>86.764705882352928</v>
      </c>
    </row>
    <row r="8" spans="3:15" x14ac:dyDescent="0.3">
      <c r="C8" t="s">
        <v>12</v>
      </c>
    </row>
    <row r="9" spans="3:15" x14ac:dyDescent="0.3">
      <c r="C9" t="s">
        <v>13</v>
      </c>
    </row>
    <row r="10" spans="3:15" x14ac:dyDescent="0.3">
      <c r="C10" t="s">
        <v>14</v>
      </c>
    </row>
    <row r="11" spans="3:15" x14ac:dyDescent="0.3">
      <c r="C11" t="s">
        <v>15</v>
      </c>
    </row>
    <row r="12" spans="3:15" x14ac:dyDescent="0.3">
      <c r="C12" t="s">
        <v>16</v>
      </c>
    </row>
    <row r="13" spans="3:15" x14ac:dyDescent="0.3">
      <c r="C13" t="s">
        <v>17</v>
      </c>
    </row>
    <row r="14" spans="3:15" x14ac:dyDescent="0.3">
      <c r="C14" t="s">
        <v>18</v>
      </c>
    </row>
    <row r="15" spans="3:15" x14ac:dyDescent="0.3">
      <c r="C15" t="s">
        <v>19</v>
      </c>
    </row>
    <row r="16" spans="3:15" x14ac:dyDescent="0.3">
      <c r="C16" t="s">
        <v>20</v>
      </c>
    </row>
    <row r="17" spans="3:3" x14ac:dyDescent="0.3">
      <c r="C17" t="s">
        <v>21</v>
      </c>
    </row>
    <row r="18" spans="3:3" x14ac:dyDescent="0.3">
      <c r="C18" t="s">
        <v>22</v>
      </c>
    </row>
    <row r="19" spans="3:3" x14ac:dyDescent="0.3">
      <c r="C19" t="s">
        <v>23</v>
      </c>
    </row>
    <row r="20" spans="3:3" x14ac:dyDescent="0.3">
      <c r="C20" t="s">
        <v>124</v>
      </c>
    </row>
    <row r="21" spans="3:3" x14ac:dyDescent="0.3">
      <c r="C21" t="s">
        <v>132</v>
      </c>
    </row>
  </sheetData>
  <mergeCells count="1">
    <mergeCell ref="E5:N5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D74D-FC24-4BB5-BDF0-E778A07CF107}">
  <dimension ref="B1:AA33"/>
  <sheetViews>
    <sheetView zoomScale="70" zoomScaleNormal="70" workbookViewId="0">
      <selection activeCell="T18" sqref="T18"/>
    </sheetView>
  </sheetViews>
  <sheetFormatPr defaultRowHeight="14.4" x14ac:dyDescent="0.3"/>
  <cols>
    <col min="8" max="8" width="13.77734375" bestFit="1" customWidth="1"/>
    <col min="9" max="9" width="16.77734375" bestFit="1" customWidth="1"/>
    <col min="10" max="10" width="13.109375" bestFit="1" customWidth="1"/>
    <col min="11" max="11" width="11.21875" bestFit="1" customWidth="1"/>
    <col min="12" max="12" width="12.44140625" bestFit="1" customWidth="1"/>
    <col min="13" max="13" width="11.88671875" bestFit="1" customWidth="1"/>
    <col min="20" max="20" width="16" bestFit="1" customWidth="1"/>
    <col min="25" max="25" width="12" bestFit="1" customWidth="1"/>
    <col min="26" max="26" width="10.109375" bestFit="1" customWidth="1"/>
    <col min="27" max="27" width="13" bestFit="1" customWidth="1"/>
  </cols>
  <sheetData>
    <row r="1" spans="2:27" x14ac:dyDescent="0.3">
      <c r="D1" s="3" t="s">
        <v>164</v>
      </c>
    </row>
    <row r="2" spans="2:27" x14ac:dyDescent="0.3">
      <c r="T2" t="s">
        <v>50</v>
      </c>
      <c r="U2">
        <f>AVERAGEIF(P8:P9999, "&gt;0")</f>
        <v>9.0909090909090935</v>
      </c>
    </row>
    <row r="3" spans="2:27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M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5" spans="2:27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T5" t="s">
        <v>1</v>
      </c>
      <c r="U5">
        <f>COUNTIF(P8:P99,"&gt;0")</f>
        <v>1</v>
      </c>
    </row>
    <row r="6" spans="2:27" x14ac:dyDescent="0.3">
      <c r="D6" s="3" t="s">
        <v>172</v>
      </c>
      <c r="T6" t="s">
        <v>24</v>
      </c>
      <c r="U6">
        <f>SUM(C5:M5)</f>
        <v>11</v>
      </c>
    </row>
    <row r="7" spans="2:27" x14ac:dyDescent="0.3">
      <c r="C7" t="s">
        <v>25</v>
      </c>
      <c r="D7" t="s">
        <v>145</v>
      </c>
      <c r="E7" t="s">
        <v>28</v>
      </c>
      <c r="F7" t="s">
        <v>27</v>
      </c>
      <c r="G7" t="s">
        <v>52</v>
      </c>
      <c r="H7" t="s">
        <v>54</v>
      </c>
      <c r="I7" t="s">
        <v>53</v>
      </c>
      <c r="J7" t="s">
        <v>34</v>
      </c>
      <c r="K7" t="s">
        <v>35</v>
      </c>
      <c r="L7" t="s">
        <v>36</v>
      </c>
      <c r="M7" t="s">
        <v>38</v>
      </c>
      <c r="O7" t="s">
        <v>49</v>
      </c>
      <c r="P7" t="s">
        <v>50</v>
      </c>
      <c r="Q7" t="s">
        <v>41</v>
      </c>
      <c r="T7" t="s">
        <v>40</v>
      </c>
      <c r="U7">
        <f>C3</f>
        <v>0</v>
      </c>
    </row>
    <row r="8" spans="2:27" x14ac:dyDescent="0.3">
      <c r="D8" t="e">
        <f>_xlfn.CONCAT(Table33568[[#This Row],[Value]],"H ",#REF!," ",#REF!,"A ",#REF!,"Ω")</f>
        <v>#REF!</v>
      </c>
      <c r="O8">
        <f>COUNTBLANK(Table33568[#This Row])</f>
        <v>10</v>
      </c>
      <c r="P8">
        <f>100 - (100*O8/COUNTA($C$3:$M$3))</f>
        <v>9.0909090909090935</v>
      </c>
      <c r="Q8">
        <f>IF(P8=100,1,0)</f>
        <v>0</v>
      </c>
      <c r="T8" t="s">
        <v>165</v>
      </c>
      <c r="U8">
        <f>D3</f>
        <v>1</v>
      </c>
    </row>
    <row r="9" spans="2:27" x14ac:dyDescent="0.3">
      <c r="O9">
        <f>COUNTBLANK(Table33568[#This Row])</f>
        <v>11</v>
      </c>
      <c r="P9">
        <f>100 - (100*O9/COUNTA($C$3:$M$3))</f>
        <v>0</v>
      </c>
      <c r="Q9">
        <f t="shared" ref="Q9:Q33" si="1">IF(P9=100,1,0)</f>
        <v>0</v>
      </c>
      <c r="T9" t="s">
        <v>71</v>
      </c>
      <c r="U9">
        <f>E3</f>
        <v>0</v>
      </c>
    </row>
    <row r="10" spans="2:27" x14ac:dyDescent="0.3">
      <c r="O10">
        <f>COUNTBLANK(Table33568[#This Row])</f>
        <v>11</v>
      </c>
      <c r="P10">
        <f>100 - (100*O10/COUNTA($C$3:$M$3))</f>
        <v>0</v>
      </c>
      <c r="Q10">
        <f t="shared" si="1"/>
        <v>0</v>
      </c>
      <c r="T10" t="s">
        <v>77</v>
      </c>
      <c r="U10">
        <f>F3</f>
        <v>0</v>
      </c>
    </row>
    <row r="11" spans="2:27" x14ac:dyDescent="0.3">
      <c r="O11">
        <f>COUNTBLANK(Table33568[#This Row])</f>
        <v>11</v>
      </c>
      <c r="P11">
        <f>100 - (100*O11/COUNTA($C$3:$M$3))</f>
        <v>0</v>
      </c>
      <c r="Q11">
        <f t="shared" si="1"/>
        <v>0</v>
      </c>
      <c r="T11" t="s">
        <v>78</v>
      </c>
      <c r="U11">
        <f>G3</f>
        <v>0</v>
      </c>
    </row>
    <row r="12" spans="2:27" x14ac:dyDescent="0.3">
      <c r="O12">
        <f>COUNTBLANK(Table33568[#This Row])</f>
        <v>11</v>
      </c>
      <c r="P12">
        <f>100 - (100*O12/COUNTA($C$3:$M$3))</f>
        <v>0</v>
      </c>
      <c r="Q12">
        <f t="shared" si="1"/>
        <v>0</v>
      </c>
      <c r="T12" t="s">
        <v>79</v>
      </c>
      <c r="U12">
        <f>H3</f>
        <v>0</v>
      </c>
      <c r="Y12" t="s">
        <v>112</v>
      </c>
      <c r="Z12" t="s">
        <v>113</v>
      </c>
      <c r="AA12" t="s">
        <v>114</v>
      </c>
    </row>
    <row r="13" spans="2:27" x14ac:dyDescent="0.3">
      <c r="O13">
        <f>COUNTBLANK(Table33568[#This Row])</f>
        <v>11</v>
      </c>
      <c r="P13">
        <f>100 - (100*O13/COUNTA($C$3:$M$3))</f>
        <v>0</v>
      </c>
      <c r="Q13">
        <f t="shared" si="1"/>
        <v>0</v>
      </c>
      <c r="T13" t="s">
        <v>80</v>
      </c>
      <c r="U13">
        <f>I3</f>
        <v>0</v>
      </c>
    </row>
    <row r="14" spans="2:27" x14ac:dyDescent="0.3">
      <c r="O14">
        <f>COUNTBLANK(Table33568[#This Row])</f>
        <v>11</v>
      </c>
      <c r="P14">
        <f>100 - (100*O14/COUNTA($C$3:$M$3))</f>
        <v>0</v>
      </c>
      <c r="Q14">
        <f t="shared" si="1"/>
        <v>0</v>
      </c>
      <c r="T14" t="s">
        <v>81</v>
      </c>
      <c r="U14">
        <f>J3</f>
        <v>0</v>
      </c>
    </row>
    <row r="15" spans="2:27" x14ac:dyDescent="0.3">
      <c r="O15">
        <f>COUNTBLANK(Table33568[#This Row])</f>
        <v>11</v>
      </c>
      <c r="P15">
        <f>100 - (100*O15/COUNTA($C$3:$M$3))</f>
        <v>0</v>
      </c>
      <c r="Q15">
        <f t="shared" si="1"/>
        <v>0</v>
      </c>
      <c r="T15" t="s">
        <v>82</v>
      </c>
      <c r="U15">
        <f>K3</f>
        <v>0</v>
      </c>
    </row>
    <row r="16" spans="2:27" x14ac:dyDescent="0.3">
      <c r="O16">
        <f>COUNTBLANK(Table33568[#This Row])</f>
        <v>11</v>
      </c>
      <c r="P16">
        <f>100 - (100*O16/COUNTA($C$3:$M$3))</f>
        <v>0</v>
      </c>
      <c r="Q16">
        <f t="shared" si="1"/>
        <v>0</v>
      </c>
      <c r="T16" t="s">
        <v>83</v>
      </c>
      <c r="U16">
        <f>L3</f>
        <v>0</v>
      </c>
    </row>
    <row r="17" spans="15:21" x14ac:dyDescent="0.3">
      <c r="O17">
        <f>COUNTBLANK(Table33568[#This Row])</f>
        <v>11</v>
      </c>
      <c r="P17">
        <f>100 - (100*O17/COUNTA($C$3:$M$3))</f>
        <v>0</v>
      </c>
      <c r="Q17">
        <f t="shared" si="1"/>
        <v>0</v>
      </c>
      <c r="T17" t="s">
        <v>85</v>
      </c>
      <c r="U17">
        <f>M3</f>
        <v>0</v>
      </c>
    </row>
    <row r="18" spans="15:21" x14ac:dyDescent="0.3">
      <c r="O18">
        <f>COUNTBLANK(Table33568[#This Row])</f>
        <v>11</v>
      </c>
      <c r="P18">
        <f>100 - (100*O18/COUNTA($C$3:$M$3))</f>
        <v>0</v>
      </c>
      <c r="Q18">
        <f t="shared" si="1"/>
        <v>0</v>
      </c>
    </row>
    <row r="19" spans="15:21" x14ac:dyDescent="0.3">
      <c r="O19">
        <f>COUNTBLANK(Table33568[#This Row])</f>
        <v>11</v>
      </c>
      <c r="P19">
        <f>100 - (100*O19/COUNTA($C$3:$M$3))</f>
        <v>0</v>
      </c>
      <c r="Q19">
        <f t="shared" si="1"/>
        <v>0</v>
      </c>
    </row>
    <row r="20" spans="15:21" x14ac:dyDescent="0.3">
      <c r="O20">
        <f>COUNTBLANK(Table33568[#This Row])</f>
        <v>11</v>
      </c>
      <c r="P20">
        <f>100 - (100*O20/COUNTA($C$3:$M$3))</f>
        <v>0</v>
      </c>
      <c r="Q20">
        <f t="shared" si="1"/>
        <v>0</v>
      </c>
    </row>
    <row r="21" spans="15:21" x14ac:dyDescent="0.3">
      <c r="O21">
        <f>COUNTBLANK(Table33568[#This Row])</f>
        <v>11</v>
      </c>
      <c r="P21">
        <f>100 - (100*O21/COUNTA($C$3:$M$3))</f>
        <v>0</v>
      </c>
      <c r="Q21">
        <f t="shared" si="1"/>
        <v>0</v>
      </c>
    </row>
    <row r="22" spans="15:21" x14ac:dyDescent="0.3">
      <c r="O22">
        <f>COUNTBLANK(Table33568[#This Row])</f>
        <v>11</v>
      </c>
      <c r="P22">
        <f>100 - (100*O22/COUNTA($C$3:$M$3))</f>
        <v>0</v>
      </c>
      <c r="Q22">
        <f t="shared" si="1"/>
        <v>0</v>
      </c>
    </row>
    <row r="23" spans="15:21" x14ac:dyDescent="0.3">
      <c r="O23">
        <f>COUNTBLANK(Table33568[#This Row])</f>
        <v>11</v>
      </c>
      <c r="P23">
        <f>100 - (100*O23/COUNTA($C$3:$M$3))</f>
        <v>0</v>
      </c>
      <c r="Q23">
        <f t="shared" si="1"/>
        <v>0</v>
      </c>
    </row>
    <row r="24" spans="15:21" x14ac:dyDescent="0.3">
      <c r="O24">
        <f>COUNTBLANK(Table33568[#This Row])</f>
        <v>11</v>
      </c>
      <c r="P24">
        <f>100 - (100*O24/COUNTA($C$3:$M$3))</f>
        <v>0</v>
      </c>
      <c r="Q24">
        <f t="shared" si="1"/>
        <v>0</v>
      </c>
    </row>
    <row r="25" spans="15:21" x14ac:dyDescent="0.3">
      <c r="O25">
        <f>COUNTBLANK(Table33568[#This Row])</f>
        <v>11</v>
      </c>
      <c r="P25">
        <f>100 - (100*O25/COUNTA($C$3:$M$3))</f>
        <v>0</v>
      </c>
      <c r="Q25">
        <f t="shared" si="1"/>
        <v>0</v>
      </c>
    </row>
    <row r="26" spans="15:21" x14ac:dyDescent="0.3">
      <c r="O26">
        <f>COUNTBLANK(Table33568[#This Row])</f>
        <v>11</v>
      </c>
      <c r="P26">
        <f>100 - (100*O26/COUNTA($C$3:$M$3))</f>
        <v>0</v>
      </c>
      <c r="Q26">
        <f t="shared" si="1"/>
        <v>0</v>
      </c>
    </row>
    <row r="27" spans="15:21" x14ac:dyDescent="0.3">
      <c r="O27">
        <f>COUNTBLANK(Table33568[#This Row])</f>
        <v>11</v>
      </c>
      <c r="P27">
        <f>100 - (100*O27/COUNTA($C$3:$M$3))</f>
        <v>0</v>
      </c>
      <c r="Q27">
        <f t="shared" si="1"/>
        <v>0</v>
      </c>
    </row>
    <row r="28" spans="15:21" x14ac:dyDescent="0.3">
      <c r="O28">
        <f>COUNTBLANK(Table33568[#This Row])</f>
        <v>11</v>
      </c>
      <c r="P28">
        <f>100 - (100*O28/COUNTA($C$3:$M$3))</f>
        <v>0</v>
      </c>
      <c r="Q28">
        <f t="shared" si="1"/>
        <v>0</v>
      </c>
    </row>
    <row r="29" spans="15:21" x14ac:dyDescent="0.3">
      <c r="O29">
        <f>COUNTBLANK(Table33568[#This Row])</f>
        <v>11</v>
      </c>
      <c r="P29">
        <f>100 - (100*O29/COUNTA($C$3:$M$3))</f>
        <v>0</v>
      </c>
      <c r="Q29">
        <f t="shared" si="1"/>
        <v>0</v>
      </c>
    </row>
    <row r="30" spans="15:21" x14ac:dyDescent="0.3">
      <c r="O30">
        <f>COUNTBLANK(Table33568[#This Row])</f>
        <v>11</v>
      </c>
      <c r="P30">
        <f>100 - (100*O30/COUNTA($C$3:$M$3))</f>
        <v>0</v>
      </c>
      <c r="Q30">
        <f t="shared" si="1"/>
        <v>0</v>
      </c>
    </row>
    <row r="31" spans="15:21" x14ac:dyDescent="0.3">
      <c r="O31">
        <f>COUNTBLANK(Table33568[#This Row])</f>
        <v>11</v>
      </c>
      <c r="P31">
        <f>100 - (100*O31/COUNTA($C$3:$M$3))</f>
        <v>0</v>
      </c>
      <c r="Q31">
        <f t="shared" si="1"/>
        <v>0</v>
      </c>
    </row>
    <row r="32" spans="15:21" x14ac:dyDescent="0.3">
      <c r="O32">
        <f>COUNTBLANK(Table33568[#This Row])</f>
        <v>11</v>
      </c>
      <c r="P32">
        <f>100 - (100*O32/COUNTA($C$3:$M$3))</f>
        <v>0</v>
      </c>
      <c r="Q32">
        <f t="shared" si="1"/>
        <v>0</v>
      </c>
    </row>
    <row r="33" spans="15:17" x14ac:dyDescent="0.3">
      <c r="O33">
        <f>COUNTBLANK(Table33568[#This Row])</f>
        <v>11</v>
      </c>
      <c r="P33">
        <f>100 - (100*O33/COUNTA($C$3:$M$3))</f>
        <v>0</v>
      </c>
      <c r="Q33">
        <f t="shared" si="1"/>
        <v>0</v>
      </c>
    </row>
  </sheetData>
  <conditionalFormatting sqref="C8:C26 E8:M26 C27:M33">
    <cfRule type="containsBlanks" dxfId="19" priority="3">
      <formula>LEN(TRIM(C8))=0</formula>
    </cfRule>
  </conditionalFormatting>
  <conditionalFormatting sqref="I8:I33 F8:F33">
    <cfRule type="duplicateValues" dxfId="18" priority="1"/>
  </conditionalFormatting>
  <conditionalFormatting sqref="P8:P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A782-031C-4CBF-B2A8-FA351F025806}">
  <dimension ref="B1:AJ33"/>
  <sheetViews>
    <sheetView zoomScale="55" zoomScaleNormal="55" workbookViewId="0">
      <selection sqref="A1:Y33"/>
    </sheetView>
  </sheetViews>
  <sheetFormatPr defaultRowHeight="14.4" x14ac:dyDescent="0.3"/>
  <sheetData>
    <row r="1" spans="2:36" x14ac:dyDescent="0.3">
      <c r="D1" s="3" t="s">
        <v>164</v>
      </c>
    </row>
    <row r="2" spans="2:36" x14ac:dyDescent="0.3">
      <c r="X2" t="s">
        <v>50</v>
      </c>
      <c r="Y2">
        <f>AVERAGEIF(T8:T9999, "&gt;0")</f>
        <v>6.6666666666666714</v>
      </c>
    </row>
    <row r="3" spans="2:36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36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36" x14ac:dyDescent="0.3">
      <c r="D6" s="3" t="s">
        <v>172</v>
      </c>
      <c r="F6" s="1"/>
      <c r="X6" t="s">
        <v>24</v>
      </c>
      <c r="Y6">
        <f>SUM(C5:Q5)</f>
        <v>15</v>
      </c>
    </row>
    <row r="7" spans="2:36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36" x14ac:dyDescent="0.3">
      <c r="D8" t="str">
        <f>_xlfn.CONCAT(Table33569[[#This Row],[Value]],"H ",Table33569[[#This Row],[Size]]," ",Table33569[[#This Row],[Current]],"A ",Table33569[[#This Row],[DCR]],"Ω")</f>
        <v>H  A Ω</v>
      </c>
      <c r="F8" s="1"/>
      <c r="S8">
        <f>COUNTBLANK(Table33569[#This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36" x14ac:dyDescent="0.3">
      <c r="F9" s="1"/>
      <c r="S9">
        <f>COUNTBLANK(Table33569[#This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</row>
    <row r="10" spans="2:36" x14ac:dyDescent="0.3">
      <c r="F10" s="1"/>
      <c r="I10" s="2"/>
      <c r="S10">
        <f>COUNTBLANK(Table33569[#This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  <c r="AD10" t="s">
        <v>104</v>
      </c>
      <c r="AE10" t="s">
        <v>109</v>
      </c>
      <c r="AF10" t="s">
        <v>110</v>
      </c>
      <c r="AG10" t="s">
        <v>111</v>
      </c>
      <c r="AH10" t="s">
        <v>119</v>
      </c>
      <c r="AI10" t="s">
        <v>139</v>
      </c>
      <c r="AJ10" t="s">
        <v>143</v>
      </c>
    </row>
    <row r="11" spans="2:36" x14ac:dyDescent="0.3">
      <c r="F11" s="1"/>
      <c r="S11">
        <f>COUNTBLANK(Table33569[#This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  <c r="AD11" t="s">
        <v>106</v>
      </c>
      <c r="AI11" t="s">
        <v>141</v>
      </c>
      <c r="AJ11" t="s">
        <v>144</v>
      </c>
    </row>
    <row r="12" spans="2:36" x14ac:dyDescent="0.3">
      <c r="F12" s="1"/>
      <c r="S12">
        <f>COUNTBLANK(Table33569[#This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  <c r="AD12" t="s">
        <v>105</v>
      </c>
      <c r="AI12" t="s">
        <v>140</v>
      </c>
    </row>
    <row r="13" spans="2:36" x14ac:dyDescent="0.3">
      <c r="F13" s="1"/>
      <c r="S13">
        <f>COUNTBLANK(Table33569[#This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  <c r="AD13" t="s">
        <v>107</v>
      </c>
      <c r="AI13" t="s">
        <v>142</v>
      </c>
    </row>
    <row r="14" spans="2:36" x14ac:dyDescent="0.3">
      <c r="F14" s="1"/>
      <c r="S14">
        <f>COUNTBLANK(Table33569[#This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  <c r="AD14" t="s">
        <v>108</v>
      </c>
    </row>
    <row r="15" spans="2:36" x14ac:dyDescent="0.3">
      <c r="F15" s="1"/>
      <c r="S15">
        <f>COUNTBLANK(Table33569[#This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36" x14ac:dyDescent="0.3">
      <c r="F16" s="1"/>
      <c r="S16">
        <f>COUNTBLANK(Table33569[#This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COUNTBLANK(Table33569[#This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COUNTBLANK(Table33569[#This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COUNTBLANK(Table33569[#This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COUNTBLANK(Table33569[#This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COUNTBLANK(Table33569[#This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COUNTBLANK(Table33569[#This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COUNTBLANK(Table33569[#This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COUNTBLANK(Table33569[#This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COUNTBLANK(Table33569[#This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COUNTBLANK(Table33569[#This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COUNTBLANK(Table33569[#This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COUNTBLANK(Table33569[#This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COUNTBLANK(Table33569[#This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COUNTBLANK(Table33569[#This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COUNTBLANK(Table33569[#This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COUNTBLANK(Table33569[#This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COUNTBLANK(Table33569[#This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17" priority="3">
      <formula>LEN(TRIM(C8))=0</formula>
    </cfRule>
  </conditionalFormatting>
  <conditionalFormatting sqref="M8:M33 J8:J33">
    <cfRule type="duplicateValues" dxfId="16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E5F7-BB68-41A6-8101-B8861A870F3C}">
  <dimension ref="B1:Y33"/>
  <sheetViews>
    <sheetView workbookViewId="0">
      <selection sqref="A1:Y33"/>
    </sheetView>
  </sheetViews>
  <sheetFormatPr defaultRowHeight="14.4" x14ac:dyDescent="0.3"/>
  <sheetData>
    <row r="1" spans="2:25" x14ac:dyDescent="0.3">
      <c r="D1" s="3" t="s">
        <v>164</v>
      </c>
    </row>
    <row r="2" spans="2:25" x14ac:dyDescent="0.3">
      <c r="X2" t="s">
        <v>50</v>
      </c>
      <c r="Y2">
        <f>AVERAGEIF(T8:T9999, "&gt;0")</f>
        <v>6.6666666666666714</v>
      </c>
    </row>
    <row r="3" spans="2:25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25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25" x14ac:dyDescent="0.3">
      <c r="D6" s="3" t="s">
        <v>172</v>
      </c>
      <c r="F6" s="1"/>
      <c r="X6" t="s">
        <v>24</v>
      </c>
      <c r="Y6">
        <f>SUM(C5:Q5)</f>
        <v>15</v>
      </c>
    </row>
    <row r="7" spans="2:25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25" x14ac:dyDescent="0.3">
      <c r="D8" t="str">
        <f>_xlfn.CONCAT(Table335610[[#This Row],[Value]],"H ",Table335610[[#This Row],[Size]]," ",Table335610[[#This Row],[Current]],"A ",Table335610[[#This Row],[DCR]],"Ω")</f>
        <v>H  A Ω</v>
      </c>
      <c r="F8" s="1"/>
      <c r="S8">
        <f>COUNTBLANK(Table335610[#This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25" x14ac:dyDescent="0.3">
      <c r="F9" s="1"/>
      <c r="S9">
        <f>COUNTBLANK(Table335610[#This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</row>
    <row r="10" spans="2:25" x14ac:dyDescent="0.3">
      <c r="F10" s="1"/>
      <c r="I10" s="2"/>
      <c r="S10">
        <f>COUNTBLANK(Table335610[#This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</row>
    <row r="11" spans="2:25" x14ac:dyDescent="0.3">
      <c r="F11" s="1"/>
      <c r="S11">
        <f>COUNTBLANK(Table335610[#This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25" x14ac:dyDescent="0.3">
      <c r="F12" s="1"/>
      <c r="S12">
        <f>COUNTBLANK(Table335610[#This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</row>
    <row r="13" spans="2:25" x14ac:dyDescent="0.3">
      <c r="F13" s="1"/>
      <c r="S13">
        <f>COUNTBLANK(Table335610[#This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</row>
    <row r="14" spans="2:25" x14ac:dyDescent="0.3">
      <c r="F14" s="1"/>
      <c r="S14">
        <f>COUNTBLANK(Table335610[#This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</row>
    <row r="15" spans="2:25" x14ac:dyDescent="0.3">
      <c r="F15" s="1"/>
      <c r="S15">
        <f>COUNTBLANK(Table335610[#This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25" x14ac:dyDescent="0.3">
      <c r="F16" s="1"/>
      <c r="S16">
        <f>COUNTBLANK(Table335610[#This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COUNTBLANK(Table335610[#This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COUNTBLANK(Table335610[#This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COUNTBLANK(Table335610[#This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COUNTBLANK(Table335610[#This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COUNTBLANK(Table335610[#This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COUNTBLANK(Table335610[#This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COUNTBLANK(Table335610[#This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COUNTBLANK(Table335610[#This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COUNTBLANK(Table335610[#This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COUNTBLANK(Table335610[#This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COUNTBLANK(Table335610[#This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COUNTBLANK(Table335610[#This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COUNTBLANK(Table335610[#This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COUNTBLANK(Table335610[#This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COUNTBLANK(Table335610[#This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COUNTBLANK(Table335610[#This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COUNTBLANK(Table335610[#This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15" priority="3">
      <formula>LEN(TRIM(C8))=0</formula>
    </cfRule>
  </conditionalFormatting>
  <conditionalFormatting sqref="M8:M33 J8:J33">
    <cfRule type="duplicateValues" dxfId="14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6F7C-B7B5-4F74-8F3D-E1A42D0FFC33}">
  <dimension ref="B1:AD33"/>
  <sheetViews>
    <sheetView zoomScale="70" zoomScaleNormal="70" workbookViewId="0">
      <selection activeCell="N36" sqref="N36"/>
    </sheetView>
  </sheetViews>
  <sheetFormatPr defaultRowHeight="14.4" x14ac:dyDescent="0.3"/>
  <sheetData>
    <row r="1" spans="2:30" x14ac:dyDescent="0.3">
      <c r="D1" s="3" t="s">
        <v>164</v>
      </c>
    </row>
    <row r="2" spans="2:30" x14ac:dyDescent="0.3">
      <c r="X2" t="s">
        <v>50</v>
      </c>
      <c r="Y2">
        <f>AVERAGEIF(T8:T9999, "&gt;0")</f>
        <v>6.6666666666666714</v>
      </c>
    </row>
    <row r="3" spans="2:30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30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30" x14ac:dyDescent="0.3">
      <c r="D6" s="3" t="s">
        <v>172</v>
      </c>
      <c r="F6" s="1"/>
      <c r="X6" t="s">
        <v>24</v>
      </c>
      <c r="Y6">
        <f>SUM(C5:Q5)</f>
        <v>15</v>
      </c>
    </row>
    <row r="7" spans="2:30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30" x14ac:dyDescent="0.3">
      <c r="D8" t="str">
        <f>_xlfn.CONCAT(Table335611[[#This Row],[Value]],"H ",Table335611[[#This Row],[Size]]," ",Table335611[[#This Row],[Current]],"A ",Table335611[[#This Row],[DCR]],"Ω")</f>
        <v>H  A Ω</v>
      </c>
      <c r="F8" s="1"/>
      <c r="S8">
        <f>COUNTBLANK(Table335611[#This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30" x14ac:dyDescent="0.3">
      <c r="F9" s="1"/>
      <c r="S9">
        <f>COUNTBLANK(Table335611[#This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  <c r="AB9" t="s">
        <v>129</v>
      </c>
      <c r="AC9" t="s">
        <v>130</v>
      </c>
      <c r="AD9" t="s">
        <v>131</v>
      </c>
    </row>
    <row r="10" spans="2:30" x14ac:dyDescent="0.3">
      <c r="F10" s="1"/>
      <c r="I10" s="2"/>
      <c r="S10">
        <f>COUNTBLANK(Table335611[#This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</row>
    <row r="11" spans="2:30" x14ac:dyDescent="0.3">
      <c r="F11" s="1"/>
      <c r="S11">
        <f>COUNTBLANK(Table335611[#This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30" x14ac:dyDescent="0.3">
      <c r="F12" s="1"/>
      <c r="S12">
        <f>COUNTBLANK(Table335611[#This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</row>
    <row r="13" spans="2:30" x14ac:dyDescent="0.3">
      <c r="F13" s="1"/>
      <c r="S13">
        <f>COUNTBLANK(Table335611[#This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</row>
    <row r="14" spans="2:30" x14ac:dyDescent="0.3">
      <c r="F14" s="1"/>
      <c r="S14">
        <f>COUNTBLANK(Table335611[#This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</row>
    <row r="15" spans="2:30" x14ac:dyDescent="0.3">
      <c r="F15" s="1"/>
      <c r="S15">
        <f>COUNTBLANK(Table335611[#This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30" x14ac:dyDescent="0.3">
      <c r="F16" s="1"/>
      <c r="S16">
        <f>COUNTBLANK(Table335611[#This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COUNTBLANK(Table335611[#This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COUNTBLANK(Table335611[#This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COUNTBLANK(Table335611[#This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COUNTBLANK(Table335611[#This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COUNTBLANK(Table335611[#This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COUNTBLANK(Table335611[#This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COUNTBLANK(Table335611[#This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COUNTBLANK(Table335611[#This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COUNTBLANK(Table335611[#This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COUNTBLANK(Table335611[#This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COUNTBLANK(Table335611[#This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COUNTBLANK(Table335611[#This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COUNTBLANK(Table335611[#This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COUNTBLANK(Table335611[#This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COUNTBLANK(Table335611[#This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COUNTBLANK(Table335611[#This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COUNTBLANK(Table335611[#This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13" priority="3">
      <formula>LEN(TRIM(C8))=0</formula>
    </cfRule>
  </conditionalFormatting>
  <conditionalFormatting sqref="M8:M33 J8:J33">
    <cfRule type="duplicateValues" dxfId="12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D2FA-7DA7-44D0-BC14-8B3E9B5DE38C}">
  <dimension ref="B1:Y33"/>
  <sheetViews>
    <sheetView zoomScale="85" zoomScaleNormal="85" workbookViewId="0">
      <selection sqref="A1:Y33"/>
    </sheetView>
  </sheetViews>
  <sheetFormatPr defaultRowHeight="14.4" x14ac:dyDescent="0.3"/>
  <sheetData>
    <row r="1" spans="2:25" x14ac:dyDescent="0.3">
      <c r="D1" s="3" t="s">
        <v>164</v>
      </c>
    </row>
    <row r="2" spans="2:25" x14ac:dyDescent="0.3">
      <c r="X2" t="s">
        <v>50</v>
      </c>
      <c r="Y2">
        <f>AVERAGEIF(T8:T9999, "&gt;0")</f>
        <v>6.6666666666666714</v>
      </c>
    </row>
    <row r="3" spans="2:25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25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25" x14ac:dyDescent="0.3">
      <c r="D6" s="3" t="s">
        <v>172</v>
      </c>
      <c r="F6" s="1"/>
      <c r="X6" t="s">
        <v>24</v>
      </c>
      <c r="Y6">
        <f>SUM(C5:Q5)</f>
        <v>15</v>
      </c>
    </row>
    <row r="7" spans="2:25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25" x14ac:dyDescent="0.3">
      <c r="D8" t="str">
        <f>_xlfn.CONCAT(Table335612[[#This Row],[Value]],"H ",Table335612[[#This Row],[Size]]," ",Table335612[[#This Row],[Current]],"A ",Table335612[[#This Row],[DCR]],"Ω")</f>
        <v>H  A Ω</v>
      </c>
      <c r="F8" s="1"/>
      <c r="S8">
        <f>COUNTBLANK(Table335612[#This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25" x14ac:dyDescent="0.3">
      <c r="F9" s="1"/>
      <c r="S9">
        <f>COUNTBLANK(Table335612[#This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</row>
    <row r="10" spans="2:25" x14ac:dyDescent="0.3">
      <c r="F10" s="1"/>
      <c r="I10" s="2"/>
      <c r="S10">
        <f>COUNTBLANK(Table335612[#This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</row>
    <row r="11" spans="2:25" x14ac:dyDescent="0.3">
      <c r="F11" s="1"/>
      <c r="S11">
        <f>COUNTBLANK(Table335612[#This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25" x14ac:dyDescent="0.3">
      <c r="F12" s="1"/>
      <c r="S12">
        <f>COUNTBLANK(Table335612[#This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</row>
    <row r="13" spans="2:25" x14ac:dyDescent="0.3">
      <c r="F13" s="1"/>
      <c r="S13">
        <f>COUNTBLANK(Table335612[#This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</row>
    <row r="14" spans="2:25" x14ac:dyDescent="0.3">
      <c r="F14" s="1"/>
      <c r="S14">
        <f>COUNTBLANK(Table335612[#This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</row>
    <row r="15" spans="2:25" x14ac:dyDescent="0.3">
      <c r="F15" s="1"/>
      <c r="S15">
        <f>COUNTBLANK(Table335612[#This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25" x14ac:dyDescent="0.3">
      <c r="F16" s="1"/>
      <c r="S16">
        <f>COUNTBLANK(Table335612[#This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COUNTBLANK(Table335612[#This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COUNTBLANK(Table335612[#This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COUNTBLANK(Table335612[#This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COUNTBLANK(Table335612[#This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COUNTBLANK(Table335612[#This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COUNTBLANK(Table335612[#This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COUNTBLANK(Table335612[#This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COUNTBLANK(Table335612[#This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COUNTBLANK(Table335612[#This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COUNTBLANK(Table335612[#This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COUNTBLANK(Table335612[#This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COUNTBLANK(Table335612[#This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COUNTBLANK(Table335612[#This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COUNTBLANK(Table335612[#This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COUNTBLANK(Table335612[#This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COUNTBLANK(Table335612[#This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COUNTBLANK(Table335612[#This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11" priority="3">
      <formula>LEN(TRIM(C8))=0</formula>
    </cfRule>
  </conditionalFormatting>
  <conditionalFormatting sqref="M8:M33 J8:J33">
    <cfRule type="duplicateValues" dxfId="10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1427-2F66-4351-866A-3127EC3BCDA1}">
  <dimension ref="B1:AC33"/>
  <sheetViews>
    <sheetView zoomScale="70" zoomScaleNormal="70" workbookViewId="0">
      <selection sqref="A1:Y33"/>
    </sheetView>
  </sheetViews>
  <sheetFormatPr defaultRowHeight="14.4" x14ac:dyDescent="0.3"/>
  <sheetData>
    <row r="1" spans="2:29" x14ac:dyDescent="0.3">
      <c r="D1" s="3" t="s">
        <v>164</v>
      </c>
    </row>
    <row r="2" spans="2:29" x14ac:dyDescent="0.3">
      <c r="X2" t="s">
        <v>50</v>
      </c>
      <c r="Y2">
        <f>AVERAGEIF(T8:T9999, "&gt;0")</f>
        <v>6.6666666666666714</v>
      </c>
    </row>
    <row r="3" spans="2:29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29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29" x14ac:dyDescent="0.3">
      <c r="D6" s="3" t="s">
        <v>172</v>
      </c>
      <c r="F6" s="1"/>
      <c r="X6" t="s">
        <v>24</v>
      </c>
      <c r="Y6">
        <f>SUM(C5:Q5)</f>
        <v>15</v>
      </c>
    </row>
    <row r="7" spans="2:29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29" x14ac:dyDescent="0.3">
      <c r="D8" t="str">
        <f>_xlfn.CONCAT(Table335613[[#This Row],[Value]],"H ",Table335613[[#This Row],[Size]]," ",Table335613[[#This Row],[Current]],"A ",Table335613[[#This Row],[DCR]],"Ω")</f>
        <v>H  A Ω</v>
      </c>
      <c r="F8" s="1"/>
      <c r="S8">
        <f>COUNTBLANK(Table335613[#This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29" x14ac:dyDescent="0.3">
      <c r="F9" s="1"/>
      <c r="S9">
        <f>COUNTBLANK(Table335613[#This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</row>
    <row r="10" spans="2:29" x14ac:dyDescent="0.3">
      <c r="F10" s="1"/>
      <c r="I10" s="2"/>
      <c r="S10">
        <f>COUNTBLANK(Table335613[#This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</row>
    <row r="11" spans="2:29" x14ac:dyDescent="0.3">
      <c r="F11" s="1"/>
      <c r="S11">
        <f>COUNTBLANK(Table335613[#This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29" x14ac:dyDescent="0.3">
      <c r="F12" s="1"/>
      <c r="S12">
        <f>COUNTBLANK(Table335613[#This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  <c r="AC12" t="s">
        <v>96</v>
      </c>
    </row>
    <row r="13" spans="2:29" x14ac:dyDescent="0.3">
      <c r="F13" s="1"/>
      <c r="S13">
        <f>COUNTBLANK(Table335613[#This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  <c r="AC13" t="s">
        <v>97</v>
      </c>
    </row>
    <row r="14" spans="2:29" x14ac:dyDescent="0.3">
      <c r="F14" s="1"/>
      <c r="S14">
        <f>COUNTBLANK(Table335613[#This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  <c r="AC14" t="s">
        <v>98</v>
      </c>
    </row>
    <row r="15" spans="2:29" x14ac:dyDescent="0.3">
      <c r="F15" s="1"/>
      <c r="S15">
        <f>COUNTBLANK(Table335613[#This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  <c r="AC15" t="s">
        <v>99</v>
      </c>
    </row>
    <row r="16" spans="2:29" x14ac:dyDescent="0.3">
      <c r="F16" s="1"/>
      <c r="S16">
        <f>COUNTBLANK(Table335613[#This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  <c r="AC16" t="s">
        <v>100</v>
      </c>
    </row>
    <row r="17" spans="6:29" x14ac:dyDescent="0.3">
      <c r="F17" s="1"/>
      <c r="S17">
        <f>COUNTBLANK(Table335613[#This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  <c r="AC17" t="s">
        <v>101</v>
      </c>
    </row>
    <row r="18" spans="6:29" x14ac:dyDescent="0.3">
      <c r="F18" s="1"/>
      <c r="S18">
        <f>COUNTBLANK(Table335613[#This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  <c r="AC18" t="s">
        <v>102</v>
      </c>
    </row>
    <row r="19" spans="6:29" x14ac:dyDescent="0.3">
      <c r="F19" s="1"/>
      <c r="S19">
        <f>COUNTBLANK(Table335613[#This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  <c r="AC19" t="s">
        <v>103</v>
      </c>
    </row>
    <row r="20" spans="6:29" x14ac:dyDescent="0.3">
      <c r="F20" s="1"/>
      <c r="S20">
        <f>COUNTBLANK(Table335613[#This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9" x14ac:dyDescent="0.3">
      <c r="F21" s="1"/>
      <c r="S21">
        <f>COUNTBLANK(Table335613[#This Row])</f>
        <v>15</v>
      </c>
      <c r="T21">
        <f t="shared" si="1"/>
        <v>0</v>
      </c>
      <c r="U21">
        <f t="shared" si="2"/>
        <v>0</v>
      </c>
    </row>
    <row r="22" spans="6:29" x14ac:dyDescent="0.3">
      <c r="F22" s="1"/>
      <c r="S22">
        <f>COUNTBLANK(Table335613[#This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9" x14ac:dyDescent="0.3">
      <c r="F23" s="1"/>
      <c r="S23">
        <f>COUNTBLANK(Table335613[#This Row])</f>
        <v>15</v>
      </c>
      <c r="T23">
        <f t="shared" si="1"/>
        <v>0</v>
      </c>
      <c r="U23">
        <f t="shared" si="2"/>
        <v>0</v>
      </c>
    </row>
    <row r="24" spans="6:29" x14ac:dyDescent="0.3">
      <c r="F24" s="1"/>
      <c r="S24">
        <f>COUNTBLANK(Table335613[#This Row])</f>
        <v>15</v>
      </c>
      <c r="T24">
        <f t="shared" si="1"/>
        <v>0</v>
      </c>
      <c r="U24">
        <f t="shared" si="2"/>
        <v>0</v>
      </c>
    </row>
    <row r="25" spans="6:29" x14ac:dyDescent="0.3">
      <c r="F25" s="1"/>
      <c r="S25">
        <f>COUNTBLANK(Table335613[#This Row])</f>
        <v>15</v>
      </c>
      <c r="T25">
        <f t="shared" si="1"/>
        <v>0</v>
      </c>
      <c r="U25">
        <f t="shared" si="2"/>
        <v>0</v>
      </c>
    </row>
    <row r="26" spans="6:29" x14ac:dyDescent="0.3">
      <c r="F26" s="1"/>
      <c r="S26">
        <f>COUNTBLANK(Table335613[#This Row])</f>
        <v>15</v>
      </c>
      <c r="T26">
        <f t="shared" si="1"/>
        <v>0</v>
      </c>
      <c r="U26">
        <f t="shared" si="2"/>
        <v>0</v>
      </c>
    </row>
    <row r="27" spans="6:29" x14ac:dyDescent="0.3">
      <c r="F27" s="1"/>
      <c r="S27">
        <f>COUNTBLANK(Table335613[#This Row])</f>
        <v>15</v>
      </c>
      <c r="T27">
        <f t="shared" si="1"/>
        <v>0</v>
      </c>
      <c r="U27">
        <f t="shared" si="2"/>
        <v>0</v>
      </c>
    </row>
    <row r="28" spans="6:29" x14ac:dyDescent="0.3">
      <c r="F28" s="1"/>
      <c r="S28">
        <f>COUNTBLANK(Table335613[#This Row])</f>
        <v>15</v>
      </c>
      <c r="T28">
        <f t="shared" si="1"/>
        <v>0</v>
      </c>
      <c r="U28">
        <f t="shared" si="2"/>
        <v>0</v>
      </c>
    </row>
    <row r="29" spans="6:29" x14ac:dyDescent="0.3">
      <c r="F29" s="1"/>
      <c r="S29">
        <f>COUNTBLANK(Table335613[#This Row])</f>
        <v>15</v>
      </c>
      <c r="T29">
        <f t="shared" si="1"/>
        <v>0</v>
      </c>
      <c r="U29">
        <f t="shared" si="2"/>
        <v>0</v>
      </c>
    </row>
    <row r="30" spans="6:29" x14ac:dyDescent="0.3">
      <c r="F30" s="1"/>
      <c r="S30">
        <f>COUNTBLANK(Table335613[#This Row])</f>
        <v>15</v>
      </c>
      <c r="T30">
        <f t="shared" si="1"/>
        <v>0</v>
      </c>
      <c r="U30">
        <f t="shared" si="2"/>
        <v>0</v>
      </c>
    </row>
    <row r="31" spans="6:29" x14ac:dyDescent="0.3">
      <c r="F31" s="1"/>
      <c r="S31">
        <f>COUNTBLANK(Table335613[#This Row])</f>
        <v>15</v>
      </c>
      <c r="T31">
        <f t="shared" si="1"/>
        <v>0</v>
      </c>
      <c r="U31">
        <f t="shared" si="2"/>
        <v>0</v>
      </c>
    </row>
    <row r="32" spans="6:29" x14ac:dyDescent="0.3">
      <c r="F32" s="1"/>
      <c r="S32">
        <f>COUNTBLANK(Table335613[#This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COUNTBLANK(Table335613[#This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9" priority="3">
      <formula>LEN(TRIM(C8))=0</formula>
    </cfRule>
  </conditionalFormatting>
  <conditionalFormatting sqref="M8:M33 J8:J33">
    <cfRule type="duplicateValues" dxfId="8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8731-721A-4009-BCCA-BE074F8107B2}">
  <dimension ref="B1:Y33"/>
  <sheetViews>
    <sheetView zoomScale="85" zoomScaleNormal="85" workbookViewId="0">
      <selection sqref="A1:Y33"/>
    </sheetView>
  </sheetViews>
  <sheetFormatPr defaultRowHeight="14.4" x14ac:dyDescent="0.3"/>
  <sheetData>
    <row r="1" spans="2:25" x14ac:dyDescent="0.3">
      <c r="D1" s="3" t="s">
        <v>164</v>
      </c>
    </row>
    <row r="2" spans="2:25" x14ac:dyDescent="0.3">
      <c r="X2" t="s">
        <v>50</v>
      </c>
      <c r="Y2">
        <f>AVERAGEIF(T8:T9999, "&gt;0")</f>
        <v>6.6666666666666714</v>
      </c>
    </row>
    <row r="3" spans="2:25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25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25" x14ac:dyDescent="0.3">
      <c r="D6" s="3" t="s">
        <v>172</v>
      </c>
      <c r="F6" s="1"/>
      <c r="X6" t="s">
        <v>24</v>
      </c>
      <c r="Y6">
        <f>SUM(C5:Q5)</f>
        <v>15</v>
      </c>
    </row>
    <row r="7" spans="2:25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25" x14ac:dyDescent="0.3">
      <c r="D8" t="str">
        <f>_xlfn.CONCAT(Table335614[[#This Row],[Value]],"H ",Table335614[[#This Row],[Size]]," ",Table335614[[#This Row],[Current]],"A ",Table335614[[#This Row],[DCR]],"Ω")</f>
        <v>H  A Ω</v>
      </c>
      <c r="F8" s="1"/>
      <c r="S8">
        <f>COUNTBLANK(Table335614[#This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25" x14ac:dyDescent="0.3">
      <c r="F9" s="1"/>
      <c r="S9">
        <f>COUNTBLANK(Table335614[#This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</row>
    <row r="10" spans="2:25" x14ac:dyDescent="0.3">
      <c r="F10" s="1"/>
      <c r="I10" s="2"/>
      <c r="S10">
        <f>COUNTBLANK(Table335614[#This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</row>
    <row r="11" spans="2:25" x14ac:dyDescent="0.3">
      <c r="F11" s="1"/>
      <c r="S11">
        <f>COUNTBLANK(Table335614[#This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25" x14ac:dyDescent="0.3">
      <c r="F12" s="1"/>
      <c r="S12">
        <f>COUNTBLANK(Table335614[#This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</row>
    <row r="13" spans="2:25" x14ac:dyDescent="0.3">
      <c r="F13" s="1"/>
      <c r="S13">
        <f>COUNTBLANK(Table335614[#This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</row>
    <row r="14" spans="2:25" x14ac:dyDescent="0.3">
      <c r="F14" s="1"/>
      <c r="S14">
        <f>COUNTBLANK(Table335614[#This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</row>
    <row r="15" spans="2:25" x14ac:dyDescent="0.3">
      <c r="F15" s="1"/>
      <c r="S15">
        <f>COUNTBLANK(Table335614[#This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25" x14ac:dyDescent="0.3">
      <c r="F16" s="1"/>
      <c r="S16">
        <f>COUNTBLANK(Table335614[#This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COUNTBLANK(Table335614[#This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COUNTBLANK(Table335614[#This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COUNTBLANK(Table335614[#This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COUNTBLANK(Table335614[#This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COUNTBLANK(Table335614[#This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COUNTBLANK(Table335614[#This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COUNTBLANK(Table335614[#This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COUNTBLANK(Table335614[#This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COUNTBLANK(Table335614[#This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COUNTBLANK(Table335614[#This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COUNTBLANK(Table335614[#This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COUNTBLANK(Table335614[#This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COUNTBLANK(Table335614[#This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COUNTBLANK(Table335614[#This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COUNTBLANK(Table335614[#This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COUNTBLANK(Table335614[#This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COUNTBLANK(Table335614[#This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7" priority="3">
      <formula>LEN(TRIM(C8))=0</formula>
    </cfRule>
  </conditionalFormatting>
  <conditionalFormatting sqref="M8:M33 J8:J33">
    <cfRule type="duplicateValues" dxfId="6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CB66-9E68-4F96-93E0-3E96F000BD6A}">
  <dimension ref="B1:AD33"/>
  <sheetViews>
    <sheetView zoomScale="70" zoomScaleNormal="70" workbookViewId="0">
      <selection sqref="A1:Y33"/>
    </sheetView>
  </sheetViews>
  <sheetFormatPr defaultRowHeight="14.4" x14ac:dyDescent="0.3"/>
  <cols>
    <col min="16" max="16" width="13" customWidth="1"/>
    <col min="17" max="17" width="15.6640625" bestFit="1" customWidth="1"/>
  </cols>
  <sheetData>
    <row r="1" spans="2:30" x14ac:dyDescent="0.3">
      <c r="D1" s="3" t="s">
        <v>164</v>
      </c>
    </row>
    <row r="2" spans="2:30" x14ac:dyDescent="0.3">
      <c r="X2" t="s">
        <v>50</v>
      </c>
      <c r="Y2">
        <f>AVERAGEIF(T8:T9999, "&gt;0")</f>
        <v>6.6666666666666714</v>
      </c>
    </row>
    <row r="3" spans="2:30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30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30" x14ac:dyDescent="0.3">
      <c r="D6" s="3" t="s">
        <v>172</v>
      </c>
      <c r="F6" s="1"/>
      <c r="X6" t="s">
        <v>24</v>
      </c>
      <c r="Y6">
        <f>SUM(C5:Q5)</f>
        <v>15</v>
      </c>
    </row>
    <row r="7" spans="2:30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  <c r="AB7" t="s">
        <v>89</v>
      </c>
      <c r="AD7" t="s">
        <v>127</v>
      </c>
    </row>
    <row r="8" spans="2:30" x14ac:dyDescent="0.3">
      <c r="D8" t="str">
        <f>_xlfn.CONCAT(Table335615[[#This Row],[Value]],"H ",Table335615[[#This Row],[Size]]," ",Table335615[[#This Row],[Current]],"A ",Table335615[[#This Row],[DCR]],"Ω")</f>
        <v>H  A Ω</v>
      </c>
      <c r="F8" s="1"/>
      <c r="S8">
        <f>COUNTBLANK(Table335615[#This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  <c r="AB8" t="s">
        <v>86</v>
      </c>
      <c r="AC8" t="s">
        <v>95</v>
      </c>
      <c r="AD8" t="s">
        <v>128</v>
      </c>
    </row>
    <row r="9" spans="2:30" x14ac:dyDescent="0.3">
      <c r="F9" s="1"/>
      <c r="S9">
        <f>COUNTBLANK(Table335615[#This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  <c r="AB9" t="s">
        <v>87</v>
      </c>
      <c r="AC9" t="s">
        <v>94</v>
      </c>
    </row>
    <row r="10" spans="2:30" x14ac:dyDescent="0.3">
      <c r="F10" s="1"/>
      <c r="I10" s="2"/>
      <c r="S10">
        <f>COUNTBLANK(Table335615[#This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  <c r="AB10" t="s">
        <v>88</v>
      </c>
      <c r="AC10" t="s">
        <v>138</v>
      </c>
    </row>
    <row r="11" spans="2:30" x14ac:dyDescent="0.3">
      <c r="F11" s="1"/>
      <c r="S11">
        <f>COUNTBLANK(Table335615[#This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  <c r="AB11" t="s">
        <v>90</v>
      </c>
    </row>
    <row r="12" spans="2:30" x14ac:dyDescent="0.3">
      <c r="F12" s="1"/>
      <c r="S12">
        <f>COUNTBLANK(Table335615[#This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  <c r="AB12" t="s">
        <v>91</v>
      </c>
    </row>
    <row r="13" spans="2:30" x14ac:dyDescent="0.3">
      <c r="F13" s="1"/>
      <c r="S13">
        <f>COUNTBLANK(Table335615[#This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  <c r="AB13" t="s">
        <v>92</v>
      </c>
    </row>
    <row r="14" spans="2:30" x14ac:dyDescent="0.3">
      <c r="F14" s="1"/>
      <c r="S14">
        <f>COUNTBLANK(Table335615[#This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  <c r="AB14" t="s">
        <v>93</v>
      </c>
    </row>
    <row r="15" spans="2:30" x14ac:dyDescent="0.3">
      <c r="F15" s="1"/>
      <c r="S15">
        <f>COUNTBLANK(Table335615[#This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  <c r="AB15" t="s">
        <v>123</v>
      </c>
    </row>
    <row r="16" spans="2:30" x14ac:dyDescent="0.3">
      <c r="F16" s="1"/>
      <c r="S16">
        <f>COUNTBLANK(Table335615[#This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COUNTBLANK(Table335615[#This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COUNTBLANK(Table335615[#This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COUNTBLANK(Table335615[#This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COUNTBLANK(Table335615[#This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COUNTBLANK(Table335615[#This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COUNTBLANK(Table335615[#This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COUNTBLANK(Table335615[#This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COUNTBLANK(Table335615[#This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COUNTBLANK(Table335615[#This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COUNTBLANK(Table335615[#This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COUNTBLANK(Table335615[#This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COUNTBLANK(Table335615[#This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COUNTBLANK(Table335615[#This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COUNTBLANK(Table335615[#This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COUNTBLANK(Table335615[#This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COUNTBLANK(Table335615[#This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COUNTBLANK(Table335615[#This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5" priority="3">
      <formula>LEN(TRIM(C8))=0</formula>
    </cfRule>
  </conditionalFormatting>
  <conditionalFormatting sqref="M8:M33 J8:J33">
    <cfRule type="duplicateValues" dxfId="4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8158-3F74-42BB-B71F-E8B63F8A00BC}">
  <dimension ref="B1:AG33"/>
  <sheetViews>
    <sheetView zoomScale="70" zoomScaleNormal="70" workbookViewId="0">
      <selection activeCell="M36" sqref="M36"/>
    </sheetView>
  </sheetViews>
  <sheetFormatPr defaultRowHeight="14.4" x14ac:dyDescent="0.3"/>
  <cols>
    <col min="19" max="19" width="10.88671875" bestFit="1" customWidth="1"/>
    <col min="20" max="20" width="12.6640625" bestFit="1" customWidth="1"/>
    <col min="21" max="21" width="15.33203125" bestFit="1" customWidth="1"/>
  </cols>
  <sheetData>
    <row r="1" spans="2:33" x14ac:dyDescent="0.3">
      <c r="D1" s="3" t="s">
        <v>164</v>
      </c>
    </row>
    <row r="2" spans="2:33" x14ac:dyDescent="0.3">
      <c r="X2" t="s">
        <v>50</v>
      </c>
      <c r="Y2">
        <f>AVERAGEIF(T8:T9999, "&gt;0")</f>
        <v>6.6666666666666714</v>
      </c>
    </row>
    <row r="3" spans="2:33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33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33" x14ac:dyDescent="0.3">
      <c r="D6" s="3" t="s">
        <v>172</v>
      </c>
      <c r="F6" s="1"/>
      <c r="X6" t="s">
        <v>24</v>
      </c>
      <c r="Y6">
        <f>SUM(C5:Q5)</f>
        <v>15</v>
      </c>
    </row>
    <row r="7" spans="2:33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33" x14ac:dyDescent="0.3">
      <c r="D8" t="str">
        <f>_xlfn.CONCAT(Table335616[[#This Row],[Value]],"H ",Table335616[[#This Row],[Size]]," ",Table335616[[#This Row],[Current]],"A ",Table335616[[#This Row],[DCR]],"Ω")</f>
        <v>H  A Ω</v>
      </c>
      <c r="F8" s="1"/>
      <c r="S8">
        <f>COUNTBLANK(Table335616[#This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  <c r="AC8" t="s">
        <v>125</v>
      </c>
      <c r="AD8" t="s">
        <v>134</v>
      </c>
      <c r="AE8" t="s">
        <v>135</v>
      </c>
      <c r="AF8" t="s">
        <v>136</v>
      </c>
      <c r="AG8" t="s">
        <v>137</v>
      </c>
    </row>
    <row r="9" spans="2:33" x14ac:dyDescent="0.3">
      <c r="F9" s="1"/>
      <c r="S9">
        <f>COUNTBLANK(Table335616[#This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  <c r="AC9" t="s">
        <v>126</v>
      </c>
    </row>
    <row r="10" spans="2:33" x14ac:dyDescent="0.3">
      <c r="F10" s="1"/>
      <c r="I10" s="2"/>
      <c r="S10">
        <f>COUNTBLANK(Table335616[#This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  <c r="AC10">
        <v>2147551023</v>
      </c>
    </row>
    <row r="11" spans="2:33" x14ac:dyDescent="0.3">
      <c r="F11" s="1"/>
      <c r="S11">
        <f>COUNTBLANK(Table335616[#This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33" x14ac:dyDescent="0.3">
      <c r="F12" s="1"/>
      <c r="S12">
        <f>COUNTBLANK(Table335616[#This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</row>
    <row r="13" spans="2:33" x14ac:dyDescent="0.3">
      <c r="F13" s="1"/>
      <c r="S13">
        <f>COUNTBLANK(Table335616[#This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</row>
    <row r="14" spans="2:33" x14ac:dyDescent="0.3">
      <c r="F14" s="1"/>
      <c r="S14">
        <f>COUNTBLANK(Table335616[#This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</row>
    <row r="15" spans="2:33" x14ac:dyDescent="0.3">
      <c r="F15" s="1"/>
      <c r="S15">
        <f>COUNTBLANK(Table335616[#This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33" x14ac:dyDescent="0.3">
      <c r="F16" s="1"/>
      <c r="S16">
        <f>COUNTBLANK(Table335616[#This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COUNTBLANK(Table335616[#This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COUNTBLANK(Table335616[#This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COUNTBLANK(Table335616[#This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COUNTBLANK(Table335616[#This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COUNTBLANK(Table335616[#This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COUNTBLANK(Table335616[#This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COUNTBLANK(Table335616[#This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COUNTBLANK(Table335616[#This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COUNTBLANK(Table335616[#This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COUNTBLANK(Table335616[#This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COUNTBLANK(Table335616[#This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COUNTBLANK(Table335616[#This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COUNTBLANK(Table335616[#This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COUNTBLANK(Table335616[#This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COUNTBLANK(Table335616[#This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COUNTBLANK(Table335616[#This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COUNTBLANK(Table335616[#This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3" priority="3">
      <formula>LEN(TRIM(C8))=0</formula>
    </cfRule>
  </conditionalFormatting>
  <conditionalFormatting sqref="M8:M33 J8:J33">
    <cfRule type="duplicateValues" dxfId="2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6E40-3B89-4C9D-B9AB-1F05DB2ED15C}">
  <dimension ref="B1:AA33"/>
  <sheetViews>
    <sheetView zoomScale="70" zoomScaleNormal="70" workbookViewId="0">
      <selection activeCell="R7" sqref="R7"/>
    </sheetView>
  </sheetViews>
  <sheetFormatPr defaultRowHeight="14.4" x14ac:dyDescent="0.3"/>
  <sheetData>
    <row r="1" spans="2:27" x14ac:dyDescent="0.3">
      <c r="D1" s="3" t="s">
        <v>164</v>
      </c>
    </row>
    <row r="2" spans="2:27" x14ac:dyDescent="0.3">
      <c r="X2" t="s">
        <v>50</v>
      </c>
      <c r="Y2">
        <f>AVERAGEIF(T8:T9999, "&gt;0")</f>
        <v>6.6666666666666714</v>
      </c>
    </row>
    <row r="3" spans="2:27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27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27" x14ac:dyDescent="0.3">
      <c r="D6" s="3" t="s">
        <v>172</v>
      </c>
      <c r="F6" s="1"/>
      <c r="X6" t="s">
        <v>24</v>
      </c>
      <c r="Y6">
        <f>SUM(C5:Q5)</f>
        <v>15</v>
      </c>
    </row>
    <row r="7" spans="2:27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  <c r="AA7" t="s">
        <v>133</v>
      </c>
    </row>
    <row r="8" spans="2:27" x14ac:dyDescent="0.3">
      <c r="D8" t="str">
        <f>_xlfn.CONCAT(Table335617[[#This Row],[Value]],"H ",Table335617[[#This Row],[Size]]," ",Table335617[[#This Row],[Current]],"A ",Table335617[[#This Row],[DCR]],"Ω")</f>
        <v>H  A Ω</v>
      </c>
      <c r="F8" s="1"/>
      <c r="S8">
        <f>COUNTBLANK(Table335617[#This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27" x14ac:dyDescent="0.3">
      <c r="F9" s="1"/>
      <c r="S9">
        <f>COUNTBLANK(Table335617[#This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</row>
    <row r="10" spans="2:27" x14ac:dyDescent="0.3">
      <c r="F10" s="1"/>
      <c r="I10" s="2"/>
      <c r="S10">
        <f>COUNTBLANK(Table335617[#This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</row>
    <row r="11" spans="2:27" x14ac:dyDescent="0.3">
      <c r="F11" s="1"/>
      <c r="S11">
        <f>COUNTBLANK(Table335617[#This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27" x14ac:dyDescent="0.3">
      <c r="F12" s="1"/>
      <c r="S12">
        <f>COUNTBLANK(Table335617[#This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</row>
    <row r="13" spans="2:27" x14ac:dyDescent="0.3">
      <c r="F13" s="1"/>
      <c r="S13">
        <f>COUNTBLANK(Table335617[#This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</row>
    <row r="14" spans="2:27" x14ac:dyDescent="0.3">
      <c r="F14" s="1"/>
      <c r="S14">
        <f>COUNTBLANK(Table335617[#This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</row>
    <row r="15" spans="2:27" x14ac:dyDescent="0.3">
      <c r="F15" s="1"/>
      <c r="S15">
        <f>COUNTBLANK(Table335617[#This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27" x14ac:dyDescent="0.3">
      <c r="F16" s="1"/>
      <c r="S16">
        <f>COUNTBLANK(Table335617[#This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COUNTBLANK(Table335617[#This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COUNTBLANK(Table335617[#This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COUNTBLANK(Table335617[#This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COUNTBLANK(Table335617[#This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COUNTBLANK(Table335617[#This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COUNTBLANK(Table335617[#This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COUNTBLANK(Table335617[#This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COUNTBLANK(Table335617[#This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COUNTBLANK(Table335617[#This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COUNTBLANK(Table335617[#This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COUNTBLANK(Table335617[#This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COUNTBLANK(Table335617[#This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COUNTBLANK(Table335617[#This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COUNTBLANK(Table335617[#This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COUNTBLANK(Table335617[#This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COUNTBLANK(Table335617[#This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COUNTBLANK(Table335617[#This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1" priority="3">
      <formula>LEN(TRIM(C8))=0</formula>
    </cfRule>
  </conditionalFormatting>
  <conditionalFormatting sqref="M8:M33 J8:J33">
    <cfRule type="duplicateValues" dxfId="0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F5F7-9480-4C93-B620-8291A92EA929}">
  <dimension ref="B1:AA33"/>
  <sheetViews>
    <sheetView zoomScale="70" zoomScaleNormal="70" workbookViewId="0">
      <selection activeCell="Q8" sqref="Q8"/>
    </sheetView>
  </sheetViews>
  <sheetFormatPr defaultRowHeight="14.4" x14ac:dyDescent="0.3"/>
  <cols>
    <col min="1" max="2" width="9.88671875" bestFit="1" customWidth="1"/>
    <col min="3" max="3" width="7.88671875" bestFit="1" customWidth="1"/>
    <col min="4" max="4" width="7.88671875" customWidth="1"/>
    <col min="5" max="5" width="8" bestFit="1" customWidth="1"/>
    <col min="6" max="6" width="6.44140625" style="1" bestFit="1" customWidth="1"/>
    <col min="7" max="7" width="11.44140625" bestFit="1" customWidth="1"/>
    <col min="8" max="8" width="8.5546875" bestFit="1" customWidth="1"/>
    <col min="9" max="9" width="9.6640625" bestFit="1" customWidth="1"/>
    <col min="10" max="10" width="13" bestFit="1" customWidth="1"/>
    <col min="11" max="11" width="17.21875" bestFit="1" customWidth="1"/>
    <col min="12" max="12" width="7.109375" bestFit="1" customWidth="1"/>
    <col min="13" max="13" width="12.109375" bestFit="1" customWidth="1"/>
    <col min="14" max="14" width="14.109375" customWidth="1"/>
    <col min="15" max="15" width="11.6640625" bestFit="1" customWidth="1"/>
    <col min="16" max="16" width="19.33203125" bestFit="1" customWidth="1"/>
    <col min="17" max="17" width="11" bestFit="1" customWidth="1"/>
    <col min="18" max="18" width="11" customWidth="1"/>
    <col min="19" max="19" width="11.5546875" bestFit="1" customWidth="1"/>
    <col min="23" max="23" width="9.77734375" bestFit="1" customWidth="1"/>
    <col min="26" max="26" width="13.88671875" bestFit="1" customWidth="1"/>
  </cols>
  <sheetData>
    <row r="1" spans="2:27" x14ac:dyDescent="0.3">
      <c r="F1"/>
    </row>
    <row r="2" spans="2:27" x14ac:dyDescent="0.3">
      <c r="F2"/>
      <c r="Z2" t="s">
        <v>50</v>
      </c>
      <c r="AA2">
        <f>AVERAGEIF(V8:V9999, "&gt;0")</f>
        <v>86.764705882352928</v>
      </c>
    </row>
    <row r="3" spans="2:27" x14ac:dyDescent="0.3">
      <c r="B3" t="s">
        <v>1</v>
      </c>
      <c r="C3">
        <f>COUNTA(C8:C9999)</f>
        <v>1</v>
      </c>
      <c r="D3">
        <f>COUNTA(D8:D9999)</f>
        <v>4</v>
      </c>
      <c r="E3">
        <f>COUNTA(E8:E9999)</f>
        <v>4</v>
      </c>
      <c r="F3">
        <f t="shared" ref="F3:S3" si="0">COUNTA(F8:F9999)</f>
        <v>4</v>
      </c>
      <c r="G3">
        <f t="shared" si="0"/>
        <v>4</v>
      </c>
      <c r="H3">
        <f t="shared" si="0"/>
        <v>4</v>
      </c>
      <c r="I3">
        <f t="shared" si="0"/>
        <v>4</v>
      </c>
      <c r="J3">
        <f t="shared" si="0"/>
        <v>4</v>
      </c>
      <c r="K3">
        <f t="shared" si="0"/>
        <v>4</v>
      </c>
      <c r="L3">
        <f t="shared" si="0"/>
        <v>4</v>
      </c>
      <c r="M3">
        <f t="shared" si="0"/>
        <v>4</v>
      </c>
      <c r="N3">
        <f t="shared" si="0"/>
        <v>4</v>
      </c>
      <c r="O3">
        <f t="shared" si="0"/>
        <v>4</v>
      </c>
      <c r="P3">
        <f t="shared" si="0"/>
        <v>1</v>
      </c>
      <c r="Q3">
        <f t="shared" si="0"/>
        <v>1</v>
      </c>
      <c r="R3">
        <f t="shared" si="0"/>
        <v>4</v>
      </c>
      <c r="S3">
        <f t="shared" si="0"/>
        <v>4</v>
      </c>
    </row>
    <row r="4" spans="2:27" x14ac:dyDescent="0.3">
      <c r="F4"/>
    </row>
    <row r="5" spans="2:27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Z5" t="s">
        <v>1</v>
      </c>
      <c r="AA5">
        <f>COUNTIF(V8:V99,"&gt;0")</f>
        <v>4</v>
      </c>
    </row>
    <row r="6" spans="2:27" x14ac:dyDescent="0.3">
      <c r="Z6" t="s">
        <v>24</v>
      </c>
      <c r="AA6">
        <f>SUM(C5:S5)</f>
        <v>16</v>
      </c>
    </row>
    <row r="7" spans="2:27" x14ac:dyDescent="0.3">
      <c r="C7" t="s">
        <v>25</v>
      </c>
      <c r="D7" t="s">
        <v>145</v>
      </c>
      <c r="E7" t="s">
        <v>28</v>
      </c>
      <c r="F7" s="1" t="s">
        <v>29</v>
      </c>
      <c r="G7" t="s">
        <v>30</v>
      </c>
      <c r="H7" t="s">
        <v>31</v>
      </c>
      <c r="I7" t="s">
        <v>32</v>
      </c>
      <c r="J7" t="s">
        <v>33</v>
      </c>
      <c r="K7" t="s">
        <v>27</v>
      </c>
      <c r="L7" t="s">
        <v>52</v>
      </c>
      <c r="M7" t="s">
        <v>54</v>
      </c>
      <c r="N7" t="s">
        <v>53</v>
      </c>
      <c r="O7" t="s">
        <v>34</v>
      </c>
      <c r="P7" t="s">
        <v>35</v>
      </c>
      <c r="Q7" t="s">
        <v>36</v>
      </c>
      <c r="R7" t="s">
        <v>39</v>
      </c>
      <c r="S7" t="s">
        <v>38</v>
      </c>
      <c r="U7" t="s">
        <v>49</v>
      </c>
      <c r="V7" t="s">
        <v>50</v>
      </c>
      <c r="W7" t="s">
        <v>41</v>
      </c>
      <c r="Z7" t="s">
        <v>40</v>
      </c>
      <c r="AA7">
        <f>C3</f>
        <v>1</v>
      </c>
    </row>
    <row r="8" spans="2:27" x14ac:dyDescent="0.3">
      <c r="C8">
        <v>1</v>
      </c>
      <c r="D8" t="str">
        <f>_xlfn.CONCAT(Table3[[#This Row],[Value]],"Ω ",Table3[[#This Row],[Size]]," ",Table3[[#This Row],[Tolerance]],"% ",Table3[[#This Row],[Technology]]," ",Table3[[#This Row],[Power]],"W ",Table3[[#This Row],[Subcategory]])</f>
        <v>100Ω 0603 1% Thick Film 0.1W  </v>
      </c>
      <c r="E8">
        <v>100</v>
      </c>
      <c r="F8" s="1" t="s">
        <v>42</v>
      </c>
      <c r="G8">
        <v>1</v>
      </c>
      <c r="H8">
        <v>0.1</v>
      </c>
      <c r="I8">
        <v>75</v>
      </c>
      <c r="J8" t="s">
        <v>43</v>
      </c>
      <c r="K8" t="s">
        <v>44</v>
      </c>
      <c r="L8" t="s">
        <v>55</v>
      </c>
      <c r="M8" t="s">
        <v>56</v>
      </c>
      <c r="N8" t="s">
        <v>57</v>
      </c>
      <c r="O8" t="s">
        <v>45</v>
      </c>
      <c r="P8" t="s">
        <v>46</v>
      </c>
      <c r="Q8" t="s">
        <v>47</v>
      </c>
      <c r="R8" t="s">
        <v>146</v>
      </c>
      <c r="S8" t="s">
        <v>48</v>
      </c>
      <c r="U8">
        <f>COUNTBLANK(Table3[#This Row])</f>
        <v>0</v>
      </c>
      <c r="V8">
        <f t="shared" ref="V8:V27" si="1">100 - (100*U8/COUNTA($C$3:$S$3))</f>
        <v>100</v>
      </c>
      <c r="W8">
        <f>IF(V8=100,1,0)</f>
        <v>1</v>
      </c>
      <c r="Z8" t="s">
        <v>71</v>
      </c>
      <c r="AA8">
        <f>E3</f>
        <v>4</v>
      </c>
    </row>
    <row r="9" spans="2:27" x14ac:dyDescent="0.3">
      <c r="D9" t="str">
        <f>_xlfn.CONCAT(Table3[[#This Row],[Value]],"Ω ",Table3[[#This Row],[Size]]," ",Table3[[#This Row],[Tolerance]],"% ",Table3[[#This Row],[Technology]]," ",Table3[[#This Row],[Power]],"W ",Table3[[#This Row],[Subcategory]])</f>
        <v>1kΩ 1206 5% Thick Film 0.1W Array</v>
      </c>
      <c r="E9" t="s">
        <v>58</v>
      </c>
      <c r="F9" s="1" t="s">
        <v>59</v>
      </c>
      <c r="G9">
        <v>5</v>
      </c>
      <c r="H9">
        <v>0.1</v>
      </c>
      <c r="I9">
        <v>50</v>
      </c>
      <c r="J9" t="s">
        <v>43</v>
      </c>
      <c r="K9" t="s">
        <v>62</v>
      </c>
      <c r="L9" t="s">
        <v>61</v>
      </c>
      <c r="M9" t="s">
        <v>56</v>
      </c>
      <c r="N9" t="s">
        <v>60</v>
      </c>
      <c r="O9" t="s">
        <v>63</v>
      </c>
      <c r="R9" t="s">
        <v>51</v>
      </c>
      <c r="S9" t="s">
        <v>66</v>
      </c>
      <c r="U9">
        <f>COUNTBLANK(Table3[#This Row])</f>
        <v>3</v>
      </c>
      <c r="V9">
        <f t="shared" si="1"/>
        <v>82.35294117647058</v>
      </c>
      <c r="W9">
        <f t="shared" ref="W9:W27" si="2">IF(V9=100,1,0)</f>
        <v>0</v>
      </c>
      <c r="Z9" t="s">
        <v>72</v>
      </c>
      <c r="AA9">
        <f>F3</f>
        <v>4</v>
      </c>
    </row>
    <row r="10" spans="2:27" x14ac:dyDescent="0.3">
      <c r="D10" t="str">
        <f>_xlfn.CONCAT(Table3[[#This Row],[Value]],"Ω ",Table3[[#This Row],[Size]]," ",Table3[[#This Row],[Tolerance]],"% ",Table3[[#This Row],[Technology]]," ",Table3[[#This Row],[Power]],"W ",Table3[[#This Row],[Subcategory]])</f>
        <v>10kΩ 1206 5% Thick Film 0.1W Array</v>
      </c>
      <c r="E10" t="s">
        <v>64</v>
      </c>
      <c r="F10" s="1" t="s">
        <v>59</v>
      </c>
      <c r="G10">
        <v>5</v>
      </c>
      <c r="H10">
        <v>0.1</v>
      </c>
      <c r="I10">
        <v>50</v>
      </c>
      <c r="J10" t="s">
        <v>43</v>
      </c>
      <c r="K10" t="s">
        <v>65</v>
      </c>
      <c r="L10" t="s">
        <v>61</v>
      </c>
      <c r="M10" t="s">
        <v>56</v>
      </c>
      <c r="N10" t="s">
        <v>67</v>
      </c>
      <c r="O10" t="s">
        <v>63</v>
      </c>
      <c r="R10" t="s">
        <v>51</v>
      </c>
      <c r="S10" t="s">
        <v>66</v>
      </c>
      <c r="U10">
        <f>COUNTBLANK(Table3[#This Row])</f>
        <v>3</v>
      </c>
      <c r="V10">
        <f t="shared" si="1"/>
        <v>82.35294117647058</v>
      </c>
      <c r="W10">
        <f t="shared" si="2"/>
        <v>0</v>
      </c>
      <c r="Z10" t="s">
        <v>73</v>
      </c>
      <c r="AA10">
        <f>G3</f>
        <v>4</v>
      </c>
    </row>
    <row r="11" spans="2:27" x14ac:dyDescent="0.3">
      <c r="D11" t="str">
        <f>_xlfn.CONCAT(Table3[[#This Row],[Value]],"Ω ",Table3[[#This Row],[Size]]," ",Table3[[#This Row],[Tolerance]],"% ",Table3[[#This Row],[Technology]]," ",Table3[[#This Row],[Power]],"W ",Table3[[#This Row],[Subcategory]])</f>
        <v>4.7kΩ 1206 5% Thick Film 0.1W Array</v>
      </c>
      <c r="E11" t="s">
        <v>68</v>
      </c>
      <c r="F11" s="1" t="s">
        <v>59</v>
      </c>
      <c r="G11">
        <v>5</v>
      </c>
      <c r="H11">
        <v>0.1</v>
      </c>
      <c r="I11">
        <v>50</v>
      </c>
      <c r="J11" t="s">
        <v>43</v>
      </c>
      <c r="K11" t="s">
        <v>69</v>
      </c>
      <c r="L11" t="s">
        <v>61</v>
      </c>
      <c r="M11" t="s">
        <v>56</v>
      </c>
      <c r="N11" t="s">
        <v>70</v>
      </c>
      <c r="O11" t="s">
        <v>63</v>
      </c>
      <c r="R11" t="s">
        <v>51</v>
      </c>
      <c r="S11" t="s">
        <v>66</v>
      </c>
      <c r="U11">
        <f>COUNTBLANK(Table3[#This Row])</f>
        <v>3</v>
      </c>
      <c r="V11">
        <f t="shared" si="1"/>
        <v>82.35294117647058</v>
      </c>
      <c r="W11">
        <f t="shared" si="2"/>
        <v>0</v>
      </c>
      <c r="Z11" t="s">
        <v>74</v>
      </c>
      <c r="AA11">
        <f>H3</f>
        <v>4</v>
      </c>
    </row>
    <row r="12" spans="2:27" x14ac:dyDescent="0.3">
      <c r="U12">
        <f>COUNTBLANK(Table3[#This Row])</f>
        <v>17</v>
      </c>
      <c r="V12">
        <f t="shared" si="1"/>
        <v>0</v>
      </c>
      <c r="W12">
        <f t="shared" si="2"/>
        <v>0</v>
      </c>
      <c r="Z12" t="s">
        <v>75</v>
      </c>
      <c r="AA12">
        <f>I3</f>
        <v>4</v>
      </c>
    </row>
    <row r="13" spans="2:27" x14ac:dyDescent="0.3">
      <c r="U13">
        <f>COUNTBLANK(Table3[#This Row])</f>
        <v>17</v>
      </c>
      <c r="V13">
        <f t="shared" si="1"/>
        <v>0</v>
      </c>
      <c r="W13">
        <f t="shared" si="2"/>
        <v>0</v>
      </c>
      <c r="Z13" t="s">
        <v>76</v>
      </c>
      <c r="AA13">
        <f>J3</f>
        <v>4</v>
      </c>
    </row>
    <row r="14" spans="2:27" x14ac:dyDescent="0.3">
      <c r="U14">
        <f>COUNTBLANK(Table3[#This Row])</f>
        <v>17</v>
      </c>
      <c r="V14">
        <f t="shared" si="1"/>
        <v>0</v>
      </c>
      <c r="W14">
        <f t="shared" si="2"/>
        <v>0</v>
      </c>
      <c r="Z14" t="s">
        <v>77</v>
      </c>
      <c r="AA14">
        <f>K3</f>
        <v>4</v>
      </c>
    </row>
    <row r="15" spans="2:27" x14ac:dyDescent="0.3">
      <c r="U15">
        <f>COUNTBLANK(Table3[#This Row])</f>
        <v>17</v>
      </c>
      <c r="V15">
        <f t="shared" si="1"/>
        <v>0</v>
      </c>
      <c r="W15">
        <f t="shared" si="2"/>
        <v>0</v>
      </c>
      <c r="Z15" t="s">
        <v>78</v>
      </c>
      <c r="AA15">
        <f>L3</f>
        <v>4</v>
      </c>
    </row>
    <row r="16" spans="2:27" x14ac:dyDescent="0.3">
      <c r="U16">
        <f>COUNTBLANK(Table3[#This Row])</f>
        <v>17</v>
      </c>
      <c r="V16">
        <f t="shared" si="1"/>
        <v>0</v>
      </c>
      <c r="W16">
        <f t="shared" si="2"/>
        <v>0</v>
      </c>
      <c r="Z16" t="s">
        <v>79</v>
      </c>
      <c r="AA16">
        <f>M3</f>
        <v>4</v>
      </c>
    </row>
    <row r="17" spans="21:27" x14ac:dyDescent="0.3">
      <c r="U17">
        <f>COUNTBLANK(Table3[#This Row])</f>
        <v>17</v>
      </c>
      <c r="V17">
        <f t="shared" si="1"/>
        <v>0</v>
      </c>
      <c r="W17">
        <f t="shared" si="2"/>
        <v>0</v>
      </c>
      <c r="Z17" t="s">
        <v>80</v>
      </c>
      <c r="AA17">
        <f>N3</f>
        <v>4</v>
      </c>
    </row>
    <row r="18" spans="21:27" x14ac:dyDescent="0.3">
      <c r="U18">
        <f>COUNTBLANK(Table3[#This Row])</f>
        <v>17</v>
      </c>
      <c r="V18">
        <f t="shared" si="1"/>
        <v>0</v>
      </c>
      <c r="W18">
        <f t="shared" si="2"/>
        <v>0</v>
      </c>
      <c r="Z18" t="s">
        <v>81</v>
      </c>
      <c r="AA18">
        <f>O3</f>
        <v>4</v>
      </c>
    </row>
    <row r="19" spans="21:27" x14ac:dyDescent="0.3">
      <c r="U19">
        <f>COUNTBLANK(Table3[#This Row])</f>
        <v>17</v>
      </c>
      <c r="V19">
        <f t="shared" si="1"/>
        <v>0</v>
      </c>
      <c r="W19">
        <f t="shared" si="2"/>
        <v>0</v>
      </c>
      <c r="Z19" t="s">
        <v>82</v>
      </c>
      <c r="AA19">
        <f>P3</f>
        <v>1</v>
      </c>
    </row>
    <row r="20" spans="21:27" x14ac:dyDescent="0.3">
      <c r="U20">
        <f>COUNTBLANK(Table3[#This Row])</f>
        <v>17</v>
      </c>
      <c r="V20">
        <f t="shared" si="1"/>
        <v>0</v>
      </c>
      <c r="W20">
        <f t="shared" si="2"/>
        <v>0</v>
      </c>
      <c r="Z20" t="s">
        <v>83</v>
      </c>
      <c r="AA20">
        <f>Q3</f>
        <v>1</v>
      </c>
    </row>
    <row r="21" spans="21:27" x14ac:dyDescent="0.3">
      <c r="U21">
        <f>COUNTBLANK(Table3[#This Row])</f>
        <v>17</v>
      </c>
      <c r="V21">
        <f t="shared" si="1"/>
        <v>0</v>
      </c>
      <c r="W21">
        <f t="shared" si="2"/>
        <v>0</v>
      </c>
      <c r="Z21" t="s">
        <v>84</v>
      </c>
      <c r="AA21">
        <f>R3</f>
        <v>4</v>
      </c>
    </row>
    <row r="22" spans="21:27" x14ac:dyDescent="0.3">
      <c r="U22">
        <f>COUNTBLANK(Table3[#This Row])</f>
        <v>17</v>
      </c>
      <c r="V22">
        <f t="shared" si="1"/>
        <v>0</v>
      </c>
      <c r="W22">
        <f t="shared" si="2"/>
        <v>0</v>
      </c>
      <c r="Z22" t="s">
        <v>85</v>
      </c>
      <c r="AA22">
        <f>S3</f>
        <v>4</v>
      </c>
    </row>
    <row r="23" spans="21:27" x14ac:dyDescent="0.3">
      <c r="U23">
        <f>COUNTBLANK(Table3[#This Row])</f>
        <v>17</v>
      </c>
      <c r="V23">
        <f t="shared" si="1"/>
        <v>0</v>
      </c>
      <c r="W23">
        <f t="shared" si="2"/>
        <v>0</v>
      </c>
    </row>
    <row r="24" spans="21:27" x14ac:dyDescent="0.3">
      <c r="U24">
        <f>COUNTBLANK(Table3[#This Row])</f>
        <v>17</v>
      </c>
      <c r="V24">
        <f t="shared" si="1"/>
        <v>0</v>
      </c>
      <c r="W24">
        <f t="shared" si="2"/>
        <v>0</v>
      </c>
    </row>
    <row r="25" spans="21:27" x14ac:dyDescent="0.3">
      <c r="U25">
        <f>COUNTBLANK(Table3[#This Row])</f>
        <v>17</v>
      </c>
      <c r="V25">
        <f t="shared" si="1"/>
        <v>0</v>
      </c>
      <c r="W25">
        <f t="shared" si="2"/>
        <v>0</v>
      </c>
    </row>
    <row r="26" spans="21:27" x14ac:dyDescent="0.3">
      <c r="U26">
        <f>COUNTBLANK(Table3[#This Row])</f>
        <v>17</v>
      </c>
      <c r="V26">
        <f t="shared" si="1"/>
        <v>0</v>
      </c>
      <c r="W26">
        <f t="shared" si="2"/>
        <v>0</v>
      </c>
    </row>
    <row r="27" spans="21:27" x14ac:dyDescent="0.3">
      <c r="U27">
        <f>COUNTBLANK(Table3[#This Row])</f>
        <v>17</v>
      </c>
      <c r="V27">
        <f t="shared" si="1"/>
        <v>0</v>
      </c>
      <c r="W27">
        <f t="shared" si="2"/>
        <v>0</v>
      </c>
    </row>
    <row r="28" spans="21:27" x14ac:dyDescent="0.3">
      <c r="U28">
        <f>COUNTBLANK(Table3[#This Row])</f>
        <v>17</v>
      </c>
      <c r="V28">
        <f t="shared" ref="V28:V33" si="3">100 - (100*U28/COUNTA($C$3:$S$3))</f>
        <v>0</v>
      </c>
      <c r="W28">
        <f t="shared" ref="W28:W33" si="4">IF(V28=100,1,0)</f>
        <v>0</v>
      </c>
    </row>
    <row r="29" spans="21:27" x14ac:dyDescent="0.3">
      <c r="U29">
        <f>COUNTBLANK(Table3[#This Row])</f>
        <v>17</v>
      </c>
      <c r="V29">
        <f t="shared" si="3"/>
        <v>0</v>
      </c>
      <c r="W29">
        <f t="shared" si="4"/>
        <v>0</v>
      </c>
    </row>
    <row r="30" spans="21:27" x14ac:dyDescent="0.3">
      <c r="U30">
        <f>COUNTBLANK(Table3[#This Row])</f>
        <v>17</v>
      </c>
      <c r="V30">
        <f t="shared" si="3"/>
        <v>0</v>
      </c>
      <c r="W30">
        <f t="shared" si="4"/>
        <v>0</v>
      </c>
    </row>
    <row r="31" spans="21:27" x14ac:dyDescent="0.3">
      <c r="U31">
        <f>COUNTBLANK(Table3[#This Row])</f>
        <v>17</v>
      </c>
      <c r="V31">
        <f t="shared" si="3"/>
        <v>0</v>
      </c>
      <c r="W31">
        <f t="shared" si="4"/>
        <v>0</v>
      </c>
    </row>
    <row r="32" spans="21:27" x14ac:dyDescent="0.3">
      <c r="U32">
        <f>COUNTBLANK(Table3[#This Row])</f>
        <v>17</v>
      </c>
      <c r="V32">
        <f t="shared" si="3"/>
        <v>0</v>
      </c>
      <c r="W32">
        <f t="shared" si="4"/>
        <v>0</v>
      </c>
    </row>
    <row r="33" spans="21:23" x14ac:dyDescent="0.3">
      <c r="U33">
        <f>COUNTBLANK(Table3[#This Row])</f>
        <v>17</v>
      </c>
      <c r="V33">
        <f t="shared" si="3"/>
        <v>0</v>
      </c>
      <c r="W33">
        <f t="shared" si="4"/>
        <v>0</v>
      </c>
    </row>
  </sheetData>
  <phoneticPr fontId="1" type="noConversion"/>
  <conditionalFormatting sqref="E8:S11 C12:S33 C8:C11">
    <cfRule type="containsBlanks" dxfId="35" priority="4">
      <formula>LEN(TRIM(C8))=0</formula>
    </cfRule>
  </conditionalFormatting>
  <conditionalFormatting sqref="N8:N9999 K8:K9999">
    <cfRule type="duplicateValues" dxfId="34" priority="1"/>
  </conditionalFormatting>
  <conditionalFormatting sqref="V8:V135">
    <cfRule type="colorScale" priority="3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9F20-08F8-4711-806A-4FEEEEBF6216}">
  <dimension ref="B1:Y33"/>
  <sheetViews>
    <sheetView topLeftCell="A13" zoomScale="70" zoomScaleNormal="70" workbookViewId="0">
      <selection activeCell="A10" sqref="A10"/>
    </sheetView>
  </sheetViews>
  <sheetFormatPr defaultRowHeight="14.4" x14ac:dyDescent="0.3"/>
  <cols>
    <col min="7" max="7" width="9.6640625" bestFit="1" customWidth="1"/>
    <col min="8" max="8" width="10.6640625" bestFit="1" customWidth="1"/>
    <col min="9" max="9" width="11.44140625" bestFit="1" customWidth="1"/>
    <col min="10" max="10" width="16.6640625" bestFit="1" customWidth="1"/>
    <col min="11" max="11" width="10.88671875" bestFit="1" customWidth="1"/>
    <col min="12" max="12" width="12.109375" bestFit="1" customWidth="1"/>
    <col min="13" max="13" width="15" bestFit="1" customWidth="1"/>
    <col min="14" max="14" width="12" customWidth="1"/>
    <col min="17" max="17" width="11.5546875" customWidth="1"/>
    <col min="24" max="24" width="16" bestFit="1" customWidth="1"/>
  </cols>
  <sheetData>
    <row r="1" spans="2:25" x14ac:dyDescent="0.3">
      <c r="D1" s="3"/>
    </row>
    <row r="2" spans="2:25" x14ac:dyDescent="0.3">
      <c r="X2" t="s">
        <v>50</v>
      </c>
      <c r="Y2">
        <f>AVERAGEIF(T8:T9999, "&gt;0")</f>
        <v>86.666666666666671</v>
      </c>
    </row>
    <row r="3" spans="2:25" x14ac:dyDescent="0.3">
      <c r="B3" t="s">
        <v>1</v>
      </c>
      <c r="C3">
        <f>COUNTA(C8:C9999)</f>
        <v>1</v>
      </c>
      <c r="D3">
        <f>COUNTA(D8:D9999)</f>
        <v>1</v>
      </c>
      <c r="E3">
        <f>COUNTA(E8:E9999)</f>
        <v>3</v>
      </c>
      <c r="F3">
        <f t="shared" ref="F3:Q3" si="0">COUNTA(F8:F9999)</f>
        <v>3</v>
      </c>
      <c r="G3">
        <f t="shared" si="0"/>
        <v>3</v>
      </c>
      <c r="H3">
        <f t="shared" si="0"/>
        <v>3</v>
      </c>
      <c r="I3">
        <f t="shared" si="0"/>
        <v>3</v>
      </c>
      <c r="J3">
        <f t="shared" si="0"/>
        <v>3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3</v>
      </c>
      <c r="O3">
        <f t="shared" si="0"/>
        <v>3</v>
      </c>
      <c r="P3">
        <f t="shared" si="0"/>
        <v>3</v>
      </c>
      <c r="Q3">
        <f t="shared" si="0"/>
        <v>1</v>
      </c>
    </row>
    <row r="5" spans="2:25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3</v>
      </c>
    </row>
    <row r="6" spans="2:25" x14ac:dyDescent="0.3">
      <c r="F6" s="1"/>
      <c r="X6" t="s">
        <v>24</v>
      </c>
      <c r="Y6">
        <f>SUM(C5:Q5)</f>
        <v>15</v>
      </c>
    </row>
    <row r="7" spans="2:25" x14ac:dyDescent="0.3">
      <c r="C7" t="s">
        <v>25</v>
      </c>
      <c r="D7" t="s">
        <v>145</v>
      </c>
      <c r="E7" t="s">
        <v>28</v>
      </c>
      <c r="F7" s="1" t="s">
        <v>29</v>
      </c>
      <c r="G7" t="s">
        <v>32</v>
      </c>
      <c r="H7" t="s">
        <v>147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1</v>
      </c>
    </row>
    <row r="8" spans="2:25" x14ac:dyDescent="0.3">
      <c r="C8">
        <v>2</v>
      </c>
      <c r="D8" t="str">
        <f>_xlfn.CONCAT(Table33[[#This Row],[Value]],"F ",Table33[[#This Row],[Voltage]],"v ",Table33[[#This Row],[Size]]," ",Table33[[#This Row],[Temp Co]])</f>
        <v>1uF 50v 0603 X5R</v>
      </c>
      <c r="E8" t="s">
        <v>122</v>
      </c>
      <c r="F8" s="1" t="s">
        <v>42</v>
      </c>
      <c r="G8">
        <v>50</v>
      </c>
      <c r="H8" t="s">
        <v>152</v>
      </c>
      <c r="I8">
        <v>10</v>
      </c>
      <c r="J8" t="s">
        <v>148</v>
      </c>
      <c r="K8" t="s">
        <v>149</v>
      </c>
      <c r="L8" t="s">
        <v>56</v>
      </c>
      <c r="M8" t="s">
        <v>150</v>
      </c>
      <c r="N8" t="s">
        <v>151</v>
      </c>
      <c r="O8" t="s">
        <v>162</v>
      </c>
      <c r="P8" t="s">
        <v>163</v>
      </c>
      <c r="Q8" t="s">
        <v>146</v>
      </c>
      <c r="S8">
        <f>COUNTBLANK(Table33[#This Row])</f>
        <v>0</v>
      </c>
      <c r="T8">
        <f t="shared" ref="T8:T33" si="1">100 - (100*S8/COUNTA($C$3:$Q$3))</f>
        <v>100</v>
      </c>
      <c r="U8">
        <f>IF(T8=100,1,0)</f>
        <v>1</v>
      </c>
      <c r="X8" t="s">
        <v>165</v>
      </c>
      <c r="Y8">
        <f>D3</f>
        <v>1</v>
      </c>
    </row>
    <row r="9" spans="2:25" x14ac:dyDescent="0.3">
      <c r="E9" t="s">
        <v>121</v>
      </c>
      <c r="F9" s="1" t="s">
        <v>42</v>
      </c>
      <c r="G9">
        <v>10</v>
      </c>
      <c r="H9" t="s">
        <v>152</v>
      </c>
      <c r="I9">
        <v>20</v>
      </c>
      <c r="J9" t="s">
        <v>154</v>
      </c>
      <c r="K9" t="s">
        <v>149</v>
      </c>
      <c r="L9" t="s">
        <v>56</v>
      </c>
      <c r="M9" t="s">
        <v>153</v>
      </c>
      <c r="N9" t="s">
        <v>151</v>
      </c>
      <c r="O9" t="s">
        <v>162</v>
      </c>
      <c r="P9" t="s">
        <v>163</v>
      </c>
      <c r="S9">
        <f>COUNTBLANK(Table33[#This Row])</f>
        <v>3</v>
      </c>
      <c r="T9">
        <f t="shared" si="1"/>
        <v>80</v>
      </c>
      <c r="U9">
        <f t="shared" ref="U9:U33" si="2">IF(T9=100,1,0)</f>
        <v>0</v>
      </c>
      <c r="X9" t="s">
        <v>71</v>
      </c>
      <c r="Y9">
        <f>E3</f>
        <v>3</v>
      </c>
    </row>
    <row r="10" spans="2:25" x14ac:dyDescent="0.3">
      <c r="E10" t="s">
        <v>160</v>
      </c>
      <c r="F10" s="1" t="s">
        <v>42</v>
      </c>
      <c r="G10">
        <v>50</v>
      </c>
      <c r="H10" t="s">
        <v>159</v>
      </c>
      <c r="I10" s="2" t="s">
        <v>158</v>
      </c>
      <c r="J10" t="s">
        <v>157</v>
      </c>
      <c r="K10" t="s">
        <v>156</v>
      </c>
      <c r="L10" t="s">
        <v>56</v>
      </c>
      <c r="M10" t="s">
        <v>155</v>
      </c>
      <c r="N10" t="s">
        <v>161</v>
      </c>
      <c r="O10" t="s">
        <v>162</v>
      </c>
      <c r="P10" t="s">
        <v>163</v>
      </c>
      <c r="S10">
        <f>COUNTBLANK(Table33[#This Row])</f>
        <v>3</v>
      </c>
      <c r="T10">
        <f t="shared" si="1"/>
        <v>80</v>
      </c>
      <c r="U10">
        <f t="shared" si="2"/>
        <v>0</v>
      </c>
      <c r="X10" t="s">
        <v>72</v>
      </c>
      <c r="Y10">
        <f>F3</f>
        <v>3</v>
      </c>
    </row>
    <row r="11" spans="2:25" x14ac:dyDescent="0.3">
      <c r="F11" s="1"/>
      <c r="S11">
        <f>COUNTBLANK(Table33[#This Row])</f>
        <v>15</v>
      </c>
      <c r="T11">
        <f t="shared" si="1"/>
        <v>0</v>
      </c>
      <c r="U11">
        <f t="shared" si="2"/>
        <v>0</v>
      </c>
      <c r="X11" t="s">
        <v>75</v>
      </c>
      <c r="Y11">
        <f>G3</f>
        <v>3</v>
      </c>
    </row>
    <row r="12" spans="2:25" x14ac:dyDescent="0.3">
      <c r="F12" s="1"/>
      <c r="S12">
        <f>COUNTBLANK(Table33[#This Row])</f>
        <v>15</v>
      </c>
      <c r="T12">
        <f t="shared" si="1"/>
        <v>0</v>
      </c>
      <c r="U12">
        <f t="shared" si="2"/>
        <v>0</v>
      </c>
      <c r="X12" t="s">
        <v>166</v>
      </c>
      <c r="Y12">
        <f>H3</f>
        <v>3</v>
      </c>
    </row>
    <row r="13" spans="2:25" x14ac:dyDescent="0.3">
      <c r="F13" s="1"/>
      <c r="S13">
        <f>COUNTBLANK(Table33[#This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3</v>
      </c>
    </row>
    <row r="14" spans="2:25" x14ac:dyDescent="0.3">
      <c r="F14" s="1"/>
      <c r="S14">
        <f>COUNTBLANK(Table33[#This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3</v>
      </c>
    </row>
    <row r="15" spans="2:25" x14ac:dyDescent="0.3">
      <c r="F15" s="1"/>
      <c r="S15">
        <f>COUNTBLANK(Table33[#This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3</v>
      </c>
    </row>
    <row r="16" spans="2:25" x14ac:dyDescent="0.3">
      <c r="F16" s="1"/>
      <c r="S16">
        <f>COUNTBLANK(Table33[#This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3</v>
      </c>
    </row>
    <row r="17" spans="6:25" x14ac:dyDescent="0.3">
      <c r="F17" s="1"/>
      <c r="S17">
        <f>COUNTBLANK(Table33[#This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3</v>
      </c>
    </row>
    <row r="18" spans="6:25" x14ac:dyDescent="0.3">
      <c r="F18" s="1"/>
      <c r="S18">
        <f>COUNTBLANK(Table33[#This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3</v>
      </c>
    </row>
    <row r="19" spans="6:25" x14ac:dyDescent="0.3">
      <c r="F19" s="1"/>
      <c r="S19">
        <f>COUNTBLANK(Table33[#This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3</v>
      </c>
    </row>
    <row r="20" spans="6:25" x14ac:dyDescent="0.3">
      <c r="F20" s="1"/>
      <c r="S20">
        <f>COUNTBLANK(Table33[#This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3</v>
      </c>
    </row>
    <row r="21" spans="6:25" x14ac:dyDescent="0.3">
      <c r="F21" s="1"/>
      <c r="S21">
        <f>COUNTBLANK(Table33[#This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1</v>
      </c>
    </row>
    <row r="23" spans="6:25" x14ac:dyDescent="0.3">
      <c r="F23" s="1"/>
      <c r="S23">
        <f>COUNTBLANK(Table33[#This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33" priority="3">
      <formula>LEN(TRIM(C8))=0</formula>
    </cfRule>
  </conditionalFormatting>
  <conditionalFormatting sqref="M8:M9999 J8:J9999">
    <cfRule type="duplicateValues" dxfId="32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6C26-71CF-45CC-AFEA-C753964971A4}">
  <dimension ref="B1:AB33"/>
  <sheetViews>
    <sheetView zoomScale="85" zoomScaleNormal="85" workbookViewId="0">
      <selection activeCell="C3" sqref="C3"/>
    </sheetView>
  </sheetViews>
  <sheetFormatPr defaultRowHeight="14.4" x14ac:dyDescent="0.3"/>
  <cols>
    <col min="4" max="4" width="7.5546875" customWidth="1"/>
    <col min="5" max="5" width="8.44140625" bestFit="1" customWidth="1"/>
    <col min="6" max="6" width="6.88671875" bestFit="1" customWidth="1"/>
    <col min="7" max="7" width="10.33203125" bestFit="1" customWidth="1"/>
  </cols>
  <sheetData>
    <row r="1" spans="2:28" x14ac:dyDescent="0.3">
      <c r="D1" s="3" t="s">
        <v>164</v>
      </c>
    </row>
    <row r="2" spans="2:28" x14ac:dyDescent="0.3">
      <c r="X2" t="s">
        <v>50</v>
      </c>
      <c r="Y2">
        <f>AVERAGEIF(T8:T9999, "&gt;0")</f>
        <v>6.6666666666666714</v>
      </c>
    </row>
    <row r="3" spans="2:28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0</v>
      </c>
      <c r="F3">
        <f t="shared" ref="F3:Q3" si="0">COUNTA(F8:F9999)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5" spans="2:28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28" x14ac:dyDescent="0.3">
      <c r="D6" s="3" t="s">
        <v>172</v>
      </c>
      <c r="F6" s="1"/>
      <c r="X6" t="s">
        <v>24</v>
      </c>
      <c r="Y6">
        <f>SUM(C5:Q5)</f>
        <v>15</v>
      </c>
    </row>
    <row r="7" spans="2:28" x14ac:dyDescent="0.3">
      <c r="C7" t="s">
        <v>25</v>
      </c>
      <c r="D7" t="s">
        <v>145</v>
      </c>
      <c r="E7" t="s">
        <v>28</v>
      </c>
      <c r="F7" s="1" t="s">
        <v>29</v>
      </c>
      <c r="G7" t="s">
        <v>168</v>
      </c>
      <c r="H7" t="s">
        <v>169</v>
      </c>
      <c r="I7" t="s">
        <v>30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  <c r="AB7" t="s">
        <v>120</v>
      </c>
    </row>
    <row r="8" spans="2:28" x14ac:dyDescent="0.3">
      <c r="D8" t="str">
        <f>_xlfn.CONCAT(Table335[[#This Row],[Value]],"H ",Table335[[#This Row],[Size]]," ",Table335[[#This Row],[Current]],"A ",Table335[[#This Row],[DCR]],"Ω")</f>
        <v>H  A Ω</v>
      </c>
      <c r="F8" s="1"/>
      <c r="S8">
        <f>COUNTBLANK(Table335[#This Row])</f>
        <v>14</v>
      </c>
      <c r="T8">
        <f t="shared" ref="T8:T33" si="1">100 - (100*S8/COUNTA($C$3:$Q$3))</f>
        <v>6.6666666666666714</v>
      </c>
      <c r="U8">
        <f>IF(T8=100,1,0)</f>
        <v>0</v>
      </c>
      <c r="X8" t="s">
        <v>165</v>
      </c>
      <c r="Y8">
        <f>D3</f>
        <v>1</v>
      </c>
    </row>
    <row r="9" spans="2:28" x14ac:dyDescent="0.3">
      <c r="F9" s="1"/>
      <c r="S9">
        <f>COUNTBLANK(Table335[#This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0</v>
      </c>
    </row>
    <row r="10" spans="2:28" x14ac:dyDescent="0.3">
      <c r="F10" s="1"/>
      <c r="I10" s="2"/>
      <c r="S10">
        <f>COUNTBLANK(Table335[#This Row])</f>
        <v>15</v>
      </c>
      <c r="T10">
        <f t="shared" si="1"/>
        <v>0</v>
      </c>
      <c r="U10">
        <f t="shared" si="2"/>
        <v>0</v>
      </c>
      <c r="X10" t="s">
        <v>72</v>
      </c>
      <c r="Y10">
        <f>F3</f>
        <v>0</v>
      </c>
    </row>
    <row r="11" spans="2:28" x14ac:dyDescent="0.3">
      <c r="F11" s="1"/>
      <c r="S11">
        <f>COUNTBLANK(Table335[#This Row])</f>
        <v>15</v>
      </c>
      <c r="T11">
        <f t="shared" si="1"/>
        <v>0</v>
      </c>
      <c r="U11">
        <f t="shared" si="2"/>
        <v>0</v>
      </c>
      <c r="X11" t="s">
        <v>170</v>
      </c>
      <c r="Y11">
        <f>G3</f>
        <v>0</v>
      </c>
    </row>
    <row r="12" spans="2:28" x14ac:dyDescent="0.3">
      <c r="F12" s="1"/>
      <c r="S12">
        <f>COUNTBLANK(Table335[#This Row])</f>
        <v>15</v>
      </c>
      <c r="T12">
        <f t="shared" si="1"/>
        <v>0</v>
      </c>
      <c r="U12">
        <f t="shared" si="2"/>
        <v>0</v>
      </c>
      <c r="X12" t="s">
        <v>171</v>
      </c>
      <c r="Y12">
        <f>H3</f>
        <v>0</v>
      </c>
    </row>
    <row r="13" spans="2:28" x14ac:dyDescent="0.3">
      <c r="F13" s="1"/>
      <c r="S13">
        <f>COUNTBLANK(Table335[#This Row])</f>
        <v>15</v>
      </c>
      <c r="T13">
        <f t="shared" si="1"/>
        <v>0</v>
      </c>
      <c r="U13">
        <f t="shared" si="2"/>
        <v>0</v>
      </c>
      <c r="X13" t="s">
        <v>167</v>
      </c>
      <c r="Y13">
        <f>I3</f>
        <v>0</v>
      </c>
    </row>
    <row r="14" spans="2:28" x14ac:dyDescent="0.3">
      <c r="F14" s="1"/>
      <c r="S14">
        <f>COUNTBLANK(Table335[#This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0</v>
      </c>
    </row>
    <row r="15" spans="2:28" x14ac:dyDescent="0.3">
      <c r="F15" s="1"/>
      <c r="S15">
        <f>COUNTBLANK(Table335[#This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0</v>
      </c>
    </row>
    <row r="16" spans="2:28" x14ac:dyDescent="0.3">
      <c r="F16" s="1"/>
      <c r="S16">
        <f>COUNTBLANK(Table335[#This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0</v>
      </c>
    </row>
    <row r="17" spans="6:25" x14ac:dyDescent="0.3">
      <c r="F17" s="1"/>
      <c r="S17">
        <f>COUNTBLANK(Table335[#This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0</v>
      </c>
    </row>
    <row r="18" spans="6:25" x14ac:dyDescent="0.3">
      <c r="F18" s="1"/>
      <c r="S18">
        <f>COUNTBLANK(Table335[#This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0</v>
      </c>
    </row>
    <row r="19" spans="6:25" x14ac:dyDescent="0.3">
      <c r="F19" s="1"/>
      <c r="S19">
        <f>COUNTBLANK(Table335[#This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31" priority="3">
      <formula>LEN(TRIM(C8))=0</formula>
    </cfRule>
  </conditionalFormatting>
  <conditionalFormatting sqref="M8:M33 J8:J33">
    <cfRule type="duplicateValues" dxfId="30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0B9A-19F8-40F9-B7A2-89408C73ABCB}">
  <dimension ref="B1:Z33"/>
  <sheetViews>
    <sheetView topLeftCell="B1" zoomScale="70" zoomScaleNormal="70" workbookViewId="0">
      <selection activeCell="D6" sqref="D6"/>
    </sheetView>
  </sheetViews>
  <sheetFormatPr defaultRowHeight="14.4" x14ac:dyDescent="0.3"/>
  <cols>
    <col min="4" max="4" width="43.88671875" bestFit="1" customWidth="1"/>
    <col min="6" max="6" width="12.77734375" bestFit="1" customWidth="1"/>
    <col min="7" max="7" width="10.88671875" bestFit="1" customWidth="1"/>
    <col min="8" max="8" width="11.109375" bestFit="1" customWidth="1"/>
    <col min="11" max="11" width="15.77734375" bestFit="1" customWidth="1"/>
    <col min="13" max="13" width="13.77734375" bestFit="1" customWidth="1"/>
    <col min="14" max="14" width="16.77734375" bestFit="1" customWidth="1"/>
    <col min="25" max="25" width="16" bestFit="1" customWidth="1"/>
  </cols>
  <sheetData>
    <row r="1" spans="2:26" x14ac:dyDescent="0.3">
      <c r="D1" s="3" t="s">
        <v>164</v>
      </c>
    </row>
    <row r="2" spans="2:26" x14ac:dyDescent="0.3">
      <c r="Y2" t="s">
        <v>50</v>
      </c>
      <c r="Z2">
        <f>AVERAGEIF(U8:U9999, "&gt;0")</f>
        <v>81.25</v>
      </c>
    </row>
    <row r="3" spans="2:26" x14ac:dyDescent="0.3">
      <c r="B3" t="s">
        <v>1</v>
      </c>
      <c r="C3">
        <f>COUNTA(C8:C9999)</f>
        <v>0</v>
      </c>
      <c r="D3">
        <f>COUNTA(D8:D9999)</f>
        <v>3</v>
      </c>
      <c r="E3">
        <f>COUNTA(E8:E9999)</f>
        <v>3</v>
      </c>
      <c r="F3">
        <f t="shared" ref="F3:R3" si="0">COUNTA(F8:F9999)</f>
        <v>3</v>
      </c>
      <c r="G3">
        <f t="shared" si="0"/>
        <v>3</v>
      </c>
      <c r="H3">
        <f t="shared" si="0"/>
        <v>3</v>
      </c>
      <c r="I3">
        <f t="shared" si="0"/>
        <v>3</v>
      </c>
      <c r="J3">
        <f t="shared" si="0"/>
        <v>3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3</v>
      </c>
      <c r="O3">
        <f t="shared" si="0"/>
        <v>3</v>
      </c>
      <c r="P3">
        <f t="shared" si="0"/>
        <v>0</v>
      </c>
      <c r="Q3">
        <f t="shared" si="0"/>
        <v>0</v>
      </c>
      <c r="R3">
        <f t="shared" si="0"/>
        <v>3</v>
      </c>
    </row>
    <row r="5" spans="2:26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Y5" t="s">
        <v>1</v>
      </c>
      <c r="Z5">
        <f>COUNTIF(U8:U99,"&gt;0")</f>
        <v>3</v>
      </c>
    </row>
    <row r="6" spans="2:26" x14ac:dyDescent="0.3">
      <c r="D6" s="3"/>
      <c r="F6" s="1"/>
      <c r="G6" s="1"/>
      <c r="Y6" t="s">
        <v>24</v>
      </c>
      <c r="Z6">
        <f>SUM(C5:R5)</f>
        <v>16</v>
      </c>
    </row>
    <row r="7" spans="2:26" x14ac:dyDescent="0.3">
      <c r="C7" t="s">
        <v>25</v>
      </c>
      <c r="D7" t="s">
        <v>145</v>
      </c>
      <c r="E7" t="s">
        <v>28</v>
      </c>
      <c r="F7" s="1" t="s">
        <v>29</v>
      </c>
      <c r="G7" s="1" t="s">
        <v>32</v>
      </c>
      <c r="H7" t="s">
        <v>168</v>
      </c>
      <c r="I7" t="s">
        <v>169</v>
      </c>
      <c r="J7" t="s">
        <v>174</v>
      </c>
      <c r="K7" t="s">
        <v>27</v>
      </c>
      <c r="L7" t="s">
        <v>52</v>
      </c>
      <c r="M7" t="s">
        <v>54</v>
      </c>
      <c r="N7" t="s">
        <v>53</v>
      </c>
      <c r="O7" t="s">
        <v>34</v>
      </c>
      <c r="P7" t="s">
        <v>35</v>
      </c>
      <c r="Q7" t="s">
        <v>36</v>
      </c>
      <c r="R7" t="s">
        <v>38</v>
      </c>
      <c r="T7" t="s">
        <v>49</v>
      </c>
      <c r="U7" t="s">
        <v>50</v>
      </c>
      <c r="V7" t="s">
        <v>41</v>
      </c>
      <c r="Y7" t="s">
        <v>40</v>
      </c>
      <c r="Z7">
        <f>C3</f>
        <v>0</v>
      </c>
    </row>
    <row r="8" spans="2:26" x14ac:dyDescent="0.3">
      <c r="D8" t="str">
        <f>_xlfn.CONCAT(Table3356[[#This Row],[Value]],"H ",Table3356[[#This Row],[Current]],"A ",Table3356[[#This Row],[Voltage]]," ",Table3356[[#This Row],[DCR]],"Ω ",Table3356[[#This Row],[Poles]],"P",Table3356[[#This Row],[Size]]," ",Table3356[[#This Row],[Comment]])</f>
        <v>58uH 17A 380Vrms 1.8mΩ 2P15.5x13.5mm SMD</v>
      </c>
      <c r="E8" t="s">
        <v>179</v>
      </c>
      <c r="F8" s="1" t="s">
        <v>180</v>
      </c>
      <c r="G8" s="1" t="s">
        <v>189</v>
      </c>
      <c r="H8">
        <v>17</v>
      </c>
      <c r="I8" t="s">
        <v>175</v>
      </c>
      <c r="J8">
        <v>2</v>
      </c>
      <c r="K8" t="s">
        <v>176</v>
      </c>
      <c r="L8" t="s">
        <v>177</v>
      </c>
      <c r="M8" t="s">
        <v>56</v>
      </c>
      <c r="N8" t="s">
        <v>173</v>
      </c>
      <c r="O8" t="s">
        <v>178</v>
      </c>
      <c r="R8" t="s">
        <v>181</v>
      </c>
      <c r="T8">
        <f>COUNTBLANK(Table3356[#This Row])</f>
        <v>3</v>
      </c>
      <c r="U8">
        <f>100 - (100*T8/COUNTA($C$3:$R$3))</f>
        <v>81.25</v>
      </c>
      <c r="V8">
        <f>IF(U8=100,1,0)</f>
        <v>0</v>
      </c>
      <c r="Y8" t="s">
        <v>165</v>
      </c>
      <c r="Z8">
        <f>D3</f>
        <v>3</v>
      </c>
    </row>
    <row r="9" spans="2:26" x14ac:dyDescent="0.3">
      <c r="D9" t="str">
        <f>_xlfn.CONCAT(Table3356[[#This Row],[Value]],"H ",Table3356[[#This Row],[Current]],"A ",Table3356[[#This Row],[Voltage]]," ",Table3356[[#This Row],[DCR]],"Ω ",Table3356[[#This Row],[Poles]],"P",Table3356[[#This Row],[Size]]," ",Table3356[[#This Row],[Comment]])</f>
        <v>4.7mH 200mA 80Vdc 700mΩ 2P7.3x5.4mm SMD</v>
      </c>
      <c r="E9" t="s">
        <v>187</v>
      </c>
      <c r="F9" s="1" t="s">
        <v>188</v>
      </c>
      <c r="G9" s="1" t="s">
        <v>197</v>
      </c>
      <c r="H9" t="s">
        <v>190</v>
      </c>
      <c r="I9" t="s">
        <v>191</v>
      </c>
      <c r="J9">
        <v>2</v>
      </c>
      <c r="K9" t="s">
        <v>183</v>
      </c>
      <c r="L9" t="s">
        <v>184</v>
      </c>
      <c r="M9" t="s">
        <v>56</v>
      </c>
      <c r="N9" t="s">
        <v>185</v>
      </c>
      <c r="O9" t="s">
        <v>186</v>
      </c>
      <c r="R9" t="s">
        <v>181</v>
      </c>
      <c r="T9">
        <f>COUNTBLANK(Table3356[#This Row])</f>
        <v>3</v>
      </c>
      <c r="U9">
        <f>100 - (100*T9/COUNTA($C$3:$R$3))</f>
        <v>81.25</v>
      </c>
      <c r="V9">
        <f t="shared" ref="V9:V33" si="1">IF(U9=100,1,0)</f>
        <v>0</v>
      </c>
      <c r="Y9" t="s">
        <v>71</v>
      </c>
      <c r="Z9">
        <f>E3</f>
        <v>3</v>
      </c>
    </row>
    <row r="10" spans="2:26" x14ac:dyDescent="0.3">
      <c r="D10" t="str">
        <f>_xlfn.CONCAT(Table3356[[#This Row],[Value]],"H ",Table3356[[#This Row],[Current]],"A ",Table3356[[#This Row],[Voltage]]," ",Table3356[[#This Row],[DCR]],"Ω ",Table3356[[#This Row],[Poles]],"P",Table3356[[#This Row],[Size]]," ",Table3356[[#This Row],[Comment]])</f>
        <v>1mH 800mA 80vdc 310mΩ 2P9.2x6mm SMD</v>
      </c>
      <c r="E10" t="s">
        <v>200</v>
      </c>
      <c r="F10" s="1" t="s">
        <v>199</v>
      </c>
      <c r="G10" s="1" t="s">
        <v>198</v>
      </c>
      <c r="H10" t="s">
        <v>196</v>
      </c>
      <c r="I10" t="s">
        <v>195</v>
      </c>
      <c r="J10">
        <v>2</v>
      </c>
      <c r="K10" t="s">
        <v>193</v>
      </c>
      <c r="L10" t="s">
        <v>184</v>
      </c>
      <c r="M10" t="s">
        <v>56</v>
      </c>
      <c r="N10" t="s">
        <v>192</v>
      </c>
      <c r="O10" t="s">
        <v>194</v>
      </c>
      <c r="R10" t="s">
        <v>181</v>
      </c>
      <c r="T10">
        <f>COUNTBLANK(Table3356[#This Row])</f>
        <v>3</v>
      </c>
      <c r="U10">
        <f>100 - (100*T10/COUNTA($C$3:$R$3))</f>
        <v>81.25</v>
      </c>
      <c r="V10">
        <f t="shared" si="1"/>
        <v>0</v>
      </c>
      <c r="Y10" t="s">
        <v>72</v>
      </c>
      <c r="Z10">
        <f>F3</f>
        <v>3</v>
      </c>
    </row>
    <row r="11" spans="2:26" x14ac:dyDescent="0.3">
      <c r="F11" s="1"/>
      <c r="G11" s="1"/>
      <c r="T11">
        <f>COUNTBLANK(Table3356[#This Row])</f>
        <v>16</v>
      </c>
      <c r="U11">
        <f>100 - (100*T11/COUNTA($C$3:$R$3))</f>
        <v>0</v>
      </c>
      <c r="V11">
        <f t="shared" si="1"/>
        <v>0</v>
      </c>
      <c r="Y11" t="s">
        <v>75</v>
      </c>
      <c r="Z11">
        <f>G3</f>
        <v>3</v>
      </c>
    </row>
    <row r="12" spans="2:26" x14ac:dyDescent="0.3">
      <c r="F12" s="1"/>
      <c r="G12" s="1"/>
      <c r="T12">
        <f>COUNTBLANK(Table3356[#This Row])</f>
        <v>16</v>
      </c>
      <c r="U12">
        <f>100 - (100*T12/COUNTA($C$3:$R$3))</f>
        <v>0</v>
      </c>
      <c r="V12">
        <f t="shared" si="1"/>
        <v>0</v>
      </c>
      <c r="Y12" t="s">
        <v>170</v>
      </c>
      <c r="Z12">
        <f>H3</f>
        <v>3</v>
      </c>
    </row>
    <row r="13" spans="2:26" x14ac:dyDescent="0.3">
      <c r="F13" s="1"/>
      <c r="G13" s="1"/>
      <c r="T13">
        <f>COUNTBLANK(Table3356[#This Row])</f>
        <v>16</v>
      </c>
      <c r="U13">
        <f>100 - (100*T13/COUNTA($C$3:$R$3))</f>
        <v>0</v>
      </c>
      <c r="V13">
        <f t="shared" si="1"/>
        <v>0</v>
      </c>
      <c r="Y13" t="s">
        <v>171</v>
      </c>
      <c r="Z13">
        <f>I3</f>
        <v>3</v>
      </c>
    </row>
    <row r="14" spans="2:26" x14ac:dyDescent="0.3">
      <c r="F14" s="1"/>
      <c r="G14" s="1"/>
      <c r="T14">
        <f>COUNTBLANK(Table3356[#This Row])</f>
        <v>16</v>
      </c>
      <c r="U14">
        <f>100 - (100*T14/COUNTA($C$3:$R$3))</f>
        <v>0</v>
      </c>
      <c r="V14">
        <f t="shared" si="1"/>
        <v>0</v>
      </c>
      <c r="Y14" t="s">
        <v>182</v>
      </c>
      <c r="Z14">
        <f>J3</f>
        <v>3</v>
      </c>
    </row>
    <row r="15" spans="2:26" x14ac:dyDescent="0.3">
      <c r="F15" s="1"/>
      <c r="G15" s="1"/>
      <c r="T15">
        <f>COUNTBLANK(Table3356[#This Row])</f>
        <v>16</v>
      </c>
      <c r="U15">
        <f>100 - (100*T15/COUNTA($C$3:$R$3))</f>
        <v>0</v>
      </c>
      <c r="V15">
        <f t="shared" si="1"/>
        <v>0</v>
      </c>
      <c r="Y15" t="s">
        <v>77</v>
      </c>
      <c r="Z15">
        <f>K3</f>
        <v>3</v>
      </c>
    </row>
    <row r="16" spans="2:26" x14ac:dyDescent="0.3">
      <c r="F16" s="1"/>
      <c r="G16" s="1"/>
      <c r="T16">
        <f>COUNTBLANK(Table3356[#This Row])</f>
        <v>16</v>
      </c>
      <c r="U16">
        <f>100 - (100*T16/COUNTA($C$3:$R$3))</f>
        <v>0</v>
      </c>
      <c r="V16">
        <f t="shared" si="1"/>
        <v>0</v>
      </c>
      <c r="Y16" t="s">
        <v>78</v>
      </c>
      <c r="Z16">
        <f>L3</f>
        <v>3</v>
      </c>
    </row>
    <row r="17" spans="6:26" x14ac:dyDescent="0.3">
      <c r="F17" s="1"/>
      <c r="G17" s="1"/>
      <c r="T17">
        <f>COUNTBLANK(Table3356[#This Row])</f>
        <v>16</v>
      </c>
      <c r="U17">
        <f>100 - (100*T17/COUNTA($C$3:$R$3))</f>
        <v>0</v>
      </c>
      <c r="V17">
        <f t="shared" si="1"/>
        <v>0</v>
      </c>
      <c r="Y17" t="s">
        <v>79</v>
      </c>
      <c r="Z17">
        <f>M3</f>
        <v>3</v>
      </c>
    </row>
    <row r="18" spans="6:26" x14ac:dyDescent="0.3">
      <c r="F18" s="1"/>
      <c r="G18" s="1"/>
      <c r="T18">
        <f>COUNTBLANK(Table3356[#This Row])</f>
        <v>16</v>
      </c>
      <c r="U18">
        <f>100 - (100*T18/COUNTA($C$3:$R$3))</f>
        <v>0</v>
      </c>
      <c r="V18">
        <f t="shared" si="1"/>
        <v>0</v>
      </c>
      <c r="Y18" t="s">
        <v>80</v>
      </c>
      <c r="Z18">
        <f>N3</f>
        <v>3</v>
      </c>
    </row>
    <row r="19" spans="6:26" x14ac:dyDescent="0.3">
      <c r="F19" s="1"/>
      <c r="G19" s="1"/>
      <c r="T19">
        <f>COUNTBLANK(Table3356[#This Row])</f>
        <v>16</v>
      </c>
      <c r="U19">
        <f>100 - (100*T19/COUNTA($C$3:$R$3))</f>
        <v>0</v>
      </c>
      <c r="V19">
        <f t="shared" si="1"/>
        <v>0</v>
      </c>
      <c r="Y19" t="s">
        <v>81</v>
      </c>
      <c r="Z19">
        <f>O3</f>
        <v>3</v>
      </c>
    </row>
    <row r="20" spans="6:26" x14ac:dyDescent="0.3">
      <c r="F20" s="1"/>
      <c r="G20" s="1"/>
      <c r="T20">
        <f>COUNTBLANK(Table3356[#This Row])</f>
        <v>16</v>
      </c>
      <c r="U20">
        <f>100 - (100*T20/COUNTA($C$3:$R$3))</f>
        <v>0</v>
      </c>
      <c r="V20">
        <f t="shared" si="1"/>
        <v>0</v>
      </c>
      <c r="Y20" t="s">
        <v>82</v>
      </c>
      <c r="Z20">
        <f>P3</f>
        <v>0</v>
      </c>
    </row>
    <row r="21" spans="6:26" x14ac:dyDescent="0.3">
      <c r="F21" s="1"/>
      <c r="G21" s="1"/>
      <c r="T21">
        <f>COUNTBLANK(Table3356[#This Row])</f>
        <v>16</v>
      </c>
      <c r="U21">
        <f>100 - (100*T21/COUNTA($C$3:$R$3))</f>
        <v>0</v>
      </c>
      <c r="V21">
        <f t="shared" si="1"/>
        <v>0</v>
      </c>
      <c r="Y21" t="s">
        <v>83</v>
      </c>
      <c r="Z21">
        <f>Q3</f>
        <v>0</v>
      </c>
    </row>
    <row r="22" spans="6:26" x14ac:dyDescent="0.3">
      <c r="F22" s="1"/>
      <c r="G22" s="1"/>
      <c r="T22">
        <f>COUNTBLANK(Table3356[#This Row])</f>
        <v>16</v>
      </c>
      <c r="U22">
        <f>100 - (100*T22/COUNTA($C$3:$R$3))</f>
        <v>0</v>
      </c>
      <c r="V22">
        <f t="shared" si="1"/>
        <v>0</v>
      </c>
    </row>
    <row r="23" spans="6:26" x14ac:dyDescent="0.3">
      <c r="F23" s="1"/>
      <c r="G23" s="1"/>
      <c r="T23">
        <f>COUNTBLANK(Table3356[#This Row])</f>
        <v>16</v>
      </c>
      <c r="U23">
        <f>100 - (100*T23/COUNTA($C$3:$R$3))</f>
        <v>0</v>
      </c>
      <c r="V23">
        <f t="shared" si="1"/>
        <v>0</v>
      </c>
      <c r="Y23" t="s">
        <v>85</v>
      </c>
      <c r="Z23">
        <f>R3</f>
        <v>3</v>
      </c>
    </row>
    <row r="24" spans="6:26" x14ac:dyDescent="0.3">
      <c r="F24" s="1"/>
      <c r="G24" s="1"/>
      <c r="T24">
        <f>COUNTBLANK(Table3356[#This Row])</f>
        <v>16</v>
      </c>
      <c r="U24">
        <f>100 - (100*T24/COUNTA($C$3:$R$3))</f>
        <v>0</v>
      </c>
      <c r="V24">
        <f t="shared" si="1"/>
        <v>0</v>
      </c>
    </row>
    <row r="25" spans="6:26" x14ac:dyDescent="0.3">
      <c r="F25" s="1"/>
      <c r="G25" s="1"/>
      <c r="T25">
        <f>COUNTBLANK(Table3356[#This Row])</f>
        <v>16</v>
      </c>
      <c r="U25">
        <f>100 - (100*T25/COUNTA($C$3:$R$3))</f>
        <v>0</v>
      </c>
      <c r="V25">
        <f t="shared" si="1"/>
        <v>0</v>
      </c>
    </row>
    <row r="26" spans="6:26" x14ac:dyDescent="0.3">
      <c r="F26" s="1"/>
      <c r="G26" s="1"/>
      <c r="T26">
        <f>COUNTBLANK(Table3356[#This Row])</f>
        <v>16</v>
      </c>
      <c r="U26">
        <f>100 - (100*T26/COUNTA($C$3:$R$3))</f>
        <v>0</v>
      </c>
      <c r="V26">
        <f t="shared" si="1"/>
        <v>0</v>
      </c>
    </row>
    <row r="27" spans="6:26" x14ac:dyDescent="0.3">
      <c r="F27" s="1"/>
      <c r="G27" s="1"/>
      <c r="T27">
        <f>COUNTBLANK(Table3356[#This Row])</f>
        <v>16</v>
      </c>
      <c r="U27">
        <f>100 - (100*T27/COUNTA($C$3:$R$3))</f>
        <v>0</v>
      </c>
      <c r="V27">
        <f t="shared" si="1"/>
        <v>0</v>
      </c>
    </row>
    <row r="28" spans="6:26" x14ac:dyDescent="0.3">
      <c r="F28" s="1"/>
      <c r="G28" s="1"/>
      <c r="T28">
        <f>COUNTBLANK(Table3356[#This Row])</f>
        <v>16</v>
      </c>
      <c r="U28">
        <f>100 - (100*T28/COUNTA($C$3:$R$3))</f>
        <v>0</v>
      </c>
      <c r="V28">
        <f t="shared" si="1"/>
        <v>0</v>
      </c>
    </row>
    <row r="29" spans="6:26" x14ac:dyDescent="0.3">
      <c r="F29" s="1"/>
      <c r="G29" s="1"/>
      <c r="T29">
        <f>COUNTBLANK(Table3356[#This Row])</f>
        <v>16</v>
      </c>
      <c r="U29">
        <f>100 - (100*T29/COUNTA($C$3:$R$3))</f>
        <v>0</v>
      </c>
      <c r="V29">
        <f t="shared" si="1"/>
        <v>0</v>
      </c>
    </row>
    <row r="30" spans="6:26" x14ac:dyDescent="0.3">
      <c r="F30" s="1"/>
      <c r="G30" s="1"/>
      <c r="T30">
        <f>COUNTBLANK(Table3356[#This Row])</f>
        <v>16</v>
      </c>
      <c r="U30">
        <f>100 - (100*T30/COUNTA($C$3:$R$3))</f>
        <v>0</v>
      </c>
      <c r="V30">
        <f t="shared" si="1"/>
        <v>0</v>
      </c>
    </row>
    <row r="31" spans="6:26" x14ac:dyDescent="0.3">
      <c r="F31" s="1"/>
      <c r="G31" s="1"/>
      <c r="T31">
        <f>COUNTBLANK(Table3356[#This Row])</f>
        <v>16</v>
      </c>
      <c r="U31">
        <f>100 - (100*T31/COUNTA($C$3:$R$3))</f>
        <v>0</v>
      </c>
      <c r="V31">
        <f t="shared" si="1"/>
        <v>0</v>
      </c>
    </row>
    <row r="32" spans="6:26" x14ac:dyDescent="0.3">
      <c r="F32" s="1"/>
      <c r="G32" s="1"/>
      <c r="T32">
        <f>COUNTBLANK(Table3356[#This Row])</f>
        <v>16</v>
      </c>
      <c r="U32">
        <f>100 - (100*T32/COUNTA($C$3:$R$3))</f>
        <v>0</v>
      </c>
      <c r="V32">
        <f t="shared" si="1"/>
        <v>0</v>
      </c>
    </row>
    <row r="33" spans="6:22" x14ac:dyDescent="0.3">
      <c r="F33" s="1"/>
      <c r="G33" s="1"/>
      <c r="T33">
        <f>COUNTBLANK(Table3356[#This Row])</f>
        <v>16</v>
      </c>
      <c r="U33">
        <f>100 - (100*T33/COUNTA($C$3:$R$3))</f>
        <v>0</v>
      </c>
      <c r="V33">
        <f t="shared" si="1"/>
        <v>0</v>
      </c>
    </row>
  </sheetData>
  <conditionalFormatting sqref="C8:C26 E8:R26 C27:R33">
    <cfRule type="containsBlanks" dxfId="29" priority="3">
      <formula>LEN(TRIM(C8))=0</formula>
    </cfRule>
  </conditionalFormatting>
  <conditionalFormatting sqref="N8:N33 K8:K33">
    <cfRule type="duplicateValues" dxfId="28" priority="1"/>
  </conditionalFormatting>
  <conditionalFormatting sqref="U8:U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2692-3120-4EFC-9A22-77FEE76D8DC8}">
  <dimension ref="B1:AG33"/>
  <sheetViews>
    <sheetView zoomScale="70" zoomScaleNormal="70" workbookViewId="0">
      <selection activeCell="H3" sqref="H3:I3"/>
    </sheetView>
  </sheetViews>
  <sheetFormatPr defaultRowHeight="14.4" x14ac:dyDescent="0.3"/>
  <cols>
    <col min="4" max="4" width="33.5546875" bestFit="1" customWidth="1"/>
    <col min="5" max="5" width="15.5546875" bestFit="1" customWidth="1"/>
    <col min="6" max="6" width="13.6640625" bestFit="1" customWidth="1"/>
    <col min="8" max="8" width="12.88671875" bestFit="1" customWidth="1"/>
    <col min="9" max="9" width="11.109375" bestFit="1" customWidth="1"/>
    <col min="10" max="10" width="13.33203125" bestFit="1" customWidth="1"/>
    <col min="11" max="11" width="16.5546875" bestFit="1" customWidth="1"/>
    <col min="12" max="12" width="12.5546875" bestFit="1" customWidth="1"/>
    <col min="13" max="13" width="10.21875" bestFit="1" customWidth="1"/>
    <col min="14" max="14" width="12" bestFit="1" customWidth="1"/>
    <col min="15" max="15" width="12.109375" bestFit="1" customWidth="1"/>
    <col min="17" max="17" width="12.33203125" bestFit="1" customWidth="1"/>
  </cols>
  <sheetData>
    <row r="1" spans="2:33" x14ac:dyDescent="0.3">
      <c r="D1" s="3" t="s">
        <v>164</v>
      </c>
    </row>
    <row r="2" spans="2:33" x14ac:dyDescent="0.3">
      <c r="V2" t="s">
        <v>50</v>
      </c>
      <c r="W2">
        <f>AVERAGEIF(R8:R9999, "&gt;0")</f>
        <v>69.230769230769226</v>
      </c>
    </row>
    <row r="3" spans="2:33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1</v>
      </c>
      <c r="F3">
        <f t="shared" ref="F3:O3" si="0">COUNTA(F8:F9999)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</row>
    <row r="5" spans="2:33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V5" t="s">
        <v>1</v>
      </c>
      <c r="W5">
        <f>COUNTIF(R8:R99,"&gt;0")</f>
        <v>1</v>
      </c>
    </row>
    <row r="6" spans="2:33" x14ac:dyDescent="0.3">
      <c r="D6" s="3"/>
      <c r="F6" s="1"/>
      <c r="V6" t="s">
        <v>24</v>
      </c>
      <c r="W6">
        <f>SUM(C5:O5)</f>
        <v>13</v>
      </c>
    </row>
    <row r="7" spans="2:33" x14ac:dyDescent="0.3">
      <c r="C7" t="s">
        <v>25</v>
      </c>
      <c r="D7" t="s">
        <v>145</v>
      </c>
      <c r="E7" t="s">
        <v>28</v>
      </c>
      <c r="F7" s="1" t="s">
        <v>201</v>
      </c>
      <c r="G7" t="s">
        <v>202</v>
      </c>
      <c r="H7" t="s">
        <v>203</v>
      </c>
      <c r="I7" t="s">
        <v>204</v>
      </c>
      <c r="J7" t="s">
        <v>54</v>
      </c>
      <c r="K7" t="s">
        <v>53</v>
      </c>
      <c r="L7" t="s">
        <v>34</v>
      </c>
      <c r="M7" t="s">
        <v>35</v>
      </c>
      <c r="N7" t="s">
        <v>36</v>
      </c>
      <c r="O7" t="s">
        <v>38</v>
      </c>
      <c r="Q7" t="s">
        <v>49</v>
      </c>
      <c r="R7" t="s">
        <v>50</v>
      </c>
      <c r="S7" t="s">
        <v>41</v>
      </c>
      <c r="V7" t="s">
        <v>40</v>
      </c>
      <c r="W7">
        <f>C3</f>
        <v>0</v>
      </c>
    </row>
    <row r="8" spans="2:33" x14ac:dyDescent="0.3">
      <c r="D8" t="str">
        <f>_xlfn.CONCAT(Table33567181920[[#This Row],[Value]]," ",Table33567181920[[#This Row],[Head Type]],", ",Table33567181920[[#This Row],[Material]]," ",Table33567181920[[#This Row],[Comment]])</f>
        <v xml:space="preserve">#2-56 1/4in long Socket Head, 18-8 </v>
      </c>
      <c r="E8" t="str">
        <f>_xlfn.CONCAT(Table33567181920[[#This Row],[Thread Size]]," ",Table33567181920[[#This Row],[Length]],"in long")</f>
        <v>#2-56 1/4in long</v>
      </c>
      <c r="F8" s="1" t="s">
        <v>212</v>
      </c>
      <c r="G8" s="1" t="s">
        <v>213</v>
      </c>
      <c r="H8" t="s">
        <v>207</v>
      </c>
      <c r="I8" t="s">
        <v>208</v>
      </c>
      <c r="J8" t="s">
        <v>209</v>
      </c>
      <c r="K8" t="s">
        <v>215</v>
      </c>
      <c r="L8" t="s">
        <v>214</v>
      </c>
      <c r="Q8">
        <f>COUNTBLANK(Table33567181920[#This Row])</f>
        <v>4</v>
      </c>
      <c r="R8">
        <f>100 - (100*Q8/COUNTA($C$3:$O$3))</f>
        <v>69.230769230769226</v>
      </c>
      <c r="S8">
        <f>IF(R8=100,1,0)</f>
        <v>0</v>
      </c>
      <c r="V8" t="s">
        <v>165</v>
      </c>
      <c r="W8">
        <f>D3</f>
        <v>1</v>
      </c>
    </row>
    <row r="9" spans="2:33" x14ac:dyDescent="0.3">
      <c r="F9" s="1"/>
      <c r="G9" s="1"/>
      <c r="Q9">
        <f>COUNTBLANK(Table33567181920[#This Row])</f>
        <v>13</v>
      </c>
      <c r="R9">
        <f>100 - (100*Q9/COUNTA($C$3:$O$3))</f>
        <v>0</v>
      </c>
      <c r="S9">
        <f t="shared" ref="S9:S33" si="1">IF(R9=100,1,0)</f>
        <v>0</v>
      </c>
      <c r="V9" t="s">
        <v>71</v>
      </c>
      <c r="W9">
        <f>E3</f>
        <v>1</v>
      </c>
    </row>
    <row r="10" spans="2:33" x14ac:dyDescent="0.3">
      <c r="F10" s="1"/>
      <c r="G10" s="1"/>
      <c r="Q10">
        <f>COUNTBLANK(Table33567181920[#This Row])</f>
        <v>13</v>
      </c>
      <c r="R10">
        <f>100 - (100*Q10/COUNTA($C$3:$O$3))</f>
        <v>0</v>
      </c>
      <c r="S10">
        <f t="shared" si="1"/>
        <v>0</v>
      </c>
      <c r="V10" t="s">
        <v>216</v>
      </c>
      <c r="W10">
        <f>F3</f>
        <v>1</v>
      </c>
    </row>
    <row r="11" spans="2:33" x14ac:dyDescent="0.3">
      <c r="F11" s="1"/>
      <c r="G11" s="1"/>
      <c r="Q11">
        <f>COUNTBLANK(Table33567181920[#This Row])</f>
        <v>13</v>
      </c>
      <c r="R11">
        <f>100 - (100*Q11/COUNTA($C$3:$O$3))</f>
        <v>0</v>
      </c>
      <c r="S11">
        <f t="shared" si="1"/>
        <v>0</v>
      </c>
      <c r="V11" t="s">
        <v>217</v>
      </c>
      <c r="W11">
        <f>G3</f>
        <v>1</v>
      </c>
    </row>
    <row r="12" spans="2:33" x14ac:dyDescent="0.3">
      <c r="F12" s="1"/>
      <c r="G12" s="1"/>
      <c r="Q12">
        <f>COUNTBLANK(Table33567181920[#This Row])</f>
        <v>13</v>
      </c>
      <c r="R12">
        <f>100 - (100*Q12/COUNTA($C$3:$O$3))</f>
        <v>0</v>
      </c>
      <c r="S12">
        <f t="shared" si="1"/>
        <v>0</v>
      </c>
      <c r="V12" t="s">
        <v>218</v>
      </c>
      <c r="W12">
        <f>H3</f>
        <v>1</v>
      </c>
    </row>
    <row r="13" spans="2:33" x14ac:dyDescent="0.3">
      <c r="F13" s="1"/>
      <c r="G13" s="1"/>
      <c r="Q13">
        <f>COUNTBLANK(Table33567181920[#This Row])</f>
        <v>13</v>
      </c>
      <c r="R13">
        <f>100 - (100*Q13/COUNTA($C$3:$O$3))</f>
        <v>0</v>
      </c>
      <c r="S13">
        <f t="shared" si="1"/>
        <v>0</v>
      </c>
      <c r="V13" t="s">
        <v>219</v>
      </c>
      <c r="W13">
        <f>I3</f>
        <v>1</v>
      </c>
    </row>
    <row r="14" spans="2:33" x14ac:dyDescent="0.3">
      <c r="F14" s="1"/>
      <c r="G14" s="1"/>
      <c r="Q14">
        <f>COUNTBLANK(Table33567181920[#This Row])</f>
        <v>13</v>
      </c>
      <c r="R14">
        <f>100 - (100*Q14/COUNTA($C$3:$O$3))</f>
        <v>0</v>
      </c>
      <c r="S14">
        <f t="shared" si="1"/>
        <v>0</v>
      </c>
      <c r="V14" t="s">
        <v>79</v>
      </c>
      <c r="W14">
        <f>J3</f>
        <v>1</v>
      </c>
      <c r="AE14" t="s">
        <v>115</v>
      </c>
      <c r="AF14" t="s">
        <v>117</v>
      </c>
      <c r="AG14" t="s">
        <v>118</v>
      </c>
    </row>
    <row r="15" spans="2:33" x14ac:dyDescent="0.3">
      <c r="F15" s="1"/>
      <c r="G15" s="1"/>
      <c r="Q15">
        <f>COUNTBLANK(Table33567181920[#This Row])</f>
        <v>13</v>
      </c>
      <c r="R15">
        <f>100 - (100*Q15/COUNTA($C$3:$O$3))</f>
        <v>0</v>
      </c>
      <c r="S15">
        <f t="shared" si="1"/>
        <v>0</v>
      </c>
      <c r="V15" t="s">
        <v>80</v>
      </c>
      <c r="W15">
        <f>K3</f>
        <v>1</v>
      </c>
      <c r="AE15" t="s">
        <v>116</v>
      </c>
    </row>
    <row r="16" spans="2:33" x14ac:dyDescent="0.3">
      <c r="F16" s="1"/>
      <c r="G16" s="1"/>
      <c r="Q16">
        <f>COUNTBLANK(Table33567181920[#This Row])</f>
        <v>13</v>
      </c>
      <c r="R16">
        <f>100 - (100*Q16/COUNTA($C$3:$O$3))</f>
        <v>0</v>
      </c>
      <c r="S16">
        <f t="shared" si="1"/>
        <v>0</v>
      </c>
      <c r="V16" t="s">
        <v>81</v>
      </c>
      <c r="W16">
        <f>L3</f>
        <v>1</v>
      </c>
    </row>
    <row r="17" spans="6:23" x14ac:dyDescent="0.3">
      <c r="F17" s="1"/>
      <c r="G17" s="1"/>
      <c r="Q17">
        <f>COUNTBLANK(Table33567181920[#This Row])</f>
        <v>13</v>
      </c>
      <c r="R17">
        <f>100 - (100*Q17/COUNTA($C$3:$O$3))</f>
        <v>0</v>
      </c>
      <c r="S17">
        <f t="shared" si="1"/>
        <v>0</v>
      </c>
      <c r="V17" t="s">
        <v>82</v>
      </c>
      <c r="W17">
        <f>M3</f>
        <v>0</v>
      </c>
    </row>
    <row r="18" spans="6:23" x14ac:dyDescent="0.3">
      <c r="F18" s="1"/>
      <c r="G18" s="1"/>
      <c r="Q18">
        <f>COUNTBLANK(Table33567181920[#This Row])</f>
        <v>13</v>
      </c>
      <c r="R18">
        <f>100 - (100*Q18/COUNTA($C$3:$O$3))</f>
        <v>0</v>
      </c>
      <c r="S18">
        <f t="shared" si="1"/>
        <v>0</v>
      </c>
      <c r="V18" t="s">
        <v>83</v>
      </c>
      <c r="W18">
        <f>N3</f>
        <v>0</v>
      </c>
    </row>
    <row r="19" spans="6:23" x14ac:dyDescent="0.3">
      <c r="F19" s="1"/>
      <c r="G19" s="1"/>
      <c r="Q19">
        <f>COUNTBLANK(Table33567181920[#This Row])</f>
        <v>13</v>
      </c>
      <c r="R19">
        <f>100 - (100*Q19/COUNTA($C$3:$O$3))</f>
        <v>0</v>
      </c>
      <c r="S19">
        <f t="shared" si="1"/>
        <v>0</v>
      </c>
      <c r="V19" t="s">
        <v>85</v>
      </c>
      <c r="W19">
        <f>O3</f>
        <v>0</v>
      </c>
    </row>
    <row r="20" spans="6:23" x14ac:dyDescent="0.3">
      <c r="F20" s="1"/>
      <c r="G20" s="1"/>
      <c r="Q20">
        <f>COUNTBLANK(Table33567181920[#This Row])</f>
        <v>13</v>
      </c>
      <c r="R20">
        <f>100 - (100*Q20/COUNTA($C$3:$O$3))</f>
        <v>0</v>
      </c>
      <c r="S20">
        <f t="shared" si="1"/>
        <v>0</v>
      </c>
    </row>
    <row r="21" spans="6:23" x14ac:dyDescent="0.3">
      <c r="F21" s="1"/>
      <c r="G21" s="1"/>
      <c r="Q21">
        <f>COUNTBLANK(Table33567181920[#This Row])</f>
        <v>13</v>
      </c>
      <c r="R21">
        <f>100 - (100*Q21/COUNTA($C$3:$O$3))</f>
        <v>0</v>
      </c>
      <c r="S21">
        <f t="shared" si="1"/>
        <v>0</v>
      </c>
    </row>
    <row r="22" spans="6:23" x14ac:dyDescent="0.3">
      <c r="F22" s="1"/>
      <c r="G22" s="1"/>
      <c r="Q22">
        <f>COUNTBLANK(Table33567181920[#This Row])</f>
        <v>13</v>
      </c>
      <c r="R22">
        <f>100 - (100*Q22/COUNTA($C$3:$O$3))</f>
        <v>0</v>
      </c>
      <c r="S22">
        <f t="shared" si="1"/>
        <v>0</v>
      </c>
    </row>
    <row r="23" spans="6:23" x14ac:dyDescent="0.3">
      <c r="F23" s="1"/>
      <c r="G23" s="1"/>
      <c r="Q23">
        <f>COUNTBLANK(Table33567181920[#This Row])</f>
        <v>13</v>
      </c>
      <c r="R23">
        <f>100 - (100*Q23/COUNTA($C$3:$O$3))</f>
        <v>0</v>
      </c>
      <c r="S23">
        <f t="shared" si="1"/>
        <v>0</v>
      </c>
    </row>
    <row r="24" spans="6:23" x14ac:dyDescent="0.3">
      <c r="F24" s="1"/>
      <c r="G24" s="1"/>
      <c r="Q24">
        <f>COUNTBLANK(Table33567181920[#This Row])</f>
        <v>13</v>
      </c>
      <c r="R24">
        <f>100 - (100*Q24/COUNTA($C$3:$O$3))</f>
        <v>0</v>
      </c>
      <c r="S24">
        <f t="shared" si="1"/>
        <v>0</v>
      </c>
    </row>
    <row r="25" spans="6:23" x14ac:dyDescent="0.3">
      <c r="F25" s="1"/>
      <c r="G25" s="1"/>
      <c r="Q25">
        <f>COUNTBLANK(Table33567181920[#This Row])</f>
        <v>13</v>
      </c>
      <c r="R25">
        <f>100 - (100*Q25/COUNTA($C$3:$O$3))</f>
        <v>0</v>
      </c>
      <c r="S25">
        <f t="shared" si="1"/>
        <v>0</v>
      </c>
    </row>
    <row r="26" spans="6:23" x14ac:dyDescent="0.3">
      <c r="F26" s="1"/>
      <c r="G26" s="1"/>
      <c r="Q26">
        <f>COUNTBLANK(Table33567181920[#This Row])</f>
        <v>13</v>
      </c>
      <c r="R26">
        <f>100 - (100*Q26/COUNTA($C$3:$O$3))</f>
        <v>0</v>
      </c>
      <c r="S26">
        <f t="shared" si="1"/>
        <v>0</v>
      </c>
    </row>
    <row r="27" spans="6:23" x14ac:dyDescent="0.3">
      <c r="F27" s="1"/>
      <c r="G27" s="1"/>
      <c r="Q27">
        <f>COUNTBLANK(Table33567181920[#This Row])</f>
        <v>13</v>
      </c>
      <c r="R27">
        <f>100 - (100*Q27/COUNTA($C$3:$O$3))</f>
        <v>0</v>
      </c>
      <c r="S27">
        <f t="shared" si="1"/>
        <v>0</v>
      </c>
    </row>
    <row r="28" spans="6:23" x14ac:dyDescent="0.3">
      <c r="F28" s="1"/>
      <c r="G28" s="1"/>
      <c r="Q28">
        <f>COUNTBLANK(Table33567181920[#This Row])</f>
        <v>13</v>
      </c>
      <c r="R28">
        <f>100 - (100*Q28/COUNTA($C$3:$O$3))</f>
        <v>0</v>
      </c>
      <c r="S28">
        <f t="shared" si="1"/>
        <v>0</v>
      </c>
    </row>
    <row r="29" spans="6:23" x14ac:dyDescent="0.3">
      <c r="F29" s="1"/>
      <c r="G29" s="1"/>
      <c r="Q29">
        <f>COUNTBLANK(Table33567181920[#This Row])</f>
        <v>13</v>
      </c>
      <c r="R29">
        <f>100 - (100*Q29/COUNTA($C$3:$O$3))</f>
        <v>0</v>
      </c>
      <c r="S29">
        <f t="shared" si="1"/>
        <v>0</v>
      </c>
    </row>
    <row r="30" spans="6:23" x14ac:dyDescent="0.3">
      <c r="F30" s="1"/>
      <c r="G30" s="1"/>
      <c r="Q30">
        <f>COUNTBLANK(Table33567181920[#This Row])</f>
        <v>13</v>
      </c>
      <c r="R30">
        <f>100 - (100*Q30/COUNTA($C$3:$O$3))</f>
        <v>0</v>
      </c>
      <c r="S30">
        <f t="shared" si="1"/>
        <v>0</v>
      </c>
    </row>
    <row r="31" spans="6:23" x14ac:dyDescent="0.3">
      <c r="F31" s="1"/>
      <c r="G31" s="1"/>
      <c r="Q31">
        <f>COUNTBLANK(Table33567181920[#This Row])</f>
        <v>13</v>
      </c>
      <c r="R31">
        <f>100 - (100*Q31/COUNTA($C$3:$O$3))</f>
        <v>0</v>
      </c>
      <c r="S31">
        <f t="shared" si="1"/>
        <v>0</v>
      </c>
    </row>
    <row r="32" spans="6:23" x14ac:dyDescent="0.3">
      <c r="F32" s="1"/>
      <c r="G32" s="1"/>
      <c r="Q32">
        <f>COUNTBLANK(Table33567181920[#This Row])</f>
        <v>13</v>
      </c>
      <c r="R32">
        <f>100 - (100*Q32/COUNTA($C$3:$O$3))</f>
        <v>0</v>
      </c>
      <c r="S32">
        <f t="shared" si="1"/>
        <v>0</v>
      </c>
    </row>
    <row r="33" spans="6:19" x14ac:dyDescent="0.3">
      <c r="F33" s="1"/>
      <c r="G33" s="1"/>
      <c r="Q33">
        <f>COUNTBLANK(Table33567181920[#This Row])</f>
        <v>13</v>
      </c>
      <c r="R33">
        <f>100 - (100*Q33/COUNTA($C$3:$O$3))</f>
        <v>0</v>
      </c>
      <c r="S33">
        <f t="shared" si="1"/>
        <v>0</v>
      </c>
    </row>
  </sheetData>
  <conditionalFormatting sqref="C8:C26 E9:O26 C27:O33 E8:J8 L8:O8">
    <cfRule type="containsBlanks" dxfId="27" priority="3">
      <formula>LEN(TRIM(C8))=0</formula>
    </cfRule>
  </conditionalFormatting>
  <conditionalFormatting sqref="K9:K33">
    <cfRule type="duplicateValues" dxfId="26" priority="1"/>
  </conditionalFormatting>
  <conditionalFormatting sqref="R8:R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B3B6-EB01-4BAA-88A4-31288133352C}">
  <dimension ref="B1:AG33"/>
  <sheetViews>
    <sheetView zoomScale="70" zoomScaleNormal="70" workbookViewId="0">
      <selection activeCell="H3" sqref="H3:I3"/>
    </sheetView>
  </sheetViews>
  <sheetFormatPr defaultRowHeight="14.4" x14ac:dyDescent="0.3"/>
  <cols>
    <col min="4" max="4" width="29.88671875" customWidth="1"/>
    <col min="6" max="6" width="13.6640625" bestFit="1" customWidth="1"/>
    <col min="8" max="8" width="12.88671875" bestFit="1" customWidth="1"/>
    <col min="9" max="9" width="11.109375" bestFit="1" customWidth="1"/>
    <col min="10" max="10" width="13.33203125" bestFit="1" customWidth="1"/>
    <col min="11" max="11" width="16.5546875" bestFit="1" customWidth="1"/>
    <col min="12" max="12" width="12.5546875" bestFit="1" customWidth="1"/>
    <col min="13" max="13" width="10.21875" bestFit="1" customWidth="1"/>
    <col min="14" max="14" width="12" bestFit="1" customWidth="1"/>
    <col min="15" max="15" width="12.109375" bestFit="1" customWidth="1"/>
    <col min="17" max="17" width="12.33203125" bestFit="1" customWidth="1"/>
  </cols>
  <sheetData>
    <row r="1" spans="2:33" x14ac:dyDescent="0.3">
      <c r="D1" s="3" t="s">
        <v>164</v>
      </c>
    </row>
    <row r="2" spans="2:33" x14ac:dyDescent="0.3">
      <c r="V2" t="s">
        <v>50</v>
      </c>
      <c r="W2">
        <f>AVERAGEIF(R8:R9999, "&gt;0")</f>
        <v>69.230769230769226</v>
      </c>
    </row>
    <row r="3" spans="2:33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1</v>
      </c>
      <c r="F3">
        <f t="shared" ref="F3:O3" si="0">COUNTA(F8:F9999)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</row>
    <row r="5" spans="2:33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V5" t="s">
        <v>1</v>
      </c>
      <c r="W5">
        <f>COUNTIF(R8:R99,"&gt;0")</f>
        <v>1</v>
      </c>
    </row>
    <row r="6" spans="2:33" x14ac:dyDescent="0.3">
      <c r="D6" s="3"/>
      <c r="F6" s="1"/>
      <c r="V6" t="s">
        <v>24</v>
      </c>
      <c r="W6">
        <f>SUM(C5:O5)</f>
        <v>13</v>
      </c>
    </row>
    <row r="7" spans="2:33" x14ac:dyDescent="0.3">
      <c r="C7" t="s">
        <v>25</v>
      </c>
      <c r="D7" t="s">
        <v>145</v>
      </c>
      <c r="E7" t="s">
        <v>28</v>
      </c>
      <c r="F7" s="1" t="s">
        <v>201</v>
      </c>
      <c r="G7" t="s">
        <v>202</v>
      </c>
      <c r="H7" t="s">
        <v>203</v>
      </c>
      <c r="I7" t="s">
        <v>204</v>
      </c>
      <c r="J7" t="s">
        <v>54</v>
      </c>
      <c r="K7" t="s">
        <v>53</v>
      </c>
      <c r="L7" t="s">
        <v>34</v>
      </c>
      <c r="M7" t="s">
        <v>35</v>
      </c>
      <c r="N7" t="s">
        <v>36</v>
      </c>
      <c r="O7" t="s">
        <v>38</v>
      </c>
      <c r="Q7" t="s">
        <v>49</v>
      </c>
      <c r="R7" t="s">
        <v>50</v>
      </c>
      <c r="S7" t="s">
        <v>41</v>
      </c>
      <c r="V7" t="s">
        <v>40</v>
      </c>
      <c r="W7">
        <f>C3</f>
        <v>0</v>
      </c>
    </row>
    <row r="8" spans="2:33" x14ac:dyDescent="0.3">
      <c r="D8" t="str">
        <f>_xlfn.CONCAT(Table335671819[[#This Row],[Value]]," ",Table335671819[[#This Row],[Head Type]],", ",Table335671819[[#This Row],[Material]]," ",Table335671819[[#This Row],[Comment]])</f>
        <v xml:space="preserve">M3x0.5-6mm Socket Head, 18-8 </v>
      </c>
      <c r="E8" t="str">
        <f>_xlfn.CONCAT(Table335671819[[#This Row],[Thread Size]],"-",Table335671819[[#This Row],[Length]])</f>
        <v>M3x0.5-6mm</v>
      </c>
      <c r="F8" s="1" t="s">
        <v>205</v>
      </c>
      <c r="G8" t="s">
        <v>206</v>
      </c>
      <c r="H8" t="s">
        <v>207</v>
      </c>
      <c r="I8" t="s">
        <v>208</v>
      </c>
      <c r="J8" t="s">
        <v>209</v>
      </c>
      <c r="K8" t="s">
        <v>210</v>
      </c>
      <c r="L8" t="s">
        <v>211</v>
      </c>
      <c r="Q8">
        <f>COUNTBLANK(Table335671819[#This Row])</f>
        <v>4</v>
      </c>
      <c r="R8">
        <f>100 - (100*Q8/COUNTA($C$3:$O$3))</f>
        <v>69.230769230769226</v>
      </c>
      <c r="S8">
        <f>IF(R8=100,1,0)</f>
        <v>0</v>
      </c>
      <c r="V8" t="s">
        <v>165</v>
      </c>
      <c r="W8">
        <f>D3</f>
        <v>1</v>
      </c>
    </row>
    <row r="9" spans="2:33" x14ac:dyDescent="0.3">
      <c r="F9" s="1"/>
      <c r="Q9">
        <f>COUNTBLANK(Table335671819[#This Row])</f>
        <v>13</v>
      </c>
      <c r="R9">
        <f>100 - (100*Q9/COUNTA($C$3:$O$3))</f>
        <v>0</v>
      </c>
      <c r="S9">
        <f t="shared" ref="S9:S33" si="1">IF(R9=100,1,0)</f>
        <v>0</v>
      </c>
      <c r="V9" t="s">
        <v>71</v>
      </c>
      <c r="W9">
        <f>E3</f>
        <v>1</v>
      </c>
    </row>
    <row r="10" spans="2:33" x14ac:dyDescent="0.3">
      <c r="F10" s="1"/>
      <c r="Q10">
        <f>COUNTBLANK(Table335671819[#This Row])</f>
        <v>13</v>
      </c>
      <c r="R10">
        <f>100 - (100*Q10/COUNTA($C$3:$O$3))</f>
        <v>0</v>
      </c>
      <c r="S10">
        <f t="shared" si="1"/>
        <v>0</v>
      </c>
      <c r="V10" t="s">
        <v>216</v>
      </c>
      <c r="W10">
        <f>F3</f>
        <v>1</v>
      </c>
    </row>
    <row r="11" spans="2:33" x14ac:dyDescent="0.3">
      <c r="F11" s="1"/>
      <c r="Q11">
        <f>COUNTBLANK(Table335671819[#This Row])</f>
        <v>13</v>
      </c>
      <c r="R11">
        <f>100 - (100*Q11/COUNTA($C$3:$O$3))</f>
        <v>0</v>
      </c>
      <c r="S11">
        <f t="shared" si="1"/>
        <v>0</v>
      </c>
      <c r="V11" t="s">
        <v>217</v>
      </c>
      <c r="W11">
        <f>G3</f>
        <v>1</v>
      </c>
    </row>
    <row r="12" spans="2:33" x14ac:dyDescent="0.3">
      <c r="F12" s="1"/>
      <c r="Q12">
        <f>COUNTBLANK(Table335671819[#This Row])</f>
        <v>13</v>
      </c>
      <c r="R12">
        <f>100 - (100*Q12/COUNTA($C$3:$O$3))</f>
        <v>0</v>
      </c>
      <c r="S12">
        <f t="shared" si="1"/>
        <v>0</v>
      </c>
      <c r="V12" t="s">
        <v>218</v>
      </c>
      <c r="W12">
        <f>H3</f>
        <v>1</v>
      </c>
    </row>
    <row r="13" spans="2:33" x14ac:dyDescent="0.3">
      <c r="F13" s="1"/>
      <c r="Q13">
        <f>COUNTBLANK(Table335671819[#This Row])</f>
        <v>13</v>
      </c>
      <c r="R13">
        <f>100 - (100*Q13/COUNTA($C$3:$O$3))</f>
        <v>0</v>
      </c>
      <c r="S13">
        <f t="shared" si="1"/>
        <v>0</v>
      </c>
      <c r="V13" t="s">
        <v>219</v>
      </c>
      <c r="W13">
        <f>I3</f>
        <v>1</v>
      </c>
    </row>
    <row r="14" spans="2:33" x14ac:dyDescent="0.3">
      <c r="F14" s="1"/>
      <c r="Q14">
        <f>COUNTBLANK(Table335671819[#This Row])</f>
        <v>13</v>
      </c>
      <c r="R14">
        <f>100 - (100*Q14/COUNTA($C$3:$O$3))</f>
        <v>0</v>
      </c>
      <c r="S14">
        <f t="shared" si="1"/>
        <v>0</v>
      </c>
      <c r="V14" t="s">
        <v>79</v>
      </c>
      <c r="W14">
        <f>J3</f>
        <v>1</v>
      </c>
      <c r="AE14" t="s">
        <v>115</v>
      </c>
      <c r="AF14" t="s">
        <v>117</v>
      </c>
      <c r="AG14" t="s">
        <v>118</v>
      </c>
    </row>
    <row r="15" spans="2:33" x14ac:dyDescent="0.3">
      <c r="F15" s="1"/>
      <c r="Q15">
        <f>COUNTBLANK(Table335671819[#This Row])</f>
        <v>13</v>
      </c>
      <c r="R15">
        <f>100 - (100*Q15/COUNTA($C$3:$O$3))</f>
        <v>0</v>
      </c>
      <c r="S15">
        <f t="shared" si="1"/>
        <v>0</v>
      </c>
      <c r="V15" t="s">
        <v>80</v>
      </c>
      <c r="W15">
        <f>K3</f>
        <v>1</v>
      </c>
      <c r="AE15" t="s">
        <v>116</v>
      </c>
    </row>
    <row r="16" spans="2:33" x14ac:dyDescent="0.3">
      <c r="F16" s="1"/>
      <c r="Q16">
        <f>COUNTBLANK(Table335671819[#This Row])</f>
        <v>13</v>
      </c>
      <c r="R16">
        <f>100 - (100*Q16/COUNTA($C$3:$O$3))</f>
        <v>0</v>
      </c>
      <c r="S16">
        <f t="shared" si="1"/>
        <v>0</v>
      </c>
      <c r="V16" t="s">
        <v>81</v>
      </c>
      <c r="W16">
        <f>L3</f>
        <v>1</v>
      </c>
    </row>
    <row r="17" spans="6:23" x14ac:dyDescent="0.3">
      <c r="F17" s="1"/>
      <c r="Q17">
        <f>COUNTBLANK(Table335671819[#This Row])</f>
        <v>13</v>
      </c>
      <c r="R17">
        <f>100 - (100*Q17/COUNTA($C$3:$O$3))</f>
        <v>0</v>
      </c>
      <c r="S17">
        <f t="shared" si="1"/>
        <v>0</v>
      </c>
      <c r="V17" t="s">
        <v>82</v>
      </c>
      <c r="W17">
        <f>M3</f>
        <v>0</v>
      </c>
    </row>
    <row r="18" spans="6:23" x14ac:dyDescent="0.3">
      <c r="F18" s="1"/>
      <c r="Q18">
        <f>COUNTBLANK(Table335671819[#This Row])</f>
        <v>13</v>
      </c>
      <c r="R18">
        <f>100 - (100*Q18/COUNTA($C$3:$O$3))</f>
        <v>0</v>
      </c>
      <c r="S18">
        <f t="shared" si="1"/>
        <v>0</v>
      </c>
      <c r="V18" t="s">
        <v>83</v>
      </c>
      <c r="W18">
        <f>N3</f>
        <v>0</v>
      </c>
    </row>
    <row r="19" spans="6:23" x14ac:dyDescent="0.3">
      <c r="F19" s="1"/>
      <c r="Q19">
        <f>COUNTBLANK(Table335671819[#This Row])</f>
        <v>13</v>
      </c>
      <c r="R19">
        <f>100 - (100*Q19/COUNTA($C$3:$O$3))</f>
        <v>0</v>
      </c>
      <c r="S19">
        <f t="shared" si="1"/>
        <v>0</v>
      </c>
      <c r="V19" t="s">
        <v>85</v>
      </c>
      <c r="W19">
        <f>O3</f>
        <v>0</v>
      </c>
    </row>
    <row r="20" spans="6:23" x14ac:dyDescent="0.3">
      <c r="F20" s="1"/>
      <c r="Q20">
        <f>COUNTBLANK(Table335671819[#This Row])</f>
        <v>13</v>
      </c>
      <c r="R20">
        <f>100 - (100*Q20/COUNTA($C$3:$O$3))</f>
        <v>0</v>
      </c>
      <c r="S20">
        <f t="shared" si="1"/>
        <v>0</v>
      </c>
      <c r="V20" t="s">
        <v>83</v>
      </c>
      <c r="W20">
        <f>N3</f>
        <v>0</v>
      </c>
    </row>
    <row r="21" spans="6:23" x14ac:dyDescent="0.3">
      <c r="F21" s="1"/>
      <c r="Q21">
        <f>COUNTBLANK(Table335671819[#This Row])</f>
        <v>13</v>
      </c>
      <c r="R21">
        <f>100 - (100*Q21/COUNTA($C$3:$O$3))</f>
        <v>0</v>
      </c>
      <c r="S21">
        <f t="shared" si="1"/>
        <v>0</v>
      </c>
    </row>
    <row r="22" spans="6:23" x14ac:dyDescent="0.3">
      <c r="F22" s="1"/>
      <c r="Q22">
        <f>COUNTBLANK(Table335671819[#This Row])</f>
        <v>13</v>
      </c>
      <c r="R22">
        <f>100 - (100*Q22/COUNTA($C$3:$O$3))</f>
        <v>0</v>
      </c>
      <c r="S22">
        <f t="shared" si="1"/>
        <v>0</v>
      </c>
      <c r="V22" t="s">
        <v>85</v>
      </c>
      <c r="W22">
        <f>O3</f>
        <v>0</v>
      </c>
    </row>
    <row r="23" spans="6:23" x14ac:dyDescent="0.3">
      <c r="F23" s="1"/>
      <c r="Q23">
        <f>COUNTBLANK(Table335671819[#This Row])</f>
        <v>13</v>
      </c>
      <c r="R23">
        <f>100 - (100*Q23/COUNTA($C$3:$O$3))</f>
        <v>0</v>
      </c>
      <c r="S23">
        <f t="shared" si="1"/>
        <v>0</v>
      </c>
    </row>
    <row r="24" spans="6:23" x14ac:dyDescent="0.3">
      <c r="F24" s="1"/>
      <c r="Q24">
        <f>COUNTBLANK(Table335671819[#This Row])</f>
        <v>13</v>
      </c>
      <c r="R24">
        <f>100 - (100*Q24/COUNTA($C$3:$O$3))</f>
        <v>0</v>
      </c>
      <c r="S24">
        <f t="shared" si="1"/>
        <v>0</v>
      </c>
    </row>
    <row r="25" spans="6:23" x14ac:dyDescent="0.3">
      <c r="F25" s="1"/>
      <c r="Q25">
        <f>COUNTBLANK(Table335671819[#This Row])</f>
        <v>13</v>
      </c>
      <c r="R25">
        <f>100 - (100*Q25/COUNTA($C$3:$O$3))</f>
        <v>0</v>
      </c>
      <c r="S25">
        <f t="shared" si="1"/>
        <v>0</v>
      </c>
    </row>
    <row r="26" spans="6:23" x14ac:dyDescent="0.3">
      <c r="F26" s="1"/>
      <c r="Q26">
        <f>COUNTBLANK(Table335671819[#This Row])</f>
        <v>13</v>
      </c>
      <c r="R26">
        <f>100 - (100*Q26/COUNTA($C$3:$O$3))</f>
        <v>0</v>
      </c>
      <c r="S26">
        <f t="shared" si="1"/>
        <v>0</v>
      </c>
    </row>
    <row r="27" spans="6:23" x14ac:dyDescent="0.3">
      <c r="F27" s="1"/>
      <c r="Q27">
        <f>COUNTBLANK(Table335671819[#This Row])</f>
        <v>13</v>
      </c>
      <c r="R27">
        <f>100 - (100*Q27/COUNTA($C$3:$O$3))</f>
        <v>0</v>
      </c>
      <c r="S27">
        <f t="shared" si="1"/>
        <v>0</v>
      </c>
    </row>
    <row r="28" spans="6:23" x14ac:dyDescent="0.3">
      <c r="F28" s="1"/>
      <c r="Q28">
        <f>COUNTBLANK(Table335671819[#This Row])</f>
        <v>13</v>
      </c>
      <c r="R28">
        <f>100 - (100*Q28/COUNTA($C$3:$O$3))</f>
        <v>0</v>
      </c>
      <c r="S28">
        <f t="shared" si="1"/>
        <v>0</v>
      </c>
    </row>
    <row r="29" spans="6:23" x14ac:dyDescent="0.3">
      <c r="F29" s="1"/>
      <c r="Q29">
        <f>COUNTBLANK(Table335671819[#This Row])</f>
        <v>13</v>
      </c>
      <c r="R29">
        <f>100 - (100*Q29/COUNTA($C$3:$O$3))</f>
        <v>0</v>
      </c>
      <c r="S29">
        <f t="shared" si="1"/>
        <v>0</v>
      </c>
    </row>
    <row r="30" spans="6:23" x14ac:dyDescent="0.3">
      <c r="F30" s="1"/>
      <c r="Q30">
        <f>COUNTBLANK(Table335671819[#This Row])</f>
        <v>13</v>
      </c>
      <c r="R30">
        <f>100 - (100*Q30/COUNTA($C$3:$O$3))</f>
        <v>0</v>
      </c>
      <c r="S30">
        <f t="shared" si="1"/>
        <v>0</v>
      </c>
    </row>
    <row r="31" spans="6:23" x14ac:dyDescent="0.3">
      <c r="F31" s="1"/>
      <c r="Q31">
        <f>COUNTBLANK(Table335671819[#This Row])</f>
        <v>13</v>
      </c>
      <c r="R31">
        <f>100 - (100*Q31/COUNTA($C$3:$O$3))</f>
        <v>0</v>
      </c>
      <c r="S31">
        <f t="shared" si="1"/>
        <v>0</v>
      </c>
    </row>
    <row r="32" spans="6:23" x14ac:dyDescent="0.3">
      <c r="F32" s="1"/>
      <c r="Q32">
        <f>COUNTBLANK(Table335671819[#This Row])</f>
        <v>13</v>
      </c>
      <c r="R32">
        <f>100 - (100*Q32/COUNTA($C$3:$O$3))</f>
        <v>0</v>
      </c>
      <c r="S32">
        <f t="shared" si="1"/>
        <v>0</v>
      </c>
    </row>
    <row r="33" spans="6:19" x14ac:dyDescent="0.3">
      <c r="F33" s="1"/>
      <c r="Q33">
        <f>COUNTBLANK(Table335671819[#This Row])</f>
        <v>13</v>
      </c>
      <c r="R33">
        <f>100 - (100*Q33/COUNTA($C$3:$O$3))</f>
        <v>0</v>
      </c>
      <c r="S33">
        <f t="shared" si="1"/>
        <v>0</v>
      </c>
    </row>
  </sheetData>
  <conditionalFormatting sqref="C8:C26 E9:O26 C27:O33 E8:J8 L8:O8">
    <cfRule type="containsBlanks" dxfId="25" priority="3">
      <formula>LEN(TRIM(C8))=0</formula>
    </cfRule>
  </conditionalFormatting>
  <conditionalFormatting sqref="K9:K33">
    <cfRule type="duplicateValues" dxfId="24" priority="1"/>
  </conditionalFormatting>
  <conditionalFormatting sqref="R8:R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A0E-E258-456F-98B2-96FC01B1D7C8}">
  <dimension ref="B1:AI33"/>
  <sheetViews>
    <sheetView zoomScale="85" zoomScaleNormal="85" workbookViewId="0">
      <selection activeCell="Y17" sqref="Y17"/>
    </sheetView>
  </sheetViews>
  <sheetFormatPr defaultRowHeight="14.4" x14ac:dyDescent="0.3"/>
  <cols>
    <col min="4" max="4" width="22" customWidth="1"/>
    <col min="5" max="5" width="12.88671875" bestFit="1" customWidth="1"/>
    <col min="7" max="7" width="10" bestFit="1" customWidth="1"/>
    <col min="8" max="8" width="13.6640625" bestFit="1" customWidth="1"/>
    <col min="12" max="12" width="13.33203125" bestFit="1" customWidth="1"/>
    <col min="13" max="13" width="16.5546875" bestFit="1" customWidth="1"/>
    <col min="14" max="14" width="12.5546875" customWidth="1"/>
    <col min="15" max="15" width="10.21875" bestFit="1" customWidth="1"/>
    <col min="16" max="16" width="12" bestFit="1" customWidth="1"/>
    <col min="17" max="17" width="12.109375" bestFit="1" customWidth="1"/>
    <col min="19" max="19" width="12.33203125" bestFit="1" customWidth="1"/>
    <col min="24" max="24" width="16.44140625" bestFit="1" customWidth="1"/>
  </cols>
  <sheetData>
    <row r="1" spans="2:35" x14ac:dyDescent="0.3">
      <c r="D1" s="3" t="s">
        <v>164</v>
      </c>
    </row>
    <row r="2" spans="2:35" x14ac:dyDescent="0.3">
      <c r="X2" t="s">
        <v>50</v>
      </c>
      <c r="Y2">
        <f>AVERAGEIF(T8:T9999, "&gt;0")</f>
        <v>73.333333333333329</v>
      </c>
    </row>
    <row r="3" spans="2:35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1</v>
      </c>
      <c r="F3">
        <f t="shared" ref="F3:Q3" si="0">COUNTA(F8:F9999)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0</v>
      </c>
      <c r="Q3">
        <f t="shared" si="0"/>
        <v>0</v>
      </c>
    </row>
    <row r="5" spans="2:35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X5" t="s">
        <v>1</v>
      </c>
      <c r="Y5">
        <f>COUNTIF(T8:T99,"&gt;0")</f>
        <v>1</v>
      </c>
    </row>
    <row r="6" spans="2:35" x14ac:dyDescent="0.3">
      <c r="D6" s="3" t="s">
        <v>172</v>
      </c>
      <c r="F6" s="1"/>
      <c r="X6" t="s">
        <v>24</v>
      </c>
      <c r="Y6">
        <f>SUM(C5:Q5)</f>
        <v>15</v>
      </c>
    </row>
    <row r="7" spans="2:35" x14ac:dyDescent="0.3">
      <c r="C7" t="s">
        <v>25</v>
      </c>
      <c r="D7" t="s">
        <v>145</v>
      </c>
      <c r="E7" t="s">
        <v>28</v>
      </c>
      <c r="F7" s="1" t="s">
        <v>224</v>
      </c>
      <c r="G7" t="s">
        <v>225</v>
      </c>
      <c r="H7" t="s">
        <v>201</v>
      </c>
      <c r="I7" t="s">
        <v>202</v>
      </c>
      <c r="J7" t="s">
        <v>27</v>
      </c>
      <c r="K7" t="s">
        <v>52</v>
      </c>
      <c r="L7" t="s">
        <v>54</v>
      </c>
      <c r="M7" t="s">
        <v>53</v>
      </c>
      <c r="N7" t="s">
        <v>34</v>
      </c>
      <c r="O7" t="s">
        <v>35</v>
      </c>
      <c r="P7" t="s">
        <v>36</v>
      </c>
      <c r="Q7" t="s">
        <v>38</v>
      </c>
      <c r="S7" t="s">
        <v>49</v>
      </c>
      <c r="T7" t="s">
        <v>50</v>
      </c>
      <c r="U7" t="s">
        <v>41</v>
      </c>
      <c r="X7" t="s">
        <v>40</v>
      </c>
      <c r="Y7">
        <f>C3</f>
        <v>0</v>
      </c>
    </row>
    <row r="8" spans="2:35" x14ac:dyDescent="0.3">
      <c r="D8" t="str">
        <f>_xlfn.CONCAT(Table3356721[[#This Row],[Value]]," ",Table3356721[[#This Row],[Shape]]," ",Table3356721[[#This Row],[Gender]]," ",Table3356721[[#This Row],[Comment]])</f>
        <v xml:space="preserve">M3x0.5 20mm Round F-F </v>
      </c>
      <c r="E8" t="str">
        <f>_xlfn.CONCAT(Table3356721[[#This Row],[Thread Size]]," ",Table3356721[[#This Row],[Length]])</f>
        <v>M3x0.5 20mm</v>
      </c>
      <c r="F8" s="1" t="s">
        <v>223</v>
      </c>
      <c r="G8" t="s">
        <v>226</v>
      </c>
      <c r="H8" t="s">
        <v>205</v>
      </c>
      <c r="I8" t="s">
        <v>227</v>
      </c>
      <c r="J8" t="s">
        <v>222</v>
      </c>
      <c r="K8" t="s">
        <v>221</v>
      </c>
      <c r="L8" t="s">
        <v>56</v>
      </c>
      <c r="M8" t="s">
        <v>220</v>
      </c>
      <c r="N8" t="s">
        <v>228</v>
      </c>
      <c r="S8">
        <f>COUNTBLANK(Table3356721[#This Row])</f>
        <v>4</v>
      </c>
      <c r="T8">
        <f t="shared" ref="T8:T33" si="1">100 - (100*S8/COUNTA($C$3:$Q$3))</f>
        <v>73.333333333333329</v>
      </c>
      <c r="U8">
        <f>IF(T8=100,1,0)</f>
        <v>0</v>
      </c>
      <c r="X8" t="s">
        <v>165</v>
      </c>
      <c r="Y8">
        <f>D3</f>
        <v>1</v>
      </c>
    </row>
    <row r="9" spans="2:35" x14ac:dyDescent="0.3">
      <c r="F9" s="1"/>
      <c r="S9">
        <f>COUNTBLANK(Table3356721[#This Row])</f>
        <v>15</v>
      </c>
      <c r="T9">
        <f t="shared" si="1"/>
        <v>0</v>
      </c>
      <c r="U9">
        <f t="shared" ref="U9:U33" si="2">IF(T9=100,1,0)</f>
        <v>0</v>
      </c>
      <c r="X9" t="s">
        <v>71</v>
      </c>
      <c r="Y9">
        <f>E3</f>
        <v>1</v>
      </c>
    </row>
    <row r="10" spans="2:35" x14ac:dyDescent="0.3">
      <c r="F10" s="1"/>
      <c r="I10" s="2"/>
      <c r="S10">
        <f>COUNTBLANK(Table3356721[#This Row])</f>
        <v>15</v>
      </c>
      <c r="T10">
        <f t="shared" si="1"/>
        <v>0</v>
      </c>
      <c r="U10">
        <f t="shared" si="2"/>
        <v>0</v>
      </c>
      <c r="X10" t="s">
        <v>229</v>
      </c>
      <c r="Y10">
        <f>F3</f>
        <v>1</v>
      </c>
    </row>
    <row r="11" spans="2:35" x14ac:dyDescent="0.3">
      <c r="F11" s="1"/>
      <c r="S11">
        <f>COUNTBLANK(Table3356721[#This Row])</f>
        <v>15</v>
      </c>
      <c r="T11">
        <f t="shared" si="1"/>
        <v>0</v>
      </c>
      <c r="U11">
        <f t="shared" si="2"/>
        <v>0</v>
      </c>
      <c r="X11" t="s">
        <v>230</v>
      </c>
      <c r="Y11">
        <f>G3</f>
        <v>1</v>
      </c>
    </row>
    <row r="12" spans="2:35" x14ac:dyDescent="0.3">
      <c r="F12" s="1"/>
      <c r="S12">
        <f>COUNTBLANK(Table3356721[#This Row])</f>
        <v>15</v>
      </c>
      <c r="T12">
        <f t="shared" si="1"/>
        <v>0</v>
      </c>
      <c r="U12">
        <f t="shared" si="2"/>
        <v>0</v>
      </c>
      <c r="X12" t="s">
        <v>216</v>
      </c>
      <c r="Y12">
        <f>H3</f>
        <v>1</v>
      </c>
    </row>
    <row r="13" spans="2:35" x14ac:dyDescent="0.3">
      <c r="F13" s="1"/>
      <c r="S13">
        <f>COUNTBLANK(Table3356721[#This Row])</f>
        <v>15</v>
      </c>
      <c r="T13">
        <f t="shared" si="1"/>
        <v>0</v>
      </c>
      <c r="U13">
        <f t="shared" si="2"/>
        <v>0</v>
      </c>
      <c r="X13" t="s">
        <v>231</v>
      </c>
      <c r="Y13">
        <f>I3</f>
        <v>1</v>
      </c>
    </row>
    <row r="14" spans="2:35" x14ac:dyDescent="0.3">
      <c r="F14" s="1"/>
      <c r="S14">
        <f>COUNTBLANK(Table3356721[#This Row])</f>
        <v>15</v>
      </c>
      <c r="T14">
        <f t="shared" si="1"/>
        <v>0</v>
      </c>
      <c r="U14">
        <f t="shared" si="2"/>
        <v>0</v>
      </c>
      <c r="X14" t="s">
        <v>77</v>
      </c>
      <c r="Y14">
        <f>J3</f>
        <v>1</v>
      </c>
      <c r="AG14" t="s">
        <v>115</v>
      </c>
      <c r="AH14" t="s">
        <v>117</v>
      </c>
      <c r="AI14" t="s">
        <v>118</v>
      </c>
    </row>
    <row r="15" spans="2:35" x14ac:dyDescent="0.3">
      <c r="F15" s="1"/>
      <c r="S15">
        <f>COUNTBLANK(Table3356721[#This Row])</f>
        <v>15</v>
      </c>
      <c r="T15">
        <f t="shared" si="1"/>
        <v>0</v>
      </c>
      <c r="U15">
        <f t="shared" si="2"/>
        <v>0</v>
      </c>
      <c r="X15" t="s">
        <v>78</v>
      </c>
      <c r="Y15">
        <f>K3</f>
        <v>1</v>
      </c>
      <c r="AG15" t="s">
        <v>116</v>
      </c>
    </row>
    <row r="16" spans="2:35" x14ac:dyDescent="0.3">
      <c r="F16" s="1"/>
      <c r="S16">
        <f>COUNTBLANK(Table3356721[#This Row])</f>
        <v>15</v>
      </c>
      <c r="T16">
        <f t="shared" si="1"/>
        <v>0</v>
      </c>
      <c r="U16">
        <f t="shared" si="2"/>
        <v>0</v>
      </c>
      <c r="X16" t="s">
        <v>79</v>
      </c>
      <c r="Y16">
        <f>L3</f>
        <v>1</v>
      </c>
    </row>
    <row r="17" spans="6:25" x14ac:dyDescent="0.3">
      <c r="F17" s="1"/>
      <c r="S17">
        <f>COUNTBLANK(Table3356721[#This Row])</f>
        <v>15</v>
      </c>
      <c r="T17">
        <f t="shared" si="1"/>
        <v>0</v>
      </c>
      <c r="U17">
        <f t="shared" si="2"/>
        <v>0</v>
      </c>
      <c r="X17" t="s">
        <v>80</v>
      </c>
      <c r="Y17">
        <f>M3</f>
        <v>1</v>
      </c>
    </row>
    <row r="18" spans="6:25" x14ac:dyDescent="0.3">
      <c r="F18" s="1"/>
      <c r="S18">
        <f>COUNTBLANK(Table3356721[#This Row])</f>
        <v>15</v>
      </c>
      <c r="T18">
        <f t="shared" si="1"/>
        <v>0</v>
      </c>
      <c r="U18">
        <f t="shared" si="2"/>
        <v>0</v>
      </c>
      <c r="X18" t="s">
        <v>81</v>
      </c>
      <c r="Y18">
        <f>N3</f>
        <v>1</v>
      </c>
    </row>
    <row r="19" spans="6:25" x14ac:dyDescent="0.3">
      <c r="F19" s="1"/>
      <c r="S19">
        <f>COUNTBLANK(Table3356721[#This Row])</f>
        <v>15</v>
      </c>
      <c r="T19">
        <f t="shared" si="1"/>
        <v>0</v>
      </c>
      <c r="U19">
        <f t="shared" si="2"/>
        <v>0</v>
      </c>
      <c r="X19" t="s">
        <v>82</v>
      </c>
      <c r="Y19">
        <f>O3</f>
        <v>0</v>
      </c>
    </row>
    <row r="20" spans="6:25" x14ac:dyDescent="0.3">
      <c r="F20" s="1"/>
      <c r="S20">
        <f>COUNTBLANK(Table3356721[#This Row])</f>
        <v>15</v>
      </c>
      <c r="T20">
        <f t="shared" si="1"/>
        <v>0</v>
      </c>
      <c r="U20">
        <f t="shared" si="2"/>
        <v>0</v>
      </c>
      <c r="X20" t="s">
        <v>83</v>
      </c>
      <c r="Y20">
        <f>P3</f>
        <v>0</v>
      </c>
    </row>
    <row r="21" spans="6:25" x14ac:dyDescent="0.3">
      <c r="F21" s="1"/>
      <c r="S21">
        <f>COUNTBLANK(Table3356721[#This Row])</f>
        <v>15</v>
      </c>
      <c r="T21">
        <f t="shared" si="1"/>
        <v>0</v>
      </c>
      <c r="U21">
        <f t="shared" si="2"/>
        <v>0</v>
      </c>
    </row>
    <row r="22" spans="6:25" x14ac:dyDescent="0.3">
      <c r="F22" s="1"/>
      <c r="S22">
        <f>COUNTBLANK(Table3356721[#This Row])</f>
        <v>15</v>
      </c>
      <c r="T22">
        <f t="shared" si="1"/>
        <v>0</v>
      </c>
      <c r="U22">
        <f t="shared" si="2"/>
        <v>0</v>
      </c>
      <c r="X22" t="s">
        <v>85</v>
      </c>
      <c r="Y22">
        <f>Q3</f>
        <v>0</v>
      </c>
    </row>
    <row r="23" spans="6:25" x14ac:dyDescent="0.3">
      <c r="F23" s="1"/>
      <c r="S23">
        <f>COUNTBLANK(Table3356721[#This Row])</f>
        <v>15</v>
      </c>
      <c r="T23">
        <f t="shared" si="1"/>
        <v>0</v>
      </c>
      <c r="U23">
        <f t="shared" si="2"/>
        <v>0</v>
      </c>
    </row>
    <row r="24" spans="6:25" x14ac:dyDescent="0.3">
      <c r="F24" s="1"/>
      <c r="S24">
        <f>COUNTBLANK(Table3356721[#This Row])</f>
        <v>15</v>
      </c>
      <c r="T24">
        <f t="shared" si="1"/>
        <v>0</v>
      </c>
      <c r="U24">
        <f t="shared" si="2"/>
        <v>0</v>
      </c>
    </row>
    <row r="25" spans="6:25" x14ac:dyDescent="0.3">
      <c r="F25" s="1"/>
      <c r="S25">
        <f>COUNTBLANK(Table3356721[#This Row])</f>
        <v>15</v>
      </c>
      <c r="T25">
        <f t="shared" si="1"/>
        <v>0</v>
      </c>
      <c r="U25">
        <f t="shared" si="2"/>
        <v>0</v>
      </c>
    </row>
    <row r="26" spans="6:25" x14ac:dyDescent="0.3">
      <c r="F26" s="1"/>
      <c r="S26">
        <f>COUNTBLANK(Table3356721[#This Row])</f>
        <v>15</v>
      </c>
      <c r="T26">
        <f t="shared" si="1"/>
        <v>0</v>
      </c>
      <c r="U26">
        <f t="shared" si="2"/>
        <v>0</v>
      </c>
    </row>
    <row r="27" spans="6:25" x14ac:dyDescent="0.3">
      <c r="F27" s="1"/>
      <c r="S27">
        <f>COUNTBLANK(Table3356721[#This Row])</f>
        <v>15</v>
      </c>
      <c r="T27">
        <f t="shared" si="1"/>
        <v>0</v>
      </c>
      <c r="U27">
        <f t="shared" si="2"/>
        <v>0</v>
      </c>
    </row>
    <row r="28" spans="6:25" x14ac:dyDescent="0.3">
      <c r="F28" s="1"/>
      <c r="S28">
        <f>COUNTBLANK(Table3356721[#This Row])</f>
        <v>15</v>
      </c>
      <c r="T28">
        <f t="shared" si="1"/>
        <v>0</v>
      </c>
      <c r="U28">
        <f t="shared" si="2"/>
        <v>0</v>
      </c>
    </row>
    <row r="29" spans="6:25" x14ac:dyDescent="0.3">
      <c r="F29" s="1"/>
      <c r="S29">
        <f>COUNTBLANK(Table3356721[#This Row])</f>
        <v>15</v>
      </c>
      <c r="T29">
        <f t="shared" si="1"/>
        <v>0</v>
      </c>
      <c r="U29">
        <f t="shared" si="2"/>
        <v>0</v>
      </c>
    </row>
    <row r="30" spans="6:25" x14ac:dyDescent="0.3">
      <c r="F30" s="1"/>
      <c r="S30">
        <f>COUNTBLANK(Table3356721[#This Row])</f>
        <v>15</v>
      </c>
      <c r="T30">
        <f t="shared" si="1"/>
        <v>0</v>
      </c>
      <c r="U30">
        <f t="shared" si="2"/>
        <v>0</v>
      </c>
    </row>
    <row r="31" spans="6:25" x14ac:dyDescent="0.3">
      <c r="F31" s="1"/>
      <c r="S31">
        <f>COUNTBLANK(Table3356721[#This Row])</f>
        <v>15</v>
      </c>
      <c r="T31">
        <f t="shared" si="1"/>
        <v>0</v>
      </c>
      <c r="U31">
        <f t="shared" si="2"/>
        <v>0</v>
      </c>
    </row>
    <row r="32" spans="6:25" x14ac:dyDescent="0.3">
      <c r="F32" s="1"/>
      <c r="S32">
        <f>COUNTBLANK(Table3356721[#This Row])</f>
        <v>15</v>
      </c>
      <c r="T32">
        <f t="shared" si="1"/>
        <v>0</v>
      </c>
      <c r="U32">
        <f t="shared" si="2"/>
        <v>0</v>
      </c>
    </row>
    <row r="33" spans="6:21" x14ac:dyDescent="0.3">
      <c r="F33" s="1"/>
      <c r="S33">
        <f>COUNTBLANK(Table3356721[#This Row])</f>
        <v>15</v>
      </c>
      <c r="T33">
        <f t="shared" si="1"/>
        <v>0</v>
      </c>
      <c r="U33">
        <f t="shared" si="2"/>
        <v>0</v>
      </c>
    </row>
  </sheetData>
  <conditionalFormatting sqref="E8:Q26 C27:Q33 C8:C26">
    <cfRule type="containsBlanks" dxfId="23" priority="3">
      <formula>LEN(TRIM(C8))=0</formula>
    </cfRule>
  </conditionalFormatting>
  <conditionalFormatting sqref="M8:M33 J8:J33">
    <cfRule type="duplicateValues" dxfId="22" priority="1"/>
  </conditionalFormatting>
  <conditionalFormatting sqref="T8:T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6256-F8D3-41C9-A84B-29D198CB725D}">
  <dimension ref="B1:AD33"/>
  <sheetViews>
    <sheetView tabSelected="1" zoomScale="70" zoomScaleNormal="70" workbookViewId="0">
      <selection activeCell="E9" sqref="E9"/>
    </sheetView>
  </sheetViews>
  <sheetFormatPr defaultRowHeight="14.4" x14ac:dyDescent="0.3"/>
  <cols>
    <col min="4" max="4" width="32.44140625" customWidth="1"/>
    <col min="6" max="6" width="11.6640625" bestFit="1" customWidth="1"/>
    <col min="7" max="7" width="23" bestFit="1" customWidth="1"/>
    <col min="8" max="8" width="11.5546875" bestFit="1" customWidth="1"/>
    <col min="11" max="11" width="13.77734375" bestFit="1" customWidth="1"/>
    <col min="12" max="12" width="16.77734375" bestFit="1" customWidth="1"/>
    <col min="13" max="13" width="13.109375" bestFit="1" customWidth="1"/>
    <col min="14" max="14" width="11.21875" bestFit="1" customWidth="1"/>
    <col min="15" max="15" width="12.44140625" bestFit="1" customWidth="1"/>
    <col min="16" max="16" width="11.88671875" bestFit="1" customWidth="1"/>
    <col min="23" max="23" width="17.44140625" bestFit="1" customWidth="1"/>
    <col min="28" max="28" width="12" bestFit="1" customWidth="1"/>
    <col min="29" max="29" width="10.109375" bestFit="1" customWidth="1"/>
    <col min="30" max="30" width="13" bestFit="1" customWidth="1"/>
  </cols>
  <sheetData>
    <row r="1" spans="2:30" x14ac:dyDescent="0.3">
      <c r="D1" s="3" t="s">
        <v>164</v>
      </c>
    </row>
    <row r="2" spans="2:30" x14ac:dyDescent="0.3">
      <c r="W2" t="s">
        <v>50</v>
      </c>
      <c r="X2">
        <f>AVERAGEIF(S8:S9999, "&gt;0")</f>
        <v>71.428571428571431</v>
      </c>
    </row>
    <row r="3" spans="2:30" x14ac:dyDescent="0.3">
      <c r="B3" t="s">
        <v>1</v>
      </c>
      <c r="C3">
        <f>COUNTA(C8:C9999)</f>
        <v>0</v>
      </c>
      <c r="D3">
        <f>COUNTA(D8:D9999)</f>
        <v>1</v>
      </c>
      <c r="E3">
        <f>COUNTA(E8:E9999)</f>
        <v>1</v>
      </c>
      <c r="F3">
        <f t="shared" ref="F3:H3" si="0">COUNTA(F8:F9999)</f>
        <v>1</v>
      </c>
      <c r="G3">
        <f t="shared" si="0"/>
        <v>1</v>
      </c>
      <c r="H3">
        <f t="shared" si="0"/>
        <v>1</v>
      </c>
      <c r="I3">
        <f t="shared" ref="I3:P3" si="1">COUNTA(I8:I9999)</f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</row>
    <row r="5" spans="2:30" x14ac:dyDescent="0.3">
      <c r="B5" t="s">
        <v>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W5" t="s">
        <v>1</v>
      </c>
      <c r="X5">
        <f>COUNTIF(S8:S99,"&gt;0")</f>
        <v>1</v>
      </c>
    </row>
    <row r="6" spans="2:30" x14ac:dyDescent="0.3">
      <c r="D6" s="3"/>
      <c r="W6" t="s">
        <v>24</v>
      </c>
      <c r="X6">
        <f>SUM(C5:P5)</f>
        <v>14</v>
      </c>
    </row>
    <row r="7" spans="2:30" x14ac:dyDescent="0.3">
      <c r="C7" t="s">
        <v>25</v>
      </c>
      <c r="D7" t="s">
        <v>145</v>
      </c>
      <c r="E7" t="s">
        <v>28</v>
      </c>
      <c r="F7" t="s">
        <v>29</v>
      </c>
      <c r="G7" t="s">
        <v>232</v>
      </c>
      <c r="H7" t="s">
        <v>204</v>
      </c>
      <c r="I7" t="s">
        <v>27</v>
      </c>
      <c r="J7" t="s">
        <v>52</v>
      </c>
      <c r="K7" t="s">
        <v>54</v>
      </c>
      <c r="L7" t="s">
        <v>53</v>
      </c>
      <c r="M7" t="s">
        <v>34</v>
      </c>
      <c r="N7" t="s">
        <v>35</v>
      </c>
      <c r="O7" t="s">
        <v>36</v>
      </c>
      <c r="P7" t="s">
        <v>38</v>
      </c>
      <c r="R7" t="s">
        <v>49</v>
      </c>
      <c r="S7" t="s">
        <v>50</v>
      </c>
      <c r="T7" t="s">
        <v>41</v>
      </c>
      <c r="W7" t="s">
        <v>40</v>
      </c>
      <c r="X7">
        <f>C3</f>
        <v>0</v>
      </c>
    </row>
    <row r="8" spans="2:30" x14ac:dyDescent="0.3">
      <c r="D8" t="str">
        <f>_xlfn.CONCAT(Table3356822[[#This Row],[Value]],", ",Table3356822[[#This Row],[Material]]," ",Table3356822[[#This Row],[Comment]])</f>
        <v xml:space="preserve">20x20x1mm, 17.8W/m-k, Silicone </v>
      </c>
      <c r="E8" t="str">
        <f>_xlfn.CONCAT(Table3356822[[#This Row],[Size]],", ",Table3356822[[#This Row],[Thermal Conductivity]])</f>
        <v>20x20x1mm, 17.8W/m-k</v>
      </c>
      <c r="F8" t="s">
        <v>233</v>
      </c>
      <c r="G8" t="s">
        <v>236</v>
      </c>
      <c r="H8" t="s">
        <v>237</v>
      </c>
      <c r="I8" t="s">
        <v>239</v>
      </c>
      <c r="J8" t="s">
        <v>238</v>
      </c>
      <c r="K8" t="s">
        <v>56</v>
      </c>
      <c r="L8" t="s">
        <v>234</v>
      </c>
      <c r="M8" t="s">
        <v>239</v>
      </c>
      <c r="R8">
        <f>COUNTBLANK(Table3356822[#This Row])</f>
        <v>4</v>
      </c>
      <c r="S8">
        <f>100 - (100*R8/COUNTA($C$3:$P$3))</f>
        <v>71.428571428571431</v>
      </c>
      <c r="T8">
        <f>IF(S8=100,1,0)</f>
        <v>0</v>
      </c>
      <c r="W8" t="s">
        <v>165</v>
      </c>
      <c r="X8">
        <f>D3</f>
        <v>1</v>
      </c>
    </row>
    <row r="9" spans="2:30" x14ac:dyDescent="0.3">
      <c r="R9">
        <f>COUNTBLANK(Table3356822[#This Row])</f>
        <v>14</v>
      </c>
      <c r="S9">
        <f>100 - (100*R9/COUNTA($C$3:$P$3))</f>
        <v>0</v>
      </c>
      <c r="T9">
        <f t="shared" ref="T9:T33" si="2">IF(S9=100,1,0)</f>
        <v>0</v>
      </c>
      <c r="W9" t="s">
        <v>71</v>
      </c>
      <c r="X9">
        <f>E3</f>
        <v>1</v>
      </c>
    </row>
    <row r="10" spans="2:30" x14ac:dyDescent="0.3">
      <c r="R10">
        <f>COUNTBLANK(Table3356822[#This Row])</f>
        <v>14</v>
      </c>
      <c r="S10">
        <f>100 - (100*R10/COUNTA($C$3:$P$3))</f>
        <v>0</v>
      </c>
      <c r="T10">
        <f t="shared" si="2"/>
        <v>0</v>
      </c>
      <c r="W10" t="s">
        <v>235</v>
      </c>
      <c r="X10">
        <f>G3</f>
        <v>1</v>
      </c>
    </row>
    <row r="11" spans="2:30" x14ac:dyDescent="0.3">
      <c r="R11">
        <f>COUNTBLANK(Table3356822[#This Row])</f>
        <v>14</v>
      </c>
      <c r="S11">
        <f>100 - (100*R11/COUNTA($C$3:$P$3))</f>
        <v>0</v>
      </c>
      <c r="T11">
        <f t="shared" si="2"/>
        <v>0</v>
      </c>
      <c r="W11" t="s">
        <v>219</v>
      </c>
      <c r="X11">
        <f>H3</f>
        <v>1</v>
      </c>
    </row>
    <row r="12" spans="2:30" x14ac:dyDescent="0.3">
      <c r="R12">
        <f>COUNTBLANK(Table3356822[#This Row])</f>
        <v>14</v>
      </c>
      <c r="S12">
        <f>100 - (100*R12/COUNTA($C$3:$P$3))</f>
        <v>0</v>
      </c>
      <c r="T12">
        <f t="shared" si="2"/>
        <v>0</v>
      </c>
      <c r="W12" t="s">
        <v>77</v>
      </c>
      <c r="X12">
        <f>I3</f>
        <v>1</v>
      </c>
      <c r="AB12" t="s">
        <v>112</v>
      </c>
      <c r="AC12" t="s">
        <v>113</v>
      </c>
      <c r="AD12" t="s">
        <v>114</v>
      </c>
    </row>
    <row r="13" spans="2:30" x14ac:dyDescent="0.3">
      <c r="R13">
        <f>COUNTBLANK(Table3356822[#This Row])</f>
        <v>14</v>
      </c>
      <c r="S13">
        <f>100 - (100*R13/COUNTA($C$3:$P$3))</f>
        <v>0</v>
      </c>
      <c r="T13">
        <f t="shared" si="2"/>
        <v>0</v>
      </c>
      <c r="W13" t="s">
        <v>78</v>
      </c>
      <c r="X13">
        <f>J3</f>
        <v>1</v>
      </c>
    </row>
    <row r="14" spans="2:30" x14ac:dyDescent="0.3">
      <c r="R14">
        <f>COUNTBLANK(Table3356822[#This Row])</f>
        <v>14</v>
      </c>
      <c r="S14">
        <f>100 - (100*R14/COUNTA($C$3:$P$3))</f>
        <v>0</v>
      </c>
      <c r="T14">
        <f t="shared" si="2"/>
        <v>0</v>
      </c>
      <c r="W14" t="s">
        <v>79</v>
      </c>
      <c r="X14">
        <f>K3</f>
        <v>1</v>
      </c>
    </row>
    <row r="15" spans="2:30" x14ac:dyDescent="0.3">
      <c r="R15">
        <f>COUNTBLANK(Table3356822[#This Row])</f>
        <v>14</v>
      </c>
      <c r="S15">
        <f>100 - (100*R15/COUNTA($C$3:$P$3))</f>
        <v>0</v>
      </c>
      <c r="T15">
        <f t="shared" si="2"/>
        <v>0</v>
      </c>
      <c r="W15" t="s">
        <v>80</v>
      </c>
      <c r="X15">
        <f>L3</f>
        <v>1</v>
      </c>
    </row>
    <row r="16" spans="2:30" x14ac:dyDescent="0.3">
      <c r="R16">
        <f>COUNTBLANK(Table3356822[#This Row])</f>
        <v>14</v>
      </c>
      <c r="S16">
        <f>100 - (100*R16/COUNTA($C$3:$P$3))</f>
        <v>0</v>
      </c>
      <c r="T16">
        <f t="shared" si="2"/>
        <v>0</v>
      </c>
      <c r="W16" t="s">
        <v>81</v>
      </c>
      <c r="X16">
        <f>M3</f>
        <v>1</v>
      </c>
    </row>
    <row r="17" spans="18:24" x14ac:dyDescent="0.3">
      <c r="R17">
        <f>COUNTBLANK(Table3356822[#This Row])</f>
        <v>14</v>
      </c>
      <c r="S17">
        <f>100 - (100*R17/COUNTA($C$3:$P$3))</f>
        <v>0</v>
      </c>
      <c r="T17">
        <f t="shared" si="2"/>
        <v>0</v>
      </c>
      <c r="W17" t="s">
        <v>82</v>
      </c>
      <c r="X17">
        <f>N3</f>
        <v>0</v>
      </c>
    </row>
    <row r="18" spans="18:24" x14ac:dyDescent="0.3">
      <c r="R18">
        <f>COUNTBLANK(Table3356822[#This Row])</f>
        <v>14</v>
      </c>
      <c r="S18">
        <f>100 - (100*R18/COUNTA($C$3:$P$3))</f>
        <v>0</v>
      </c>
      <c r="T18">
        <f t="shared" si="2"/>
        <v>0</v>
      </c>
      <c r="W18" t="s">
        <v>83</v>
      </c>
      <c r="X18">
        <f>O3</f>
        <v>0</v>
      </c>
    </row>
    <row r="19" spans="18:24" x14ac:dyDescent="0.3">
      <c r="R19">
        <f>COUNTBLANK(Table3356822[#This Row])</f>
        <v>14</v>
      </c>
      <c r="S19">
        <f>100 - (100*R19/COUNTA($C$3:$P$3))</f>
        <v>0</v>
      </c>
      <c r="T19">
        <f t="shared" si="2"/>
        <v>0</v>
      </c>
      <c r="W19" t="s">
        <v>85</v>
      </c>
      <c r="X19">
        <f>P3</f>
        <v>0</v>
      </c>
    </row>
    <row r="20" spans="18:24" x14ac:dyDescent="0.3">
      <c r="R20">
        <f>COUNTBLANK(Table3356822[#This Row])</f>
        <v>14</v>
      </c>
      <c r="S20">
        <f>100 - (100*R20/COUNTA($C$3:$P$3))</f>
        <v>0</v>
      </c>
      <c r="T20">
        <f t="shared" si="2"/>
        <v>0</v>
      </c>
    </row>
    <row r="21" spans="18:24" x14ac:dyDescent="0.3">
      <c r="R21">
        <f>COUNTBLANK(Table3356822[#This Row])</f>
        <v>14</v>
      </c>
      <c r="S21">
        <f>100 - (100*R21/COUNTA($C$3:$P$3))</f>
        <v>0</v>
      </c>
      <c r="T21">
        <f t="shared" si="2"/>
        <v>0</v>
      </c>
    </row>
    <row r="22" spans="18:24" x14ac:dyDescent="0.3">
      <c r="R22">
        <f>COUNTBLANK(Table3356822[#This Row])</f>
        <v>14</v>
      </c>
      <c r="S22">
        <f>100 - (100*R22/COUNTA($C$3:$P$3))</f>
        <v>0</v>
      </c>
      <c r="T22">
        <f t="shared" si="2"/>
        <v>0</v>
      </c>
    </row>
    <row r="23" spans="18:24" x14ac:dyDescent="0.3">
      <c r="R23">
        <f>COUNTBLANK(Table3356822[#This Row])</f>
        <v>14</v>
      </c>
      <c r="S23">
        <f>100 - (100*R23/COUNTA($C$3:$P$3))</f>
        <v>0</v>
      </c>
      <c r="T23">
        <f t="shared" si="2"/>
        <v>0</v>
      </c>
    </row>
    <row r="24" spans="18:24" x14ac:dyDescent="0.3">
      <c r="R24">
        <f>COUNTBLANK(Table3356822[#This Row])</f>
        <v>14</v>
      </c>
      <c r="S24">
        <f>100 - (100*R24/COUNTA($C$3:$P$3))</f>
        <v>0</v>
      </c>
      <c r="T24">
        <f t="shared" si="2"/>
        <v>0</v>
      </c>
    </row>
    <row r="25" spans="18:24" x14ac:dyDescent="0.3">
      <c r="R25">
        <f>COUNTBLANK(Table3356822[#This Row])</f>
        <v>14</v>
      </c>
      <c r="S25">
        <f>100 - (100*R25/COUNTA($C$3:$P$3))</f>
        <v>0</v>
      </c>
      <c r="T25">
        <f t="shared" si="2"/>
        <v>0</v>
      </c>
    </row>
    <row r="26" spans="18:24" x14ac:dyDescent="0.3">
      <c r="R26">
        <f>COUNTBLANK(Table3356822[#This Row])</f>
        <v>14</v>
      </c>
      <c r="S26">
        <f>100 - (100*R26/COUNTA($C$3:$P$3))</f>
        <v>0</v>
      </c>
      <c r="T26">
        <f t="shared" si="2"/>
        <v>0</v>
      </c>
    </row>
    <row r="27" spans="18:24" x14ac:dyDescent="0.3">
      <c r="R27">
        <f>COUNTBLANK(Table3356822[#This Row])</f>
        <v>14</v>
      </c>
      <c r="S27">
        <f>100 - (100*R27/COUNTA($C$3:$P$3))</f>
        <v>0</v>
      </c>
      <c r="T27">
        <f t="shared" si="2"/>
        <v>0</v>
      </c>
    </row>
    <row r="28" spans="18:24" x14ac:dyDescent="0.3">
      <c r="R28">
        <f>COUNTBLANK(Table3356822[#This Row])</f>
        <v>14</v>
      </c>
      <c r="S28">
        <f>100 - (100*R28/COUNTA($C$3:$P$3))</f>
        <v>0</v>
      </c>
      <c r="T28">
        <f t="shared" si="2"/>
        <v>0</v>
      </c>
    </row>
    <row r="29" spans="18:24" x14ac:dyDescent="0.3">
      <c r="R29">
        <f>COUNTBLANK(Table3356822[#This Row])</f>
        <v>14</v>
      </c>
      <c r="S29">
        <f>100 - (100*R29/COUNTA($C$3:$P$3))</f>
        <v>0</v>
      </c>
      <c r="T29">
        <f t="shared" si="2"/>
        <v>0</v>
      </c>
    </row>
    <row r="30" spans="18:24" x14ac:dyDescent="0.3">
      <c r="R30">
        <f>COUNTBLANK(Table3356822[#This Row])</f>
        <v>14</v>
      </c>
      <c r="S30">
        <f>100 - (100*R30/COUNTA($C$3:$P$3))</f>
        <v>0</v>
      </c>
      <c r="T30">
        <f t="shared" si="2"/>
        <v>0</v>
      </c>
    </row>
    <row r="31" spans="18:24" x14ac:dyDescent="0.3">
      <c r="R31">
        <f>COUNTBLANK(Table3356822[#This Row])</f>
        <v>14</v>
      </c>
      <c r="S31">
        <f>100 - (100*R31/COUNTA($C$3:$P$3))</f>
        <v>0</v>
      </c>
      <c r="T31">
        <f t="shared" si="2"/>
        <v>0</v>
      </c>
    </row>
    <row r="32" spans="18:24" x14ac:dyDescent="0.3">
      <c r="R32">
        <f>COUNTBLANK(Table3356822[#This Row])</f>
        <v>14</v>
      </c>
      <c r="S32">
        <f>100 - (100*R32/COUNTA($C$3:$P$3))</f>
        <v>0</v>
      </c>
      <c r="T32">
        <f t="shared" si="2"/>
        <v>0</v>
      </c>
    </row>
    <row r="33" spans="18:20" x14ac:dyDescent="0.3">
      <c r="R33">
        <f>COUNTBLANK(Table3356822[#This Row])</f>
        <v>14</v>
      </c>
      <c r="S33">
        <f>100 - (100*R33/COUNTA($C$3:$P$3))</f>
        <v>0</v>
      </c>
      <c r="T33">
        <f t="shared" si="2"/>
        <v>0</v>
      </c>
    </row>
  </sheetData>
  <conditionalFormatting sqref="C8:C26 E8:P26 C27:P33">
    <cfRule type="containsBlanks" dxfId="21" priority="3">
      <formula>LEN(TRIM(C8))=0</formula>
    </cfRule>
  </conditionalFormatting>
  <conditionalFormatting sqref="L8:L33 I8:I33">
    <cfRule type="duplicateValues" dxfId="20" priority="1"/>
  </conditionalFormatting>
  <conditionalFormatting sqref="S8:S33">
    <cfRule type="colorScale" priority="2">
      <colorScale>
        <cfvo type="num" val="0"/>
        <cfvo type="num" val="8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Resistors</vt:lpstr>
      <vt:lpstr>Capacitors</vt:lpstr>
      <vt:lpstr>Inductors</vt:lpstr>
      <vt:lpstr>Chokes</vt:lpstr>
      <vt:lpstr>Screws_Inch</vt:lpstr>
      <vt:lpstr>Screws_Metric</vt:lpstr>
      <vt:lpstr>Standoffs</vt:lpstr>
      <vt:lpstr>Thermal_Pads</vt:lpstr>
      <vt:lpstr>Thermal-templ</vt:lpstr>
      <vt:lpstr>Connectors</vt:lpstr>
      <vt:lpstr>Fuses</vt:lpstr>
      <vt:lpstr>Transient</vt:lpstr>
      <vt:lpstr>DC-DC</vt:lpstr>
      <vt:lpstr>AC-DC</vt:lpstr>
      <vt:lpstr>Dis-templ</vt:lpstr>
      <vt:lpstr>ICs-templ</vt:lpstr>
      <vt:lpstr>Cables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2024-10-10T05:49:17Z</dcterms:modified>
</cp:coreProperties>
</file>