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CrimeaKG\Building\"/>
    </mc:Choice>
  </mc:AlternateContent>
  <bookViews>
    <workbookView xWindow="0" yWindow="0" windowWidth="25110" windowHeight="10905" activeTab="1"/>
  </bookViews>
  <sheets>
    <sheet name="Лист1" sheetId="1" r:id="rId1"/>
    <sheet name="Лист2" sheetId="2" r:id="rId2"/>
  </sheets>
  <calcPr calcId="152511" iterateDelta="0.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39" i="2"/>
  <c r="E40" i="2"/>
  <c r="E41" i="2"/>
  <c r="E38" i="2"/>
  <c r="O15" i="2"/>
  <c r="P15" i="2"/>
  <c r="Q15" i="2"/>
  <c r="R15" i="2"/>
  <c r="S15" i="2"/>
  <c r="T15" i="2"/>
  <c r="T49" i="2" s="1"/>
  <c r="T18" i="2"/>
  <c r="T17" i="2"/>
  <c r="T16" i="2"/>
  <c r="M18" i="2"/>
  <c r="N17" i="2"/>
  <c r="L13" i="2"/>
  <c r="I4" i="2"/>
  <c r="T13" i="2"/>
  <c r="S3" i="2"/>
  <c r="T3" i="2"/>
  <c r="T5" i="2"/>
  <c r="T6" i="2"/>
  <c r="T7" i="2"/>
  <c r="T8" i="2"/>
  <c r="T9" i="2"/>
  <c r="T10" i="2"/>
  <c r="T4" i="2"/>
  <c r="R13" i="2"/>
  <c r="O12" i="2"/>
  <c r="P12" i="2"/>
  <c r="Q12" i="2"/>
  <c r="R12" i="2"/>
  <c r="S12" i="2"/>
  <c r="E13" i="2"/>
  <c r="P3" i="2"/>
  <c r="R3" i="2"/>
  <c r="U49" i="2"/>
  <c r="H12" i="2"/>
  <c r="I12" i="2"/>
  <c r="K12" i="2"/>
  <c r="M12" i="2"/>
  <c r="N12" i="2"/>
  <c r="I5" i="2"/>
  <c r="I6" i="2"/>
  <c r="I7" i="2"/>
  <c r="I8" i="2"/>
  <c r="I3" i="2"/>
  <c r="H3" i="2"/>
  <c r="L3" i="2"/>
  <c r="M3" i="2"/>
  <c r="N3" i="2"/>
  <c r="I15" i="2"/>
  <c r="J15" i="2"/>
  <c r="K15" i="2"/>
  <c r="L15" i="2"/>
  <c r="I49" i="2" l="1"/>
  <c r="V35" i="2"/>
  <c r="E17" i="2"/>
  <c r="E18" i="2"/>
  <c r="E16" i="2"/>
  <c r="E5" i="2"/>
  <c r="O5" i="2" s="1"/>
  <c r="E6" i="2"/>
  <c r="O6" i="2" s="1"/>
  <c r="E7" i="2"/>
  <c r="O7" i="2" s="1"/>
  <c r="E8" i="2"/>
  <c r="O8" i="2" s="1"/>
  <c r="E9" i="2"/>
  <c r="O9" i="2" s="1"/>
  <c r="E10" i="2"/>
  <c r="O10" i="2" s="1"/>
  <c r="E4" i="2"/>
  <c r="O4" i="2" s="1"/>
  <c r="O3" i="2" s="1"/>
  <c r="V4" i="2" l="1"/>
  <c r="J9" i="2"/>
  <c r="G9" i="2"/>
  <c r="J5" i="2"/>
  <c r="G5" i="2"/>
  <c r="M15" i="2"/>
  <c r="M49" i="2" s="1"/>
  <c r="G17" i="2"/>
  <c r="V9" i="2"/>
  <c r="V5" i="2"/>
  <c r="J8" i="2"/>
  <c r="G8" i="2"/>
  <c r="G13" i="2"/>
  <c r="J13" i="2"/>
  <c r="J12" i="2" s="1"/>
  <c r="V8" i="2"/>
  <c r="J4" i="2"/>
  <c r="G4" i="2"/>
  <c r="K4" i="2"/>
  <c r="K3" i="2" s="1"/>
  <c r="K49" i="2" s="1"/>
  <c r="J7" i="2"/>
  <c r="G7" i="2"/>
  <c r="H16" i="2"/>
  <c r="H15" i="2" s="1"/>
  <c r="H49" i="2" s="1"/>
  <c r="G16" i="2"/>
  <c r="V13" i="2"/>
  <c r="V7" i="2"/>
  <c r="J10" i="2"/>
  <c r="G10" i="2"/>
  <c r="J6" i="2"/>
  <c r="G6" i="2"/>
  <c r="G18" i="2"/>
  <c r="N15" i="2"/>
  <c r="N49" i="2" s="1"/>
  <c r="V10" i="2"/>
  <c r="V6" i="2"/>
  <c r="C30" i="1"/>
  <c r="D30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15" i="1"/>
  <c r="S29" i="1"/>
  <c r="K29" i="1"/>
  <c r="Q29" i="1"/>
  <c r="E3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K12" i="1"/>
  <c r="Q6" i="1"/>
  <c r="R6" i="1" s="1"/>
  <c r="Q7" i="1"/>
  <c r="R7" i="1" s="1"/>
  <c r="Q8" i="1"/>
  <c r="R8" i="1" s="1"/>
  <c r="Q9" i="1"/>
  <c r="Q10" i="1"/>
  <c r="R10" i="1" s="1"/>
  <c r="Q11" i="1"/>
  <c r="R11" i="1" s="1"/>
  <c r="Q12" i="1"/>
  <c r="R9" i="1"/>
  <c r="R5" i="1"/>
  <c r="C13" i="1"/>
  <c r="D13" i="1"/>
  <c r="E13" i="1"/>
  <c r="E6" i="1"/>
  <c r="E7" i="1"/>
  <c r="E8" i="1"/>
  <c r="E9" i="1"/>
  <c r="E10" i="1"/>
  <c r="E11" i="1"/>
  <c r="E12" i="1"/>
  <c r="E5" i="1"/>
  <c r="Q25" i="1"/>
  <c r="Q26" i="1"/>
  <c r="Q27" i="1"/>
  <c r="K25" i="1"/>
  <c r="K26" i="1"/>
  <c r="S26" i="1" s="1"/>
  <c r="K27" i="1"/>
  <c r="K28" i="1"/>
  <c r="O28" i="1"/>
  <c r="Q28" i="1" s="1"/>
  <c r="D28" i="1"/>
  <c r="C7" i="1"/>
  <c r="V3" i="2" l="1"/>
  <c r="V49" i="2" s="1"/>
  <c r="G15" i="2"/>
  <c r="G3" i="2"/>
  <c r="G49" i="2" s="1"/>
  <c r="J3" i="2"/>
  <c r="J49" i="2" s="1"/>
  <c r="L12" i="2"/>
  <c r="L49" i="2" s="1"/>
  <c r="G12" i="2"/>
  <c r="S28" i="1"/>
  <c r="R12" i="1"/>
  <c r="S25" i="1"/>
  <c r="S27" i="1"/>
  <c r="O30" i="1"/>
  <c r="J51" i="1"/>
  <c r="I41" i="1"/>
  <c r="K41" i="1" s="1"/>
  <c r="G53" i="1"/>
  <c r="I53" i="1"/>
  <c r="H55" i="1"/>
  <c r="H57" i="1" s="1"/>
  <c r="I54" i="1"/>
  <c r="K54" i="1" s="1"/>
  <c r="J52" i="1"/>
  <c r="G52" i="1"/>
  <c r="G51" i="1"/>
  <c r="J50" i="1"/>
  <c r="G50" i="1"/>
  <c r="F57" i="1"/>
  <c r="I43" i="1"/>
  <c r="K43" i="1" s="1"/>
  <c r="I42" i="1"/>
  <c r="K42" i="1" s="1"/>
  <c r="I40" i="1"/>
  <c r="F40" i="1"/>
  <c r="F45" i="1" s="1"/>
  <c r="G39" i="1"/>
  <c r="J39" i="1"/>
  <c r="J38" i="1"/>
  <c r="G38" i="1"/>
  <c r="K50" i="1" l="1"/>
  <c r="K52" i="1"/>
  <c r="K53" i="1"/>
  <c r="J45" i="1"/>
  <c r="I45" i="1"/>
  <c r="K39" i="1"/>
  <c r="K40" i="1"/>
  <c r="K38" i="1"/>
  <c r="G45" i="1"/>
  <c r="K55" i="1"/>
  <c r="H45" i="1"/>
  <c r="J57" i="1"/>
  <c r="K51" i="1"/>
  <c r="I57" i="1"/>
  <c r="G57" i="1"/>
  <c r="N24" i="1"/>
  <c r="Q24" i="1" s="1"/>
  <c r="I24" i="1"/>
  <c r="K24" i="1" s="1"/>
  <c r="P23" i="1"/>
  <c r="Q23" i="1" s="1"/>
  <c r="J23" i="1"/>
  <c r="K23" i="1" s="1"/>
  <c r="R23" i="1" s="1"/>
  <c r="P22" i="1"/>
  <c r="Q22" i="1" s="1"/>
  <c r="J22" i="1"/>
  <c r="K22" i="1" s="1"/>
  <c r="M21" i="1"/>
  <c r="L21" i="1"/>
  <c r="F21" i="1"/>
  <c r="K21" i="1" s="1"/>
  <c r="M20" i="1"/>
  <c r="Q20" i="1" s="1"/>
  <c r="H20" i="1"/>
  <c r="K20" i="1" s="1"/>
  <c r="N19" i="1"/>
  <c r="Q19" i="1" s="1"/>
  <c r="I19" i="1"/>
  <c r="P18" i="1"/>
  <c r="Q18" i="1" s="1"/>
  <c r="J18" i="1"/>
  <c r="K18" i="1" s="1"/>
  <c r="N17" i="1"/>
  <c r="Q17" i="1" s="1"/>
  <c r="H17" i="1"/>
  <c r="M16" i="1"/>
  <c r="Q16" i="1" s="1"/>
  <c r="H16" i="1"/>
  <c r="K16" i="1" s="1"/>
  <c r="M15" i="1"/>
  <c r="G15" i="1"/>
  <c r="K15" i="1" s="1"/>
  <c r="K45" i="1" l="1"/>
  <c r="K57" i="1"/>
  <c r="I30" i="1"/>
  <c r="S18" i="1"/>
  <c r="S16" i="1"/>
  <c r="S24" i="1"/>
  <c r="S23" i="1"/>
  <c r="S22" i="1"/>
  <c r="L30" i="1"/>
  <c r="H30" i="1"/>
  <c r="N30" i="1"/>
  <c r="J30" i="1"/>
  <c r="Q21" i="1"/>
  <c r="S21" i="1" s="1"/>
  <c r="F30" i="1"/>
  <c r="M30" i="1"/>
  <c r="S20" i="1"/>
  <c r="Q15" i="1"/>
  <c r="G30" i="1"/>
  <c r="P30" i="1"/>
  <c r="K17" i="1"/>
  <c r="S17" i="1" s="1"/>
  <c r="K19" i="1"/>
  <c r="S19" i="1" s="1"/>
  <c r="M11" i="1"/>
  <c r="L11" i="1"/>
  <c r="F11" i="1"/>
  <c r="K11" i="1" s="1"/>
  <c r="M10" i="1"/>
  <c r="H10" i="1"/>
  <c r="K10" i="1" s="1"/>
  <c r="N9" i="1"/>
  <c r="I9" i="1"/>
  <c r="I13" i="1" s="1"/>
  <c r="N7" i="1"/>
  <c r="J8" i="1"/>
  <c r="K8" i="1" s="1"/>
  <c r="P8" i="1"/>
  <c r="P13" i="1" s="1"/>
  <c r="K7" i="1"/>
  <c r="M6" i="1"/>
  <c r="H6" i="1"/>
  <c r="M5" i="1"/>
  <c r="Q5" i="1" s="1"/>
  <c r="G5" i="1"/>
  <c r="G13" i="1" s="1"/>
  <c r="J13" i="1" l="1"/>
  <c r="H13" i="1"/>
  <c r="S10" i="1"/>
  <c r="K30" i="1"/>
  <c r="Q30" i="1"/>
  <c r="R30" i="1"/>
  <c r="S15" i="1"/>
  <c r="S30" i="1" s="1"/>
  <c r="S8" i="1"/>
  <c r="N13" i="1"/>
  <c r="K6" i="1"/>
  <c r="S6" i="1" s="1"/>
  <c r="K9" i="1"/>
  <c r="S9" i="1" s="1"/>
  <c r="F13" i="1"/>
  <c r="M13" i="1"/>
  <c r="K5" i="1"/>
  <c r="S5" i="1" s="1"/>
  <c r="S7" i="1"/>
  <c r="L13" i="1"/>
  <c r="K13" i="1" l="1"/>
  <c r="Q13" i="1"/>
  <c r="R13" i="1"/>
  <c r="S11" i="1"/>
  <c r="S13" i="1" s="1"/>
</calcChain>
</file>

<file path=xl/sharedStrings.xml><?xml version="1.0" encoding="utf-8"?>
<sst xmlns="http://schemas.openxmlformats.org/spreadsheetml/2006/main" count="265" uniqueCount="99">
  <si>
    <t>Марка элемента</t>
  </si>
  <si>
    <t>Прокат</t>
  </si>
  <si>
    <t>Всего</t>
  </si>
  <si>
    <t>Общий расход</t>
  </si>
  <si>
    <t>d8</t>
  </si>
  <si>
    <t>d10</t>
  </si>
  <si>
    <t>d12</t>
  </si>
  <si>
    <t>d14</t>
  </si>
  <si>
    <t>d16</t>
  </si>
  <si>
    <t>Итого</t>
  </si>
  <si>
    <t>t6</t>
  </si>
  <si>
    <t>t8</t>
  </si>
  <si>
    <t>t10</t>
  </si>
  <si>
    <t>t12</t>
  </si>
  <si>
    <t>ЗД-12</t>
  </si>
  <si>
    <t>Количество</t>
  </si>
  <si>
    <t>ЗД-13</t>
  </si>
  <si>
    <t>ЗД-14</t>
  </si>
  <si>
    <t>ЗД-15</t>
  </si>
  <si>
    <t>ЗД-16</t>
  </si>
  <si>
    <t>ЗД-17</t>
  </si>
  <si>
    <t>ЗД-18</t>
  </si>
  <si>
    <t>-</t>
  </si>
  <si>
    <t>Закладные 1 этаж</t>
  </si>
  <si>
    <t>1 этаж</t>
  </si>
  <si>
    <t>2 этаж</t>
  </si>
  <si>
    <t>ЗД-19</t>
  </si>
  <si>
    <t>ЗД-20</t>
  </si>
  <si>
    <t>ЗД-21</t>
  </si>
  <si>
    <t>МН-1</t>
  </si>
  <si>
    <t>МН-2</t>
  </si>
  <si>
    <t>МН-3</t>
  </si>
  <si>
    <t>Meтaллические конструкции лестницы</t>
  </si>
  <si>
    <t>Лестница в осях 12-13/Б-Д</t>
  </si>
  <si>
    <t>[12</t>
  </si>
  <si>
    <t>[20</t>
  </si>
  <si>
    <t>[24</t>
  </si>
  <si>
    <t>L100х63х10</t>
  </si>
  <si>
    <t>К1</t>
  </si>
  <si>
    <t>К2</t>
  </si>
  <si>
    <t>К3</t>
  </si>
  <si>
    <t>К4</t>
  </si>
  <si>
    <t>К5</t>
  </si>
  <si>
    <t>К6</t>
  </si>
  <si>
    <t>Детали</t>
  </si>
  <si>
    <t>Лестница в осях7-8/Б-Г</t>
  </si>
  <si>
    <t>Арматура A3</t>
  </si>
  <si>
    <t>Арматура A500c</t>
  </si>
  <si>
    <t>d25</t>
  </si>
  <si>
    <t>t20</t>
  </si>
  <si>
    <t>МН-4</t>
  </si>
  <si>
    <t>Ж.б. сердечник Тип 1</t>
  </si>
  <si>
    <t>L</t>
  </si>
  <si>
    <t>n</t>
  </si>
  <si>
    <t>оси 1-6 Д</t>
  </si>
  <si>
    <t>оси 7-14 Д</t>
  </si>
  <si>
    <t>оси А-Б 13</t>
  </si>
  <si>
    <t xml:space="preserve">оси А-Б 1,7 </t>
  </si>
  <si>
    <t>оси 1-6 А</t>
  </si>
  <si>
    <t>Ж.б. сердечник Тип 2</t>
  </si>
  <si>
    <t>оси Г 1-5</t>
  </si>
  <si>
    <t>2эт</t>
  </si>
  <si>
    <t>1эт</t>
  </si>
  <si>
    <t>ось 14</t>
  </si>
  <si>
    <t>ось 13</t>
  </si>
  <si>
    <t>пояс 400х150</t>
  </si>
  <si>
    <t>пояс 300х150</t>
  </si>
  <si>
    <t>пояс 400х200</t>
  </si>
  <si>
    <t>Антисейсмичекский пояс</t>
  </si>
  <si>
    <t>связи гибкие</t>
  </si>
  <si>
    <t>Д5</t>
  </si>
  <si>
    <t>Д1</t>
  </si>
  <si>
    <t>Д2</t>
  </si>
  <si>
    <t>Д3</t>
  </si>
  <si>
    <t>Д4</t>
  </si>
  <si>
    <t>V</t>
  </si>
  <si>
    <t>всего d8 A400</t>
  </si>
  <si>
    <t>углы</t>
  </si>
  <si>
    <t xml:space="preserve">Др. узлы </t>
  </si>
  <si>
    <t>Газобетон,м3</t>
  </si>
  <si>
    <t>поз.1</t>
  </si>
  <si>
    <t>доп арм на кладку</t>
  </si>
  <si>
    <t>d8 A400  на 1 п.м</t>
  </si>
  <si>
    <t>поз.2</t>
  </si>
  <si>
    <t>поз.3</t>
  </si>
  <si>
    <t>поз.4</t>
  </si>
  <si>
    <t>поз.5</t>
  </si>
  <si>
    <t>поз.6</t>
  </si>
  <si>
    <t>поз.7</t>
  </si>
  <si>
    <t>поз.8</t>
  </si>
  <si>
    <t>итого</t>
  </si>
  <si>
    <t>Закладные издлия</t>
  </si>
  <si>
    <t>Зд-22</t>
  </si>
  <si>
    <t>Зд-23</t>
  </si>
  <si>
    <t>Зд-24</t>
  </si>
  <si>
    <t>Зд-25</t>
  </si>
  <si>
    <t>Зд-26</t>
  </si>
  <si>
    <t>Бетон</t>
  </si>
  <si>
    <t>d12 A400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</si>
</sst>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Border="1"/>
    <xf numFmtId="0" fontId="2" fillId="0" borderId="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3" xfId="0" applyFont="1" applyBorder="1"/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/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37" workbookViewId="0">
      <selection activeCell="I32" sqref="I32"/>
    </sheetView>
  </sheetViews>
  <sheetFormatPr defaultRowHeight="15" x14ac:dyDescent="0.25"/>
  <cols>
    <col min="1" max="1" width="28.42578125" customWidth="1"/>
    <col min="2" max="5" width="13.85546875" style="1" customWidth="1"/>
    <col min="7" max="7" width="11.28515625" customWidth="1"/>
    <col min="9" max="9" width="11.85546875" customWidth="1"/>
    <col min="11" max="11" width="9.140625" style="1"/>
    <col min="19" max="19" width="17" style="1" customWidth="1"/>
  </cols>
  <sheetData>
    <row r="1" spans="1:19" ht="15.75" thickBot="1" x14ac:dyDescent="0.3">
      <c r="A1" t="s">
        <v>23</v>
      </c>
    </row>
    <row r="2" spans="1:19" ht="15.75" thickBot="1" x14ac:dyDescent="0.3">
      <c r="A2" s="60" t="s">
        <v>0</v>
      </c>
      <c r="B2" s="62" t="s">
        <v>15</v>
      </c>
      <c r="C2" s="66" t="s">
        <v>47</v>
      </c>
      <c r="D2" s="67"/>
      <c r="E2" s="68"/>
      <c r="F2" s="58" t="s">
        <v>46</v>
      </c>
      <c r="G2" s="59"/>
      <c r="H2" s="59"/>
      <c r="I2" s="59"/>
      <c r="J2" s="59"/>
      <c r="K2" s="59"/>
      <c r="L2" s="59" t="s">
        <v>1</v>
      </c>
      <c r="M2" s="59"/>
      <c r="N2" s="59"/>
      <c r="O2" s="59"/>
      <c r="P2" s="59"/>
      <c r="Q2" s="59"/>
      <c r="R2" s="64" t="s">
        <v>2</v>
      </c>
      <c r="S2" s="50" t="s">
        <v>3</v>
      </c>
    </row>
    <row r="3" spans="1:19" ht="15.75" thickBot="1" x14ac:dyDescent="0.3">
      <c r="A3" s="61"/>
      <c r="B3" s="63"/>
      <c r="C3" s="2" t="s">
        <v>6</v>
      </c>
      <c r="D3" s="2" t="s">
        <v>48</v>
      </c>
      <c r="E3" s="2" t="s">
        <v>9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49</v>
      </c>
      <c r="P3" s="2" t="s">
        <v>13</v>
      </c>
      <c r="Q3" s="2" t="s">
        <v>9</v>
      </c>
      <c r="R3" s="65"/>
      <c r="S3" s="51"/>
    </row>
    <row r="4" spans="1:19" ht="15.75" thickBot="1" x14ac:dyDescent="0.3">
      <c r="A4" s="52" t="s">
        <v>24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4"/>
    </row>
    <row r="5" spans="1:19" x14ac:dyDescent="0.25">
      <c r="A5" s="5" t="s">
        <v>14</v>
      </c>
      <c r="B5" s="3">
        <v>4</v>
      </c>
      <c r="C5" s="3"/>
      <c r="D5" s="3"/>
      <c r="E5" s="3">
        <f>SUM(C5:D5)</f>
        <v>0</v>
      </c>
      <c r="F5" s="3" t="s">
        <v>22</v>
      </c>
      <c r="G5" s="3">
        <f>0.4*$B5</f>
        <v>1.6</v>
      </c>
      <c r="H5" s="3" t="s">
        <v>22</v>
      </c>
      <c r="I5" s="3" t="s">
        <v>22</v>
      </c>
      <c r="J5" s="3" t="s">
        <v>22</v>
      </c>
      <c r="K5" s="3">
        <f t="shared" ref="K5:K12" si="0">SUM(F5:J5)</f>
        <v>1.6</v>
      </c>
      <c r="L5" s="3" t="s">
        <v>22</v>
      </c>
      <c r="M5" s="3">
        <f>6.9*$B5</f>
        <v>27.6</v>
      </c>
      <c r="N5" s="3" t="s">
        <v>22</v>
      </c>
      <c r="O5" s="3" t="s">
        <v>22</v>
      </c>
      <c r="P5" s="3" t="s">
        <v>22</v>
      </c>
      <c r="Q5" s="3">
        <f>SUM(L5:P5)</f>
        <v>27.6</v>
      </c>
      <c r="R5" s="3">
        <f>K5+Q5+E5</f>
        <v>29.200000000000003</v>
      </c>
      <c r="S5" s="6">
        <f>R5</f>
        <v>29.200000000000003</v>
      </c>
    </row>
    <row r="6" spans="1:19" x14ac:dyDescent="0.25">
      <c r="A6" s="7" t="s">
        <v>16</v>
      </c>
      <c r="B6" s="4">
        <v>1</v>
      </c>
      <c r="C6" s="4"/>
      <c r="D6" s="4"/>
      <c r="E6" s="3">
        <f t="shared" ref="E6:E12" si="1">SUM(C6:D6)</f>
        <v>0</v>
      </c>
      <c r="F6" s="4" t="s">
        <v>22</v>
      </c>
      <c r="G6" s="4" t="s">
        <v>22</v>
      </c>
      <c r="H6" s="4">
        <f>2*$B6</f>
        <v>2</v>
      </c>
      <c r="I6" s="4" t="s">
        <v>22</v>
      </c>
      <c r="J6" s="4" t="s">
        <v>22</v>
      </c>
      <c r="K6" s="4">
        <f t="shared" si="0"/>
        <v>2</v>
      </c>
      <c r="L6" s="4" t="s">
        <v>22</v>
      </c>
      <c r="M6" s="4">
        <f>7.5*$B6</f>
        <v>7.5</v>
      </c>
      <c r="N6" s="4" t="s">
        <v>22</v>
      </c>
      <c r="O6" s="4" t="s">
        <v>22</v>
      </c>
      <c r="P6" s="4" t="s">
        <v>22</v>
      </c>
      <c r="Q6" s="3">
        <f t="shared" ref="Q6:Q12" si="2">SUM(L6:P6)</f>
        <v>7.5</v>
      </c>
      <c r="R6" s="3">
        <f t="shared" ref="R6:R12" si="3">K6+Q6+E6</f>
        <v>9.5</v>
      </c>
      <c r="S6" s="8">
        <f t="shared" ref="S6:S11" si="4">R6</f>
        <v>9.5</v>
      </c>
    </row>
    <row r="7" spans="1:19" x14ac:dyDescent="0.25">
      <c r="A7" s="7" t="s">
        <v>17</v>
      </c>
      <c r="B7" s="4">
        <v>1</v>
      </c>
      <c r="C7" s="4">
        <f>2.16*$B7</f>
        <v>2.16</v>
      </c>
      <c r="D7" s="4"/>
      <c r="E7" s="3">
        <f t="shared" si="1"/>
        <v>2.16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  <c r="K7" s="4">
        <f t="shared" si="0"/>
        <v>0</v>
      </c>
      <c r="L7" s="4" t="s">
        <v>22</v>
      </c>
      <c r="M7" s="4" t="s">
        <v>22</v>
      </c>
      <c r="N7" s="4">
        <f>10.56*$B7</f>
        <v>10.56</v>
      </c>
      <c r="O7" s="4" t="s">
        <v>22</v>
      </c>
      <c r="P7" s="4" t="s">
        <v>22</v>
      </c>
      <c r="Q7" s="3">
        <f t="shared" si="2"/>
        <v>10.56</v>
      </c>
      <c r="R7" s="3">
        <f t="shared" si="3"/>
        <v>12.72</v>
      </c>
      <c r="S7" s="8">
        <f t="shared" si="4"/>
        <v>12.72</v>
      </c>
    </row>
    <row r="8" spans="1:19" x14ac:dyDescent="0.25">
      <c r="A8" s="7" t="s">
        <v>18</v>
      </c>
      <c r="B8" s="4">
        <v>18</v>
      </c>
      <c r="C8" s="4"/>
      <c r="D8" s="4"/>
      <c r="E8" s="3">
        <f t="shared" si="1"/>
        <v>0</v>
      </c>
      <c r="F8" s="4" t="s">
        <v>22</v>
      </c>
      <c r="G8" s="4" t="s">
        <v>22</v>
      </c>
      <c r="H8" s="4" t="s">
        <v>22</v>
      </c>
      <c r="I8" s="4" t="s">
        <v>22</v>
      </c>
      <c r="J8" s="4">
        <f>2.6*$B8</f>
        <v>46.800000000000004</v>
      </c>
      <c r="K8" s="4">
        <f t="shared" si="0"/>
        <v>46.800000000000004</v>
      </c>
      <c r="L8" s="4" t="s">
        <v>22</v>
      </c>
      <c r="M8" s="4" t="s">
        <v>22</v>
      </c>
      <c r="N8" s="4" t="s">
        <v>22</v>
      </c>
      <c r="O8" s="4" t="s">
        <v>22</v>
      </c>
      <c r="P8" s="4">
        <f>11.2*$B8</f>
        <v>201.6</v>
      </c>
      <c r="Q8" s="3">
        <f t="shared" si="2"/>
        <v>201.6</v>
      </c>
      <c r="R8" s="3">
        <f t="shared" si="3"/>
        <v>248.4</v>
      </c>
      <c r="S8" s="8">
        <f t="shared" si="4"/>
        <v>248.4</v>
      </c>
    </row>
    <row r="9" spans="1:19" x14ac:dyDescent="0.25">
      <c r="A9" s="7" t="s">
        <v>19</v>
      </c>
      <c r="B9" s="4">
        <v>10</v>
      </c>
      <c r="C9" s="4"/>
      <c r="D9" s="4"/>
      <c r="E9" s="3">
        <f t="shared" si="1"/>
        <v>0</v>
      </c>
      <c r="F9" s="4" t="s">
        <v>22</v>
      </c>
      <c r="G9" s="4" t="s">
        <v>22</v>
      </c>
      <c r="H9" s="4" t="s">
        <v>22</v>
      </c>
      <c r="I9" s="4">
        <f>1.3*$B9</f>
        <v>13</v>
      </c>
      <c r="J9" s="4" t="s">
        <v>22</v>
      </c>
      <c r="K9" s="4">
        <f t="shared" si="0"/>
        <v>13</v>
      </c>
      <c r="L9" s="4" t="s">
        <v>22</v>
      </c>
      <c r="M9" s="4" t="s">
        <v>22</v>
      </c>
      <c r="N9" s="4">
        <f>5.1*$B9</f>
        <v>51</v>
      </c>
      <c r="O9" s="4" t="s">
        <v>22</v>
      </c>
      <c r="P9" s="4" t="s">
        <v>22</v>
      </c>
      <c r="Q9" s="3">
        <f t="shared" si="2"/>
        <v>51</v>
      </c>
      <c r="R9" s="3">
        <f t="shared" si="3"/>
        <v>64</v>
      </c>
      <c r="S9" s="8">
        <f t="shared" si="4"/>
        <v>64</v>
      </c>
    </row>
    <row r="10" spans="1:19" x14ac:dyDescent="0.25">
      <c r="A10" s="7" t="s">
        <v>20</v>
      </c>
      <c r="B10" s="4">
        <v>189</v>
      </c>
      <c r="C10" s="4"/>
      <c r="D10" s="4"/>
      <c r="E10" s="3">
        <f t="shared" si="1"/>
        <v>0</v>
      </c>
      <c r="F10" s="4" t="s">
        <v>22</v>
      </c>
      <c r="G10" s="4" t="s">
        <v>22</v>
      </c>
      <c r="H10" s="4">
        <f>1*$B10</f>
        <v>189</v>
      </c>
      <c r="I10" s="4" t="s">
        <v>22</v>
      </c>
      <c r="J10" s="4" t="s">
        <v>22</v>
      </c>
      <c r="K10" s="4">
        <f t="shared" si="0"/>
        <v>189</v>
      </c>
      <c r="L10" s="4" t="s">
        <v>22</v>
      </c>
      <c r="M10" s="4">
        <f>1.4*$B10</f>
        <v>264.59999999999997</v>
      </c>
      <c r="N10" s="4" t="s">
        <v>22</v>
      </c>
      <c r="O10" s="4" t="s">
        <v>22</v>
      </c>
      <c r="P10" s="4" t="s">
        <v>22</v>
      </c>
      <c r="Q10" s="3">
        <f t="shared" si="2"/>
        <v>264.59999999999997</v>
      </c>
      <c r="R10" s="3">
        <f t="shared" si="3"/>
        <v>453.59999999999997</v>
      </c>
      <c r="S10" s="8">
        <f t="shared" si="4"/>
        <v>453.59999999999997</v>
      </c>
    </row>
    <row r="11" spans="1:19" x14ac:dyDescent="0.25">
      <c r="A11" s="7" t="s">
        <v>21</v>
      </c>
      <c r="B11" s="4">
        <v>19</v>
      </c>
      <c r="C11" s="4"/>
      <c r="D11" s="4"/>
      <c r="E11" s="3">
        <f t="shared" si="1"/>
        <v>0</v>
      </c>
      <c r="F11" s="4">
        <f>0.1*$B11</f>
        <v>1.9000000000000001</v>
      </c>
      <c r="G11" s="4" t="s">
        <v>22</v>
      </c>
      <c r="H11" s="4" t="s">
        <v>22</v>
      </c>
      <c r="I11" s="4" t="s">
        <v>22</v>
      </c>
      <c r="J11" s="4" t="s">
        <v>22</v>
      </c>
      <c r="K11" s="4">
        <f t="shared" si="0"/>
        <v>1.9000000000000001</v>
      </c>
      <c r="L11" s="4">
        <f>1.4*$B11</f>
        <v>26.599999999999998</v>
      </c>
      <c r="M11" s="4">
        <f>0.4*$B11</f>
        <v>7.6000000000000005</v>
      </c>
      <c r="N11" s="4" t="s">
        <v>22</v>
      </c>
      <c r="O11" s="4" t="s">
        <v>22</v>
      </c>
      <c r="P11" s="4" t="s">
        <v>22</v>
      </c>
      <c r="Q11" s="3">
        <f t="shared" si="2"/>
        <v>34.199999999999996</v>
      </c>
      <c r="R11" s="3">
        <f t="shared" si="3"/>
        <v>36.099999999999994</v>
      </c>
      <c r="S11" s="8">
        <f t="shared" si="4"/>
        <v>36.099999999999994</v>
      </c>
    </row>
    <row r="12" spans="1:19" x14ac:dyDescent="0.25">
      <c r="A12" s="7"/>
      <c r="B12" s="4"/>
      <c r="C12" s="4"/>
      <c r="D12" s="4"/>
      <c r="E12" s="3">
        <f t="shared" si="1"/>
        <v>0</v>
      </c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 t="s">
        <v>22</v>
      </c>
      <c r="P12" s="4"/>
      <c r="Q12" s="3">
        <f t="shared" si="2"/>
        <v>0</v>
      </c>
      <c r="R12" s="3">
        <f t="shared" si="3"/>
        <v>0</v>
      </c>
      <c r="S12" s="8"/>
    </row>
    <row r="13" spans="1:19" ht="16.5" thickBot="1" x14ac:dyDescent="0.3">
      <c r="A13" s="14" t="s">
        <v>9</v>
      </c>
      <c r="B13" s="15"/>
      <c r="C13" s="15">
        <f>SUM(C5:C12)</f>
        <v>2.16</v>
      </c>
      <c r="D13" s="15">
        <f>SUM(D5:D12)</f>
        <v>0</v>
      </c>
      <c r="E13" s="15">
        <f>SUM(E5:E12)</f>
        <v>2.16</v>
      </c>
      <c r="F13" s="15">
        <f t="shared" ref="F13:S13" si="5">SUM(F5:F12)</f>
        <v>1.9000000000000001</v>
      </c>
      <c r="G13" s="15">
        <f t="shared" si="5"/>
        <v>1.6</v>
      </c>
      <c r="H13" s="15">
        <f t="shared" si="5"/>
        <v>191</v>
      </c>
      <c r="I13" s="15">
        <f t="shared" si="5"/>
        <v>13</v>
      </c>
      <c r="J13" s="15">
        <f t="shared" si="5"/>
        <v>46.800000000000004</v>
      </c>
      <c r="K13" s="15">
        <f t="shared" si="5"/>
        <v>254.3</v>
      </c>
      <c r="L13" s="15">
        <f t="shared" si="5"/>
        <v>26.599999999999998</v>
      </c>
      <c r="M13" s="15">
        <f t="shared" si="5"/>
        <v>307.3</v>
      </c>
      <c r="N13" s="15">
        <f t="shared" si="5"/>
        <v>61.56</v>
      </c>
      <c r="O13" s="15" t="s">
        <v>22</v>
      </c>
      <c r="P13" s="15">
        <f t="shared" si="5"/>
        <v>201.6</v>
      </c>
      <c r="Q13" s="15">
        <f t="shared" si="5"/>
        <v>597.05999999999995</v>
      </c>
      <c r="R13" s="15">
        <f t="shared" si="5"/>
        <v>853.52</v>
      </c>
      <c r="S13" s="16">
        <f t="shared" si="5"/>
        <v>853.52</v>
      </c>
    </row>
    <row r="14" spans="1:19" ht="16.5" thickBot="1" x14ac:dyDescent="0.3">
      <c r="A14" s="55" t="s">
        <v>25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7"/>
    </row>
    <row r="15" spans="1:19" x14ac:dyDescent="0.25">
      <c r="A15" s="5" t="s">
        <v>14</v>
      </c>
      <c r="B15" s="3">
        <v>0</v>
      </c>
      <c r="C15" s="3"/>
      <c r="D15" s="3"/>
      <c r="E15" s="3">
        <f t="shared" ref="E15:E29" si="6">SUM(C15:D15)</f>
        <v>0</v>
      </c>
      <c r="F15" s="3" t="s">
        <v>22</v>
      </c>
      <c r="G15" s="3">
        <f>0.4*$B15</f>
        <v>0</v>
      </c>
      <c r="H15" s="3" t="s">
        <v>22</v>
      </c>
      <c r="I15" s="3" t="s">
        <v>22</v>
      </c>
      <c r="J15" s="3" t="s">
        <v>22</v>
      </c>
      <c r="K15" s="3">
        <f t="shared" ref="K15:K29" si="7">SUM(F15:J15)</f>
        <v>0</v>
      </c>
      <c r="L15" s="3" t="s">
        <v>22</v>
      </c>
      <c r="M15" s="3">
        <f>6.9*$B15</f>
        <v>0</v>
      </c>
      <c r="N15" s="3" t="s">
        <v>22</v>
      </c>
      <c r="O15" s="3" t="s">
        <v>22</v>
      </c>
      <c r="P15" s="3" t="s">
        <v>22</v>
      </c>
      <c r="Q15" s="3">
        <f>SUM(L15:P15)</f>
        <v>0</v>
      </c>
      <c r="R15" s="3">
        <f>K15+Q15+E15</f>
        <v>0</v>
      </c>
      <c r="S15" s="6">
        <f>R15</f>
        <v>0</v>
      </c>
    </row>
    <row r="16" spans="1:19" x14ac:dyDescent="0.25">
      <c r="A16" s="7" t="s">
        <v>16</v>
      </c>
      <c r="B16" s="4">
        <v>0</v>
      </c>
      <c r="C16" s="4"/>
      <c r="D16" s="4"/>
      <c r="E16" s="3">
        <f t="shared" si="6"/>
        <v>0</v>
      </c>
      <c r="F16" s="4" t="s">
        <v>22</v>
      </c>
      <c r="G16" s="4" t="s">
        <v>22</v>
      </c>
      <c r="H16" s="4">
        <f>2*$B16</f>
        <v>0</v>
      </c>
      <c r="I16" s="4" t="s">
        <v>22</v>
      </c>
      <c r="J16" s="4" t="s">
        <v>22</v>
      </c>
      <c r="K16" s="4">
        <f t="shared" si="7"/>
        <v>0</v>
      </c>
      <c r="L16" s="4" t="s">
        <v>22</v>
      </c>
      <c r="M16" s="4">
        <f>7.5*$B16</f>
        <v>0</v>
      </c>
      <c r="N16" s="4" t="s">
        <v>22</v>
      </c>
      <c r="O16" s="4" t="s">
        <v>22</v>
      </c>
      <c r="P16" s="4" t="s">
        <v>22</v>
      </c>
      <c r="Q16" s="4">
        <f t="shared" ref="Q16:Q21" si="8">SUM(L16:P16)</f>
        <v>0</v>
      </c>
      <c r="R16" s="3">
        <f t="shared" ref="R16:R29" si="9">K16+Q16+E16</f>
        <v>0</v>
      </c>
      <c r="S16" s="8">
        <f t="shared" ref="S16:S21" si="10">R16</f>
        <v>0</v>
      </c>
    </row>
    <row r="17" spans="1:19" x14ac:dyDescent="0.25">
      <c r="A17" s="7" t="s">
        <v>17</v>
      </c>
      <c r="B17" s="4">
        <v>0</v>
      </c>
      <c r="C17" s="4"/>
      <c r="D17" s="4"/>
      <c r="E17" s="3">
        <f t="shared" si="6"/>
        <v>0</v>
      </c>
      <c r="F17" s="4" t="s">
        <v>22</v>
      </c>
      <c r="G17" s="4" t="s">
        <v>22</v>
      </c>
      <c r="H17" s="4">
        <f>2.16*$B17</f>
        <v>0</v>
      </c>
      <c r="I17" s="4" t="s">
        <v>22</v>
      </c>
      <c r="J17" s="4" t="s">
        <v>22</v>
      </c>
      <c r="K17" s="4">
        <f t="shared" si="7"/>
        <v>0</v>
      </c>
      <c r="L17" s="4" t="s">
        <v>22</v>
      </c>
      <c r="M17" s="4" t="s">
        <v>22</v>
      </c>
      <c r="N17" s="4">
        <f>10.56*$B17</f>
        <v>0</v>
      </c>
      <c r="O17" s="4" t="s">
        <v>22</v>
      </c>
      <c r="P17" s="4" t="s">
        <v>22</v>
      </c>
      <c r="Q17" s="4">
        <f t="shared" si="8"/>
        <v>0</v>
      </c>
      <c r="R17" s="3">
        <f t="shared" si="9"/>
        <v>0</v>
      </c>
      <c r="S17" s="8">
        <f t="shared" si="10"/>
        <v>0</v>
      </c>
    </row>
    <row r="18" spans="1:19" x14ac:dyDescent="0.25">
      <c r="A18" s="7" t="s">
        <v>18</v>
      </c>
      <c r="B18" s="4">
        <v>6</v>
      </c>
      <c r="C18" s="4"/>
      <c r="D18" s="4"/>
      <c r="E18" s="3">
        <f t="shared" si="6"/>
        <v>0</v>
      </c>
      <c r="F18" s="4" t="s">
        <v>22</v>
      </c>
      <c r="G18" s="4" t="s">
        <v>22</v>
      </c>
      <c r="H18" s="4" t="s">
        <v>22</v>
      </c>
      <c r="I18" s="4" t="s">
        <v>22</v>
      </c>
      <c r="J18" s="4">
        <f>2.6*$B18</f>
        <v>15.600000000000001</v>
      </c>
      <c r="K18" s="4">
        <f t="shared" si="7"/>
        <v>15.600000000000001</v>
      </c>
      <c r="L18" s="4" t="s">
        <v>22</v>
      </c>
      <c r="M18" s="4" t="s">
        <v>22</v>
      </c>
      <c r="N18" s="4" t="s">
        <v>22</v>
      </c>
      <c r="O18" s="4" t="s">
        <v>22</v>
      </c>
      <c r="P18" s="4">
        <f>11.2*$B18</f>
        <v>67.199999999999989</v>
      </c>
      <c r="Q18" s="4">
        <f t="shared" si="8"/>
        <v>67.199999999999989</v>
      </c>
      <c r="R18" s="3">
        <f t="shared" si="9"/>
        <v>82.799999999999983</v>
      </c>
      <c r="S18" s="8">
        <f t="shared" si="10"/>
        <v>82.799999999999983</v>
      </c>
    </row>
    <row r="19" spans="1:19" x14ac:dyDescent="0.25">
      <c r="A19" s="7" t="s">
        <v>19</v>
      </c>
      <c r="B19" s="4">
        <v>49</v>
      </c>
      <c r="C19" s="4"/>
      <c r="D19" s="4"/>
      <c r="E19" s="3">
        <f t="shared" si="6"/>
        <v>0</v>
      </c>
      <c r="F19" s="4" t="s">
        <v>22</v>
      </c>
      <c r="G19" s="4" t="s">
        <v>22</v>
      </c>
      <c r="H19" s="4" t="s">
        <v>22</v>
      </c>
      <c r="I19" s="4">
        <f>1.3*$B19</f>
        <v>63.7</v>
      </c>
      <c r="J19" s="4" t="s">
        <v>22</v>
      </c>
      <c r="K19" s="4">
        <f t="shared" si="7"/>
        <v>63.7</v>
      </c>
      <c r="L19" s="4" t="s">
        <v>22</v>
      </c>
      <c r="M19" s="4" t="s">
        <v>22</v>
      </c>
      <c r="N19" s="4">
        <f>5.1*$B19</f>
        <v>249.89999999999998</v>
      </c>
      <c r="O19" s="4" t="s">
        <v>22</v>
      </c>
      <c r="P19" s="4" t="s">
        <v>22</v>
      </c>
      <c r="Q19" s="4">
        <f t="shared" si="8"/>
        <v>249.89999999999998</v>
      </c>
      <c r="R19" s="3">
        <f t="shared" si="9"/>
        <v>313.59999999999997</v>
      </c>
      <c r="S19" s="8">
        <f t="shared" si="10"/>
        <v>313.59999999999997</v>
      </c>
    </row>
    <row r="20" spans="1:19" x14ac:dyDescent="0.25">
      <c r="A20" s="7" t="s">
        <v>20</v>
      </c>
      <c r="B20" s="4">
        <v>115</v>
      </c>
      <c r="C20" s="4"/>
      <c r="D20" s="4"/>
      <c r="E20" s="3">
        <f t="shared" si="6"/>
        <v>0</v>
      </c>
      <c r="F20" s="4" t="s">
        <v>22</v>
      </c>
      <c r="G20" s="4" t="s">
        <v>22</v>
      </c>
      <c r="H20" s="4">
        <f>1*$B20</f>
        <v>115</v>
      </c>
      <c r="I20" s="4" t="s">
        <v>22</v>
      </c>
      <c r="J20" s="4" t="s">
        <v>22</v>
      </c>
      <c r="K20" s="4">
        <f t="shared" si="7"/>
        <v>115</v>
      </c>
      <c r="L20" s="4" t="s">
        <v>22</v>
      </c>
      <c r="M20" s="4">
        <f>1.4*$B20</f>
        <v>161</v>
      </c>
      <c r="N20" s="4" t="s">
        <v>22</v>
      </c>
      <c r="O20" s="4" t="s">
        <v>22</v>
      </c>
      <c r="P20" s="4" t="s">
        <v>22</v>
      </c>
      <c r="Q20" s="4">
        <f t="shared" si="8"/>
        <v>161</v>
      </c>
      <c r="R20" s="3">
        <f t="shared" si="9"/>
        <v>276</v>
      </c>
      <c r="S20" s="8">
        <f t="shared" si="10"/>
        <v>276</v>
      </c>
    </row>
    <row r="21" spans="1:19" x14ac:dyDescent="0.25">
      <c r="A21" s="7" t="s">
        <v>21</v>
      </c>
      <c r="B21" s="4">
        <v>44</v>
      </c>
      <c r="C21" s="4"/>
      <c r="D21" s="4"/>
      <c r="E21" s="3">
        <f t="shared" si="6"/>
        <v>0</v>
      </c>
      <c r="F21" s="4">
        <f>0.1*$B21</f>
        <v>4.4000000000000004</v>
      </c>
      <c r="G21" s="4" t="s">
        <v>22</v>
      </c>
      <c r="H21" s="4" t="s">
        <v>22</v>
      </c>
      <c r="I21" s="4" t="s">
        <v>22</v>
      </c>
      <c r="J21" s="4" t="s">
        <v>22</v>
      </c>
      <c r="K21" s="4">
        <f t="shared" si="7"/>
        <v>4.4000000000000004</v>
      </c>
      <c r="L21" s="4">
        <f>1.4*$B21</f>
        <v>61.599999999999994</v>
      </c>
      <c r="M21" s="4">
        <f>0.4*$B21</f>
        <v>17.600000000000001</v>
      </c>
      <c r="N21" s="4" t="s">
        <v>22</v>
      </c>
      <c r="O21" s="4" t="s">
        <v>22</v>
      </c>
      <c r="P21" s="4" t="s">
        <v>22</v>
      </c>
      <c r="Q21" s="4">
        <f t="shared" si="8"/>
        <v>79.199999999999989</v>
      </c>
      <c r="R21" s="3">
        <f t="shared" si="9"/>
        <v>83.6</v>
      </c>
      <c r="S21" s="8">
        <f t="shared" si="10"/>
        <v>83.6</v>
      </c>
    </row>
    <row r="22" spans="1:19" x14ac:dyDescent="0.25">
      <c r="A22" s="7" t="s">
        <v>26</v>
      </c>
      <c r="B22" s="4">
        <v>5</v>
      </c>
      <c r="C22" s="4"/>
      <c r="D22" s="4"/>
      <c r="E22" s="3">
        <f t="shared" si="6"/>
        <v>0</v>
      </c>
      <c r="F22" s="4" t="s">
        <v>22</v>
      </c>
      <c r="G22" s="4" t="s">
        <v>22</v>
      </c>
      <c r="H22" s="4" t="s">
        <v>22</v>
      </c>
      <c r="I22" s="4" t="s">
        <v>22</v>
      </c>
      <c r="J22" s="4">
        <f>3*$B22</f>
        <v>15</v>
      </c>
      <c r="K22" s="4">
        <f t="shared" si="7"/>
        <v>15</v>
      </c>
      <c r="L22" s="4" t="s">
        <v>22</v>
      </c>
      <c r="M22" s="4" t="s">
        <v>22</v>
      </c>
      <c r="N22" s="4" t="s">
        <v>22</v>
      </c>
      <c r="O22" s="4" t="s">
        <v>22</v>
      </c>
      <c r="P22" s="4">
        <f>17.2*$B22</f>
        <v>86</v>
      </c>
      <c r="Q22" s="4">
        <f>SUM(L22:P22)</f>
        <v>86</v>
      </c>
      <c r="R22" s="3">
        <f t="shared" si="9"/>
        <v>101</v>
      </c>
      <c r="S22" s="8">
        <f>R22</f>
        <v>101</v>
      </c>
    </row>
    <row r="23" spans="1:19" s="40" customFormat="1" x14ac:dyDescent="0.25">
      <c r="A23" s="36" t="s">
        <v>27</v>
      </c>
      <c r="B23" s="37">
        <v>0</v>
      </c>
      <c r="C23" s="37"/>
      <c r="D23" s="37"/>
      <c r="E23" s="38">
        <f t="shared" si="6"/>
        <v>0</v>
      </c>
      <c r="F23" s="37" t="s">
        <v>22</v>
      </c>
      <c r="G23" s="37" t="s">
        <v>22</v>
      </c>
      <c r="H23" s="37" t="s">
        <v>22</v>
      </c>
      <c r="I23" s="37" t="s">
        <v>22</v>
      </c>
      <c r="J23" s="37">
        <f>3.7*$B23</f>
        <v>0</v>
      </c>
      <c r="K23" s="37">
        <f t="shared" si="7"/>
        <v>0</v>
      </c>
      <c r="L23" s="37" t="s">
        <v>22</v>
      </c>
      <c r="M23" s="37" t="s">
        <v>22</v>
      </c>
      <c r="N23" s="37" t="s">
        <v>22</v>
      </c>
      <c r="O23" s="37" t="s">
        <v>22</v>
      </c>
      <c r="P23" s="37">
        <f>11.4*$B23</f>
        <v>0</v>
      </c>
      <c r="Q23" s="37">
        <f>SUM(L23:P23)</f>
        <v>0</v>
      </c>
      <c r="R23" s="38">
        <f t="shared" si="9"/>
        <v>0</v>
      </c>
      <c r="S23" s="39">
        <f>R23</f>
        <v>0</v>
      </c>
    </row>
    <row r="24" spans="1:19" x14ac:dyDescent="0.25">
      <c r="A24" s="7" t="s">
        <v>28</v>
      </c>
      <c r="B24" s="4">
        <v>6</v>
      </c>
      <c r="C24" s="4"/>
      <c r="D24" s="4"/>
      <c r="E24" s="3">
        <f t="shared" si="6"/>
        <v>0</v>
      </c>
      <c r="F24" s="4" t="s">
        <v>22</v>
      </c>
      <c r="G24" s="4" t="s">
        <v>22</v>
      </c>
      <c r="H24" s="4" t="s">
        <v>22</v>
      </c>
      <c r="I24" s="4">
        <f>1.7*$B24</f>
        <v>10.199999999999999</v>
      </c>
      <c r="J24" s="4" t="s">
        <v>22</v>
      </c>
      <c r="K24" s="4">
        <f t="shared" si="7"/>
        <v>10.199999999999999</v>
      </c>
      <c r="L24" s="4" t="s">
        <v>22</v>
      </c>
      <c r="M24" s="4" t="s">
        <v>22</v>
      </c>
      <c r="N24" s="4">
        <f>7.5*$B24</f>
        <v>45</v>
      </c>
      <c r="O24" s="4" t="s">
        <v>22</v>
      </c>
      <c r="P24" s="4" t="s">
        <v>22</v>
      </c>
      <c r="Q24" s="4">
        <f t="shared" ref="Q24:Q29" si="11">SUM(L24:P24)</f>
        <v>45</v>
      </c>
      <c r="R24" s="3">
        <f t="shared" si="9"/>
        <v>55.2</v>
      </c>
      <c r="S24" s="8">
        <f t="shared" ref="S24:S29" si="12">R24</f>
        <v>55.2</v>
      </c>
    </row>
    <row r="25" spans="1:19" x14ac:dyDescent="0.25">
      <c r="A25" s="7" t="s">
        <v>29</v>
      </c>
      <c r="B25" s="4">
        <v>35</v>
      </c>
      <c r="C25" s="4"/>
      <c r="D25" s="4"/>
      <c r="E25" s="3">
        <f t="shared" si="6"/>
        <v>0</v>
      </c>
      <c r="F25" s="4"/>
      <c r="G25" s="4"/>
      <c r="H25" s="4"/>
      <c r="I25" s="4"/>
      <c r="J25" s="4"/>
      <c r="K25" s="4">
        <f t="shared" si="7"/>
        <v>0</v>
      </c>
      <c r="L25" s="4"/>
      <c r="M25" s="4"/>
      <c r="N25" s="4"/>
      <c r="O25" s="4" t="s">
        <v>22</v>
      </c>
      <c r="P25" s="4"/>
      <c r="Q25" s="4">
        <f t="shared" si="11"/>
        <v>0</v>
      </c>
      <c r="R25" s="3">
        <f t="shared" si="9"/>
        <v>0</v>
      </c>
      <c r="S25" s="8">
        <f t="shared" si="12"/>
        <v>0</v>
      </c>
    </row>
    <row r="26" spans="1:19" x14ac:dyDescent="0.25">
      <c r="A26" s="7" t="s">
        <v>30</v>
      </c>
      <c r="B26" s="4">
        <v>4</v>
      </c>
      <c r="C26" s="4"/>
      <c r="D26" s="4"/>
      <c r="E26" s="3">
        <f t="shared" si="6"/>
        <v>0</v>
      </c>
      <c r="F26" s="4"/>
      <c r="G26" s="4"/>
      <c r="H26" s="4"/>
      <c r="I26" s="4"/>
      <c r="J26" s="4"/>
      <c r="K26" s="4">
        <f t="shared" si="7"/>
        <v>0</v>
      </c>
      <c r="L26" s="4"/>
      <c r="M26" s="4"/>
      <c r="N26" s="4"/>
      <c r="O26" s="4" t="s">
        <v>22</v>
      </c>
      <c r="P26" s="4"/>
      <c r="Q26" s="4">
        <f t="shared" si="11"/>
        <v>0</v>
      </c>
      <c r="R26" s="3">
        <f t="shared" si="9"/>
        <v>0</v>
      </c>
      <c r="S26" s="8">
        <f t="shared" si="12"/>
        <v>0</v>
      </c>
    </row>
    <row r="27" spans="1:19" x14ac:dyDescent="0.25">
      <c r="A27" s="7" t="s">
        <v>31</v>
      </c>
      <c r="B27" s="4">
        <v>5</v>
      </c>
      <c r="C27" s="4"/>
      <c r="D27" s="4"/>
      <c r="E27" s="3">
        <f t="shared" si="6"/>
        <v>0</v>
      </c>
      <c r="F27" s="4"/>
      <c r="G27" s="4"/>
      <c r="H27" s="4"/>
      <c r="I27" s="4"/>
      <c r="J27" s="4"/>
      <c r="K27" s="4">
        <f t="shared" si="7"/>
        <v>0</v>
      </c>
      <c r="L27" s="4"/>
      <c r="M27" s="4"/>
      <c r="N27" s="4"/>
      <c r="O27" s="4"/>
      <c r="P27" s="4"/>
      <c r="Q27" s="4">
        <f t="shared" si="11"/>
        <v>0</v>
      </c>
      <c r="R27" s="3">
        <f t="shared" si="9"/>
        <v>0</v>
      </c>
      <c r="S27" s="8">
        <f t="shared" si="12"/>
        <v>0</v>
      </c>
    </row>
    <row r="28" spans="1:19" x14ac:dyDescent="0.25">
      <c r="A28" s="7" t="s">
        <v>50</v>
      </c>
      <c r="B28" s="4">
        <v>4</v>
      </c>
      <c r="C28" s="4"/>
      <c r="D28" s="4">
        <f>15.4*$B28</f>
        <v>61.6</v>
      </c>
      <c r="E28" s="3">
        <f t="shared" si="6"/>
        <v>61.6</v>
      </c>
      <c r="F28" s="4"/>
      <c r="G28" s="4"/>
      <c r="H28" s="4"/>
      <c r="I28" s="4"/>
      <c r="J28" s="4"/>
      <c r="K28" s="4">
        <f t="shared" si="7"/>
        <v>0</v>
      </c>
      <c r="L28" s="4"/>
      <c r="M28" s="4"/>
      <c r="N28" s="4"/>
      <c r="O28" s="4">
        <f>64*$B28</f>
        <v>256</v>
      </c>
      <c r="P28" s="4"/>
      <c r="Q28" s="4">
        <f t="shared" si="11"/>
        <v>256</v>
      </c>
      <c r="R28" s="3">
        <f t="shared" si="9"/>
        <v>317.60000000000002</v>
      </c>
      <c r="S28" s="8">
        <f t="shared" si="12"/>
        <v>317.60000000000002</v>
      </c>
    </row>
    <row r="29" spans="1:19" x14ac:dyDescent="0.25">
      <c r="A29" s="7"/>
      <c r="B29" s="4"/>
      <c r="C29" s="4"/>
      <c r="D29" s="4"/>
      <c r="E29" s="3">
        <f t="shared" si="6"/>
        <v>0</v>
      </c>
      <c r="F29" s="4"/>
      <c r="G29" s="4"/>
      <c r="H29" s="4"/>
      <c r="I29" s="4"/>
      <c r="J29" s="4"/>
      <c r="K29" s="4">
        <f t="shared" si="7"/>
        <v>0</v>
      </c>
      <c r="L29" s="4"/>
      <c r="M29" s="4"/>
      <c r="N29" s="4"/>
      <c r="O29" s="4"/>
      <c r="P29" s="4"/>
      <c r="Q29" s="4">
        <f t="shared" si="11"/>
        <v>0</v>
      </c>
      <c r="R29" s="3">
        <f t="shared" si="9"/>
        <v>0</v>
      </c>
      <c r="S29" s="8">
        <f t="shared" si="12"/>
        <v>0</v>
      </c>
    </row>
    <row r="30" spans="1:19" ht="15.75" x14ac:dyDescent="0.25">
      <c r="A30" s="12" t="s">
        <v>9</v>
      </c>
      <c r="B30" s="13"/>
      <c r="C30" s="13">
        <f t="shared" ref="C30:S30" si="13">SUM(C15:C28)</f>
        <v>0</v>
      </c>
      <c r="D30" s="13">
        <f t="shared" si="13"/>
        <v>61.6</v>
      </c>
      <c r="E30" s="15">
        <f>SUM(E22:E29)</f>
        <v>61.6</v>
      </c>
      <c r="F30" s="13">
        <f t="shared" si="13"/>
        <v>4.4000000000000004</v>
      </c>
      <c r="G30" s="13">
        <f t="shared" si="13"/>
        <v>0</v>
      </c>
      <c r="H30" s="13">
        <f t="shared" si="13"/>
        <v>115</v>
      </c>
      <c r="I30" s="34">
        <f t="shared" si="13"/>
        <v>73.900000000000006</v>
      </c>
      <c r="J30" s="35">
        <f t="shared" si="13"/>
        <v>30.6</v>
      </c>
      <c r="K30" s="35">
        <f t="shared" si="13"/>
        <v>223.9</v>
      </c>
      <c r="L30" s="13">
        <f t="shared" si="13"/>
        <v>61.599999999999994</v>
      </c>
      <c r="M30" s="13">
        <f t="shared" si="13"/>
        <v>178.6</v>
      </c>
      <c r="N30" s="13">
        <f t="shared" si="13"/>
        <v>294.89999999999998</v>
      </c>
      <c r="O30" s="13">
        <f t="shared" si="13"/>
        <v>256</v>
      </c>
      <c r="P30" s="35">
        <f t="shared" si="13"/>
        <v>153.19999999999999</v>
      </c>
      <c r="Q30" s="35">
        <f t="shared" si="13"/>
        <v>944.3</v>
      </c>
      <c r="R30" s="35">
        <f t="shared" si="13"/>
        <v>1229.8000000000002</v>
      </c>
      <c r="S30" s="41">
        <f t="shared" si="13"/>
        <v>1229.8000000000002</v>
      </c>
    </row>
    <row r="31" spans="1:19" ht="15.75" thickBot="1" x14ac:dyDescent="0.3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4" spans="1:11" x14ac:dyDescent="0.25">
      <c r="A34" t="s">
        <v>32</v>
      </c>
    </row>
    <row r="35" spans="1:11" ht="15.75" thickBot="1" x14ac:dyDescent="0.3"/>
    <row r="36" spans="1:11" x14ac:dyDescent="0.25">
      <c r="A36" s="48" t="s">
        <v>33</v>
      </c>
      <c r="B36" s="44" t="s">
        <v>15</v>
      </c>
      <c r="C36" s="31"/>
      <c r="D36" s="31"/>
      <c r="E36" s="31"/>
      <c r="F36" s="44" t="s">
        <v>34</v>
      </c>
      <c r="G36" s="44" t="s">
        <v>35</v>
      </c>
      <c r="H36" s="44" t="s">
        <v>36</v>
      </c>
      <c r="I36" s="44" t="s">
        <v>37</v>
      </c>
      <c r="J36" s="44">
        <v>-8</v>
      </c>
      <c r="K36" s="46" t="s">
        <v>2</v>
      </c>
    </row>
    <row r="37" spans="1:11" x14ac:dyDescent="0.25">
      <c r="A37" s="49"/>
      <c r="B37" s="45"/>
      <c r="C37" s="25"/>
      <c r="D37" s="25"/>
      <c r="E37" s="25"/>
      <c r="F37" s="45"/>
      <c r="G37" s="45"/>
      <c r="H37" s="45"/>
      <c r="I37" s="45"/>
      <c r="J37" s="45"/>
      <c r="K37" s="47"/>
    </row>
    <row r="38" spans="1:11" x14ac:dyDescent="0.25">
      <c r="A38" s="19" t="s">
        <v>38</v>
      </c>
      <c r="B38" s="20">
        <v>2</v>
      </c>
      <c r="C38" s="33"/>
      <c r="D38" s="33"/>
      <c r="E38" s="33"/>
      <c r="F38" s="26"/>
      <c r="G38" s="27">
        <f>127.51*B38</f>
        <v>255.02</v>
      </c>
      <c r="H38" s="26"/>
      <c r="I38" s="26"/>
      <c r="J38" s="26">
        <f>(0.9+0.75*2)*B38</f>
        <v>4.8</v>
      </c>
      <c r="K38" s="20">
        <f t="shared" ref="K38:K43" si="14">SUM(F38:J38)</f>
        <v>259.82</v>
      </c>
    </row>
    <row r="39" spans="1:11" x14ac:dyDescent="0.25">
      <c r="A39" s="19" t="s">
        <v>39</v>
      </c>
      <c r="B39" s="20">
        <v>2</v>
      </c>
      <c r="C39" s="33"/>
      <c r="D39" s="33"/>
      <c r="E39" s="33"/>
      <c r="F39" s="26"/>
      <c r="G39" s="27">
        <f>107.55*B39</f>
        <v>215.1</v>
      </c>
      <c r="H39" s="26"/>
      <c r="I39" s="26"/>
      <c r="J39" s="26">
        <f>(0.9+0.75*2)*B39</f>
        <v>4.8</v>
      </c>
      <c r="K39" s="20">
        <f t="shared" si="14"/>
        <v>219.9</v>
      </c>
    </row>
    <row r="40" spans="1:11" x14ac:dyDescent="0.25">
      <c r="A40" s="19" t="s">
        <v>40</v>
      </c>
      <c r="B40" s="20">
        <v>2</v>
      </c>
      <c r="C40" s="33"/>
      <c r="D40" s="33"/>
      <c r="E40" s="33"/>
      <c r="F40" s="27">
        <f>11.13*B40</f>
        <v>22.26</v>
      </c>
      <c r="G40" s="26"/>
      <c r="H40" s="26"/>
      <c r="I40" s="26">
        <f>(1.1*2)*B40</f>
        <v>4.4000000000000004</v>
      </c>
      <c r="J40" s="26"/>
      <c r="K40" s="20">
        <f t="shared" si="14"/>
        <v>26.660000000000004</v>
      </c>
    </row>
    <row r="41" spans="1:11" x14ac:dyDescent="0.25">
      <c r="A41" s="19" t="s">
        <v>44</v>
      </c>
      <c r="B41" s="20">
        <v>1</v>
      </c>
      <c r="C41" s="33"/>
      <c r="D41" s="33"/>
      <c r="E41" s="33"/>
      <c r="F41" s="26"/>
      <c r="G41" s="26"/>
      <c r="H41" s="26"/>
      <c r="I41" s="26">
        <f>(2.43*4+1.09*4+1.94*4+1.21*4)*B41</f>
        <v>26.680000000000003</v>
      </c>
      <c r="J41" s="26"/>
      <c r="K41" s="20">
        <f t="shared" si="14"/>
        <v>26.680000000000003</v>
      </c>
    </row>
    <row r="42" spans="1:11" x14ac:dyDescent="0.25">
      <c r="A42" s="19">
        <v>1</v>
      </c>
      <c r="B42" s="20">
        <v>2</v>
      </c>
      <c r="C42" s="33"/>
      <c r="D42" s="33"/>
      <c r="E42" s="33"/>
      <c r="F42" s="26"/>
      <c r="G42" s="26"/>
      <c r="H42" s="26"/>
      <c r="I42" s="26">
        <f>8.5*B42</f>
        <v>17</v>
      </c>
      <c r="J42" s="26"/>
      <c r="K42" s="20">
        <f t="shared" si="14"/>
        <v>17</v>
      </c>
    </row>
    <row r="43" spans="1:11" x14ac:dyDescent="0.25">
      <c r="A43" s="19">
        <v>2</v>
      </c>
      <c r="B43" s="20">
        <v>2</v>
      </c>
      <c r="C43" s="33"/>
      <c r="D43" s="33"/>
      <c r="E43" s="33"/>
      <c r="F43" s="26"/>
      <c r="G43" s="26"/>
      <c r="H43" s="26"/>
      <c r="I43" s="26">
        <f>9.71*B43</f>
        <v>19.420000000000002</v>
      </c>
      <c r="J43" s="26"/>
      <c r="K43" s="20">
        <f t="shared" si="14"/>
        <v>19.420000000000002</v>
      </c>
    </row>
    <row r="44" spans="1:11" ht="15.75" thickBot="1" x14ac:dyDescent="0.3">
      <c r="A44" s="23"/>
      <c r="B44" s="24"/>
      <c r="C44" s="24"/>
      <c r="D44" s="24"/>
      <c r="E44" s="24"/>
      <c r="F44" s="28"/>
      <c r="G44" s="28"/>
      <c r="H44" s="28"/>
      <c r="I44" s="28"/>
      <c r="J44" s="28"/>
      <c r="K44" s="24"/>
    </row>
    <row r="45" spans="1:11" x14ac:dyDescent="0.25">
      <c r="A45" s="30" t="s">
        <v>9</v>
      </c>
      <c r="B45" s="31"/>
      <c r="C45" s="31"/>
      <c r="D45" s="31"/>
      <c r="E45" s="31"/>
      <c r="F45" s="32">
        <f>SUM(F38:F44)</f>
        <v>22.26</v>
      </c>
      <c r="G45" s="32">
        <f>SUM(G38:G44)</f>
        <v>470.12</v>
      </c>
      <c r="H45" s="32">
        <f>SUM(H38:H44)</f>
        <v>0</v>
      </c>
      <c r="I45" s="32">
        <f>SUM(I38:I44)</f>
        <v>67.5</v>
      </c>
      <c r="J45" s="32">
        <f>SUM(J38:J44)</f>
        <v>9.6</v>
      </c>
      <c r="K45" s="18">
        <f>SUM(F45:J45)</f>
        <v>569.48</v>
      </c>
    </row>
    <row r="46" spans="1:11" ht="15.75" thickBot="1" x14ac:dyDescent="0.3">
      <c r="A46" s="21"/>
      <c r="B46" s="22"/>
      <c r="C46" s="22"/>
      <c r="D46" s="22"/>
      <c r="E46" s="22"/>
      <c r="F46" s="29"/>
      <c r="G46" s="29"/>
      <c r="H46" s="29"/>
      <c r="I46" s="29"/>
      <c r="J46" s="29"/>
      <c r="K46" s="22"/>
    </row>
    <row r="47" spans="1:11" ht="15.75" thickBot="1" x14ac:dyDescent="0.3">
      <c r="A47" s="17"/>
    </row>
    <row r="48" spans="1:11" x14ac:dyDescent="0.25">
      <c r="A48" s="48" t="s">
        <v>45</v>
      </c>
      <c r="B48" s="44" t="s">
        <v>15</v>
      </c>
      <c r="C48" s="31"/>
      <c r="D48" s="31"/>
      <c r="E48" s="31"/>
      <c r="F48" s="44" t="s">
        <v>34</v>
      </c>
      <c r="G48" s="44" t="s">
        <v>35</v>
      </c>
      <c r="H48" s="44" t="s">
        <v>36</v>
      </c>
      <c r="I48" s="44" t="s">
        <v>37</v>
      </c>
      <c r="J48" s="44">
        <v>-8</v>
      </c>
      <c r="K48" s="46" t="s">
        <v>2</v>
      </c>
    </row>
    <row r="49" spans="1:11" x14ac:dyDescent="0.25">
      <c r="A49" s="49"/>
      <c r="B49" s="45"/>
      <c r="C49" s="25"/>
      <c r="D49" s="25"/>
      <c r="E49" s="25"/>
      <c r="F49" s="45"/>
      <c r="G49" s="45"/>
      <c r="H49" s="45"/>
      <c r="I49" s="45"/>
      <c r="J49" s="45"/>
      <c r="K49" s="47"/>
    </row>
    <row r="50" spans="1:11" x14ac:dyDescent="0.25">
      <c r="A50" s="19" t="s">
        <v>41</v>
      </c>
      <c r="B50" s="20">
        <v>2</v>
      </c>
      <c r="C50" s="33"/>
      <c r="D50" s="33"/>
      <c r="E50" s="33"/>
      <c r="F50" s="26"/>
      <c r="G50" s="27">
        <f>123.83*B50</f>
        <v>247.66</v>
      </c>
      <c r="H50" s="26"/>
      <c r="I50" s="26"/>
      <c r="J50" s="26">
        <f>(0.9)*B50</f>
        <v>1.8</v>
      </c>
      <c r="K50" s="20">
        <f t="shared" ref="K50:K55" si="15">SUM(F50:J50)</f>
        <v>249.46</v>
      </c>
    </row>
    <row r="51" spans="1:11" x14ac:dyDescent="0.25">
      <c r="A51" s="19" t="s">
        <v>42</v>
      </c>
      <c r="B51" s="20">
        <v>2</v>
      </c>
      <c r="C51" s="33"/>
      <c r="D51" s="33"/>
      <c r="E51" s="33"/>
      <c r="F51" s="26"/>
      <c r="G51" s="27">
        <f>(96.78+1.84)*B51</f>
        <v>197.24</v>
      </c>
      <c r="H51" s="26"/>
      <c r="I51" s="26"/>
      <c r="J51" s="26">
        <f>(0.9)*B51</f>
        <v>1.8</v>
      </c>
      <c r="K51" s="20">
        <f t="shared" si="15"/>
        <v>199.04000000000002</v>
      </c>
    </row>
    <row r="52" spans="1:11" x14ac:dyDescent="0.25">
      <c r="A52" s="19" t="s">
        <v>43</v>
      </c>
      <c r="B52" s="20">
        <v>2</v>
      </c>
      <c r="C52" s="33"/>
      <c r="D52" s="33"/>
      <c r="E52" s="33"/>
      <c r="F52" s="26"/>
      <c r="G52" s="27">
        <f>(59.25+1.84)*B52</f>
        <v>122.18</v>
      </c>
      <c r="H52" s="26"/>
      <c r="I52" s="26"/>
      <c r="J52" s="26">
        <f>(0.9+0.75*2)*B52</f>
        <v>4.8</v>
      </c>
      <c r="K52" s="20">
        <f t="shared" si="15"/>
        <v>126.98</v>
      </c>
    </row>
    <row r="53" spans="1:11" x14ac:dyDescent="0.25">
      <c r="A53" s="19" t="s">
        <v>44</v>
      </c>
      <c r="B53" s="20">
        <v>1</v>
      </c>
      <c r="C53" s="33"/>
      <c r="D53" s="33"/>
      <c r="E53" s="33"/>
      <c r="F53" s="26"/>
      <c r="G53" s="26">
        <f>(1.84*4)*B53</f>
        <v>7.36</v>
      </c>
      <c r="H53" s="26"/>
      <c r="I53" s="26">
        <f>(2.43*2+1.94*2+1.21*2+2.55*4+2.19*2+1.46*2)*B53</f>
        <v>28.659999999999997</v>
      </c>
      <c r="J53" s="26"/>
      <c r="K53" s="20">
        <f t="shared" si="15"/>
        <v>36.019999999999996</v>
      </c>
    </row>
    <row r="54" spans="1:11" x14ac:dyDescent="0.25">
      <c r="A54" s="19">
        <v>3</v>
      </c>
      <c r="B54" s="20">
        <v>2</v>
      </c>
      <c r="C54" s="33"/>
      <c r="D54" s="33"/>
      <c r="E54" s="33"/>
      <c r="F54" s="26"/>
      <c r="G54" s="26"/>
      <c r="H54" s="26"/>
      <c r="I54" s="26">
        <f>7.28*B54</f>
        <v>14.56</v>
      </c>
      <c r="J54" s="26"/>
      <c r="K54" s="20">
        <f t="shared" si="15"/>
        <v>14.56</v>
      </c>
    </row>
    <row r="55" spans="1:11" x14ac:dyDescent="0.25">
      <c r="A55" s="19">
        <v>4</v>
      </c>
      <c r="B55" s="20">
        <v>1</v>
      </c>
      <c r="C55" s="33"/>
      <c r="D55" s="33"/>
      <c r="E55" s="33"/>
      <c r="F55" s="26"/>
      <c r="G55" s="26"/>
      <c r="H55" s="26">
        <f>76.32*B55</f>
        <v>76.319999999999993</v>
      </c>
      <c r="I55" s="26"/>
      <c r="J55" s="26"/>
      <c r="K55" s="20">
        <f t="shared" si="15"/>
        <v>76.319999999999993</v>
      </c>
    </row>
    <row r="56" spans="1:11" ht="15.75" thickBot="1" x14ac:dyDescent="0.3">
      <c r="A56" s="23"/>
      <c r="B56" s="24"/>
      <c r="C56" s="24"/>
      <c r="D56" s="24"/>
      <c r="E56" s="24"/>
      <c r="F56" s="28"/>
      <c r="G56" s="28"/>
      <c r="H56" s="28"/>
      <c r="I56" s="28"/>
      <c r="J56" s="28"/>
      <c r="K56" s="24"/>
    </row>
    <row r="57" spans="1:11" x14ac:dyDescent="0.25">
      <c r="A57" s="30" t="s">
        <v>9</v>
      </c>
      <c r="B57" s="31"/>
      <c r="C57" s="31"/>
      <c r="D57" s="31"/>
      <c r="E57" s="31"/>
      <c r="F57" s="32">
        <f>SUM(F50:F56)</f>
        <v>0</v>
      </c>
      <c r="G57" s="32">
        <f>SUM(G50:G56)</f>
        <v>574.43999999999994</v>
      </c>
      <c r="H57" s="32">
        <f>SUM(H50:H56)</f>
        <v>76.319999999999993</v>
      </c>
      <c r="I57" s="32">
        <f>SUM(I50:I56)</f>
        <v>43.22</v>
      </c>
      <c r="J57" s="32">
        <f>SUM(J50:J56)</f>
        <v>8.4</v>
      </c>
      <c r="K57" s="18">
        <f>SUM(F57:J57)</f>
        <v>702.38</v>
      </c>
    </row>
    <row r="58" spans="1:11" ht="15.75" thickBot="1" x14ac:dyDescent="0.3">
      <c r="A58" s="21"/>
      <c r="B58" s="22"/>
      <c r="C58" s="22"/>
      <c r="D58" s="22"/>
      <c r="E58" s="22"/>
      <c r="F58" s="29"/>
      <c r="G58" s="29"/>
      <c r="H58" s="29"/>
      <c r="I58" s="29"/>
      <c r="J58" s="29"/>
      <c r="K58" s="22"/>
    </row>
  </sheetData>
  <mergeCells count="25">
    <mergeCell ref="S2:S3"/>
    <mergeCell ref="A4:S4"/>
    <mergeCell ref="A14:S14"/>
    <mergeCell ref="F2:K2"/>
    <mergeCell ref="L2:Q2"/>
    <mergeCell ref="A2:A3"/>
    <mergeCell ref="B2:B3"/>
    <mergeCell ref="R2:R3"/>
    <mergeCell ref="C2:E2"/>
    <mergeCell ref="I36:I37"/>
    <mergeCell ref="J36:J37"/>
    <mergeCell ref="K36:K37"/>
    <mergeCell ref="A48:A49"/>
    <mergeCell ref="B48:B49"/>
    <mergeCell ref="F48:F49"/>
    <mergeCell ref="G48:G49"/>
    <mergeCell ref="H48:H49"/>
    <mergeCell ref="I48:I49"/>
    <mergeCell ref="J48:J49"/>
    <mergeCell ref="K48:K49"/>
    <mergeCell ref="B36:B37"/>
    <mergeCell ref="A36:A37"/>
    <mergeCell ref="F36:F37"/>
    <mergeCell ref="G36:G37"/>
    <mergeCell ref="H36:H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4" zoomScale="85" zoomScaleNormal="85" workbookViewId="0">
      <selection activeCell="E44" sqref="E44"/>
    </sheetView>
  </sheetViews>
  <sheetFormatPr defaultRowHeight="15" x14ac:dyDescent="0.25"/>
  <cols>
    <col min="1" max="1" width="9.140625" style="42"/>
    <col min="2" max="2" width="31.5703125" style="42" customWidth="1"/>
    <col min="3" max="10" width="9.140625" style="42"/>
    <col min="11" max="11" width="9.140625" style="1"/>
    <col min="12" max="19" width="9.140625" style="42"/>
    <col min="20" max="20" width="28.7109375" style="42" customWidth="1"/>
    <col min="21" max="21" width="19.5703125" style="42" customWidth="1"/>
    <col min="22" max="22" width="19.28515625" style="42" customWidth="1"/>
    <col min="23" max="27" width="9.140625" style="42"/>
  </cols>
  <sheetData>
    <row r="1" spans="1:26" x14ac:dyDescent="0.25">
      <c r="U1" s="69" t="s">
        <v>81</v>
      </c>
      <c r="V1" s="69"/>
      <c r="W1" s="69"/>
      <c r="X1" s="69"/>
      <c r="Y1" s="69"/>
      <c r="Z1" s="69"/>
    </row>
    <row r="2" spans="1:26" x14ac:dyDescent="0.25">
      <c r="B2" s="43"/>
      <c r="C2" s="43" t="s">
        <v>52</v>
      </c>
      <c r="D2" s="43" t="s">
        <v>53</v>
      </c>
      <c r="E2" s="43" t="s">
        <v>75</v>
      </c>
      <c r="F2" s="43"/>
      <c r="G2" s="43" t="s">
        <v>80</v>
      </c>
      <c r="H2" s="43" t="s">
        <v>83</v>
      </c>
      <c r="I2" s="43" t="s">
        <v>84</v>
      </c>
      <c r="J2" s="43" t="s">
        <v>85</v>
      </c>
      <c r="K2" s="72" t="s">
        <v>86</v>
      </c>
      <c r="L2" s="43" t="s">
        <v>87</v>
      </c>
      <c r="M2" s="43" t="s">
        <v>88</v>
      </c>
      <c r="N2" s="43" t="s">
        <v>89</v>
      </c>
      <c r="O2" s="43" t="s">
        <v>92</v>
      </c>
      <c r="P2" s="43" t="s">
        <v>93</v>
      </c>
      <c r="Q2" s="43" t="s">
        <v>94</v>
      </c>
      <c r="R2" s="43" t="s">
        <v>95</v>
      </c>
      <c r="S2" s="43" t="s">
        <v>96</v>
      </c>
      <c r="T2" s="43" t="s">
        <v>97</v>
      </c>
      <c r="U2" s="43" t="s">
        <v>82</v>
      </c>
      <c r="V2" s="43" t="s">
        <v>76</v>
      </c>
    </row>
    <row r="3" spans="1:26" ht="18.75" x14ac:dyDescent="0.3">
      <c r="B3" s="43" t="s">
        <v>51</v>
      </c>
      <c r="C3" s="43"/>
      <c r="G3" s="71">
        <f>SUM(G4:G10)</f>
        <v>414.28000000000003</v>
      </c>
      <c r="H3" s="71">
        <f t="shared" ref="H3:N3" si="0">SUM(H4:H10)</f>
        <v>0</v>
      </c>
      <c r="I3" s="71">
        <f t="shared" si="0"/>
        <v>72</v>
      </c>
      <c r="J3" s="71">
        <f t="shared" si="0"/>
        <v>1056.7</v>
      </c>
      <c r="K3" s="73">
        <f t="shared" si="0"/>
        <v>30</v>
      </c>
      <c r="L3" s="71">
        <f t="shared" si="0"/>
        <v>0</v>
      </c>
      <c r="M3" s="71">
        <f t="shared" si="0"/>
        <v>0</v>
      </c>
      <c r="N3" s="71">
        <f t="shared" si="0"/>
        <v>0</v>
      </c>
      <c r="O3" s="71">
        <f t="shared" ref="O3" si="1">SUM(O4:O10)</f>
        <v>106</v>
      </c>
      <c r="P3" s="71">
        <f t="shared" ref="P3" si="2">SUM(P4:P10)</f>
        <v>0</v>
      </c>
      <c r="Q3" s="71">
        <v>22</v>
      </c>
      <c r="R3" s="71">
        <f t="shared" ref="R3" si="3">SUM(R4:R10)</f>
        <v>0</v>
      </c>
      <c r="S3" s="71">
        <f t="shared" ref="S3" si="4">SUM(S4:S10)</f>
        <v>0</v>
      </c>
      <c r="T3" s="71">
        <f t="shared" ref="T3" si="5">SUM(T4:T10)</f>
        <v>4.3499400000000001</v>
      </c>
      <c r="V3" s="71">
        <f>SUM(V4:V19)</f>
        <v>345.03</v>
      </c>
    </row>
    <row r="4" spans="1:26" x14ac:dyDescent="0.25">
      <c r="A4" s="42" t="s">
        <v>61</v>
      </c>
      <c r="B4" s="42" t="s">
        <v>54</v>
      </c>
      <c r="C4" s="42">
        <v>6.35</v>
      </c>
      <c r="D4" s="1">
        <v>5</v>
      </c>
      <c r="E4" s="42">
        <f>C4*D4</f>
        <v>31.75</v>
      </c>
      <c r="G4" s="42">
        <f>E4*4</f>
        <v>127</v>
      </c>
      <c r="I4" s="42">
        <f>D4*4</f>
        <v>20</v>
      </c>
      <c r="J4" s="42">
        <f>E4*10+D4</f>
        <v>322.5</v>
      </c>
      <c r="K4" s="1">
        <f>MROUND(E4,5)</f>
        <v>30</v>
      </c>
      <c r="O4" s="42">
        <f>ROUNDUP(E4,0)</f>
        <v>32</v>
      </c>
      <c r="T4" s="42">
        <f>E4*0.14*0.3</f>
        <v>1.3335000000000001</v>
      </c>
      <c r="U4" s="42">
        <v>3</v>
      </c>
      <c r="V4" s="42">
        <f>E4*U4</f>
        <v>95.25</v>
      </c>
    </row>
    <row r="5" spans="1:26" x14ac:dyDescent="0.25">
      <c r="B5" s="42" t="s">
        <v>55</v>
      </c>
      <c r="C5" s="42">
        <v>4.63</v>
      </c>
      <c r="D5" s="42">
        <v>5</v>
      </c>
      <c r="E5" s="42">
        <f t="shared" ref="E5:E10" si="6">C5*D5</f>
        <v>23.15</v>
      </c>
      <c r="G5" s="42">
        <f t="shared" ref="G5:G10" si="7">E5*4</f>
        <v>92.6</v>
      </c>
      <c r="I5" s="42">
        <f t="shared" ref="I5:I8" si="8">D5*4</f>
        <v>20</v>
      </c>
      <c r="J5" s="42">
        <f t="shared" ref="J5:J10" si="9">E5*10+D5</f>
        <v>236.5</v>
      </c>
      <c r="O5" s="42">
        <f t="shared" ref="O5:O10" si="10">ROUNDUP(E5,0)</f>
        <v>24</v>
      </c>
      <c r="T5" s="42">
        <f t="shared" ref="T5:T10" si="11">E5*0.14*0.3</f>
        <v>0.97229999999999994</v>
      </c>
      <c r="U5" s="42">
        <v>3</v>
      </c>
      <c r="V5" s="42">
        <f>E5*U5</f>
        <v>69.449999999999989</v>
      </c>
    </row>
    <row r="6" spans="1:26" x14ac:dyDescent="0.25">
      <c r="B6" s="42" t="s">
        <v>56</v>
      </c>
      <c r="C6" s="42">
        <v>8.92</v>
      </c>
      <c r="D6" s="42">
        <v>1</v>
      </c>
      <c r="E6" s="42">
        <f t="shared" si="6"/>
        <v>8.92</v>
      </c>
      <c r="G6" s="42">
        <f t="shared" si="7"/>
        <v>35.68</v>
      </c>
      <c r="I6" s="42">
        <f t="shared" si="8"/>
        <v>4</v>
      </c>
      <c r="J6" s="42">
        <f t="shared" si="9"/>
        <v>90.2</v>
      </c>
      <c r="O6" s="42">
        <f t="shared" si="10"/>
        <v>9</v>
      </c>
      <c r="T6" s="42">
        <f t="shared" si="11"/>
        <v>0.37464000000000003</v>
      </c>
      <c r="U6" s="42">
        <v>3</v>
      </c>
      <c r="V6" s="42">
        <f>E6*U6</f>
        <v>26.759999999999998</v>
      </c>
    </row>
    <row r="7" spans="1:26" x14ac:dyDescent="0.25">
      <c r="B7" s="42" t="s">
        <v>57</v>
      </c>
      <c r="C7" s="42">
        <v>7.55</v>
      </c>
      <c r="D7" s="42">
        <v>2</v>
      </c>
      <c r="E7" s="42">
        <f t="shared" si="6"/>
        <v>15.1</v>
      </c>
      <c r="G7" s="42">
        <f t="shared" si="7"/>
        <v>60.4</v>
      </c>
      <c r="I7" s="42">
        <f t="shared" si="8"/>
        <v>8</v>
      </c>
      <c r="J7" s="42">
        <f t="shared" si="9"/>
        <v>153</v>
      </c>
      <c r="O7" s="42">
        <f t="shared" si="10"/>
        <v>16</v>
      </c>
      <c r="T7" s="42">
        <f t="shared" si="11"/>
        <v>0.6342000000000001</v>
      </c>
      <c r="U7" s="42">
        <v>3</v>
      </c>
      <c r="V7" s="42">
        <f>E7*U7</f>
        <v>45.3</v>
      </c>
    </row>
    <row r="8" spans="1:26" x14ac:dyDescent="0.25">
      <c r="B8" s="42" t="s">
        <v>58</v>
      </c>
      <c r="C8" s="42">
        <v>2.15</v>
      </c>
      <c r="D8" s="42">
        <v>5</v>
      </c>
      <c r="E8" s="42">
        <f t="shared" si="6"/>
        <v>10.75</v>
      </c>
      <c r="G8" s="42">
        <f t="shared" si="7"/>
        <v>43</v>
      </c>
      <c r="I8" s="42">
        <f t="shared" si="8"/>
        <v>20</v>
      </c>
      <c r="J8" s="42">
        <f t="shared" si="9"/>
        <v>112.5</v>
      </c>
      <c r="O8" s="42">
        <f t="shared" si="10"/>
        <v>11</v>
      </c>
      <c r="T8" s="42">
        <f t="shared" si="11"/>
        <v>0.45150000000000001</v>
      </c>
      <c r="U8" s="42">
        <v>3</v>
      </c>
      <c r="V8" s="42">
        <f>E8*U8</f>
        <v>32.25</v>
      </c>
    </row>
    <row r="9" spans="1:26" x14ac:dyDescent="0.25">
      <c r="A9" s="42" t="s">
        <v>62</v>
      </c>
      <c r="B9" s="42" t="s">
        <v>63</v>
      </c>
      <c r="C9" s="42">
        <v>2.95</v>
      </c>
      <c r="D9" s="42">
        <v>2</v>
      </c>
      <c r="E9" s="42">
        <f t="shared" si="6"/>
        <v>5.9</v>
      </c>
      <c r="G9" s="42">
        <f t="shared" si="7"/>
        <v>23.6</v>
      </c>
      <c r="I9" s="42">
        <v>0</v>
      </c>
      <c r="J9" s="42">
        <f t="shared" si="9"/>
        <v>61</v>
      </c>
      <c r="O9" s="42">
        <f t="shared" si="10"/>
        <v>6</v>
      </c>
      <c r="T9" s="42">
        <f t="shared" si="11"/>
        <v>0.24780000000000005</v>
      </c>
      <c r="U9" s="42">
        <v>3</v>
      </c>
      <c r="V9" s="42">
        <f>E9*U9</f>
        <v>17.700000000000003</v>
      </c>
    </row>
    <row r="10" spans="1:26" x14ac:dyDescent="0.25">
      <c r="B10" s="42" t="s">
        <v>64</v>
      </c>
      <c r="C10" s="42">
        <v>8</v>
      </c>
      <c r="D10" s="42">
        <v>1</v>
      </c>
      <c r="E10" s="42">
        <f t="shared" si="6"/>
        <v>8</v>
      </c>
      <c r="G10" s="42">
        <f t="shared" si="7"/>
        <v>32</v>
      </c>
      <c r="I10" s="42">
        <v>0</v>
      </c>
      <c r="J10" s="42">
        <f t="shared" si="9"/>
        <v>81</v>
      </c>
      <c r="O10" s="42">
        <f t="shared" si="10"/>
        <v>8</v>
      </c>
      <c r="T10" s="42">
        <f t="shared" si="11"/>
        <v>0.33600000000000002</v>
      </c>
      <c r="U10" s="42">
        <v>3</v>
      </c>
      <c r="V10" s="42">
        <f>E10*U10</f>
        <v>24</v>
      </c>
    </row>
    <row r="12" spans="1:26" ht="18.75" x14ac:dyDescent="0.3">
      <c r="B12" s="43" t="s">
        <v>59</v>
      </c>
      <c r="G12" s="71">
        <f>SUM(G13)</f>
        <v>62.4</v>
      </c>
      <c r="H12" s="71">
        <f t="shared" ref="H12:N12" si="12">SUM(H13)</f>
        <v>0</v>
      </c>
      <c r="I12" s="71">
        <f t="shared" si="12"/>
        <v>0</v>
      </c>
      <c r="J12" s="71">
        <f t="shared" si="12"/>
        <v>160</v>
      </c>
      <c r="K12" s="73">
        <f t="shared" si="12"/>
        <v>0</v>
      </c>
      <c r="L12" s="71">
        <f t="shared" si="12"/>
        <v>160</v>
      </c>
      <c r="M12" s="71">
        <f t="shared" si="12"/>
        <v>0</v>
      </c>
      <c r="N12" s="71">
        <f t="shared" si="12"/>
        <v>0</v>
      </c>
      <c r="O12" s="71">
        <f t="shared" ref="O12" si="13">SUM(O13)</f>
        <v>0</v>
      </c>
      <c r="P12" s="71">
        <f t="shared" ref="P12" si="14">SUM(P13)</f>
        <v>0</v>
      </c>
      <c r="Q12" s="71">
        <f t="shared" ref="Q12" si="15">SUM(Q13)</f>
        <v>0</v>
      </c>
      <c r="R12" s="71">
        <f t="shared" ref="R12" si="16">SUM(R13)</f>
        <v>16</v>
      </c>
      <c r="S12" s="71">
        <f t="shared" ref="S12" si="17">SUM(S13)</f>
        <v>0</v>
      </c>
    </row>
    <row r="13" spans="1:26" x14ac:dyDescent="0.25">
      <c r="B13" s="42" t="s">
        <v>60</v>
      </c>
      <c r="C13" s="42">
        <v>3.9</v>
      </c>
      <c r="D13" s="42">
        <v>4</v>
      </c>
      <c r="E13" s="42">
        <f t="shared" ref="E13" si="18">C13*D13</f>
        <v>15.6</v>
      </c>
      <c r="G13" s="42">
        <f t="shared" ref="G13" si="19">E13*4</f>
        <v>62.4</v>
      </c>
      <c r="J13" s="42">
        <f t="shared" ref="J13" si="20">E13*10+D13</f>
        <v>160</v>
      </c>
      <c r="L13" s="42">
        <f>E13*10+D13</f>
        <v>160</v>
      </c>
      <c r="R13" s="42">
        <f>ROUNDUP(E13,0)</f>
        <v>16</v>
      </c>
      <c r="T13" s="42">
        <f t="shared" ref="T13" si="21">E13*0.14*0.3</f>
        <v>0.6552</v>
      </c>
      <c r="U13" s="42">
        <v>2.2000000000000002</v>
      </c>
      <c r="V13" s="42">
        <f>E13*U13</f>
        <v>34.32</v>
      </c>
    </row>
    <row r="15" spans="1:26" ht="18.75" x14ac:dyDescent="0.3">
      <c r="B15" s="43" t="s">
        <v>68</v>
      </c>
      <c r="G15" s="71">
        <f>SUM(G16:G18)</f>
        <v>728.4</v>
      </c>
      <c r="H15" s="71">
        <f t="shared" ref="H15:N15" si="22">SUM(H16:H18)</f>
        <v>375</v>
      </c>
      <c r="I15" s="71">
        <f t="shared" si="22"/>
        <v>0</v>
      </c>
      <c r="J15" s="71">
        <f t="shared" si="22"/>
        <v>0</v>
      </c>
      <c r="K15" s="73">
        <f t="shared" si="22"/>
        <v>0</v>
      </c>
      <c r="L15" s="71">
        <f t="shared" si="22"/>
        <v>0</v>
      </c>
      <c r="M15" s="71">
        <f t="shared" si="22"/>
        <v>55</v>
      </c>
      <c r="N15" s="71">
        <f t="shared" si="22"/>
        <v>30</v>
      </c>
      <c r="O15" s="71">
        <f t="shared" ref="O15" si="23">SUM(O16:O18)</f>
        <v>0</v>
      </c>
      <c r="P15" s="71">
        <f t="shared" ref="P15" si="24">SUM(P16:P18)</f>
        <v>0</v>
      </c>
      <c r="Q15" s="71">
        <f t="shared" ref="Q15" si="25">SUM(Q16:Q18)</f>
        <v>0</v>
      </c>
      <c r="R15" s="71">
        <f t="shared" ref="R15" si="26">SUM(R16:R18)</f>
        <v>0</v>
      </c>
      <c r="S15" s="71">
        <f t="shared" ref="S15" si="27">SUM(S16:S18)</f>
        <v>0</v>
      </c>
      <c r="T15" s="71">
        <f t="shared" ref="T15" si="28">SUM(T16:T18)</f>
        <v>11.196</v>
      </c>
    </row>
    <row r="16" spans="1:26" x14ac:dyDescent="0.25">
      <c r="B16" s="42" t="s">
        <v>65</v>
      </c>
      <c r="C16" s="42">
        <v>149</v>
      </c>
      <c r="E16" s="42">
        <f>C16</f>
        <v>149</v>
      </c>
      <c r="G16" s="42">
        <f t="shared" ref="G16:G18" si="29">E16*4</f>
        <v>596</v>
      </c>
      <c r="H16" s="42">
        <f>MROUND(E16*2.5, 5)</f>
        <v>375</v>
      </c>
      <c r="T16" s="42">
        <f>E16*0.4*0.15</f>
        <v>8.94</v>
      </c>
    </row>
    <row r="17" spans="2:20" x14ac:dyDescent="0.25">
      <c r="B17" s="42" t="s">
        <v>66</v>
      </c>
      <c r="C17" s="42">
        <v>11.2</v>
      </c>
      <c r="E17" s="42">
        <f t="shared" ref="E17:E18" si="30">C17</f>
        <v>11.2</v>
      </c>
      <c r="G17" s="42">
        <f t="shared" si="29"/>
        <v>44.8</v>
      </c>
      <c r="N17" s="42">
        <f>MROUND(E17*2.5,5)</f>
        <v>30</v>
      </c>
      <c r="T17" s="42">
        <f>E17*0.3*0.15</f>
        <v>0.504</v>
      </c>
    </row>
    <row r="18" spans="2:20" x14ac:dyDescent="0.25">
      <c r="B18" s="42" t="s">
        <v>67</v>
      </c>
      <c r="C18" s="42">
        <v>21.9</v>
      </c>
      <c r="E18" s="42">
        <f t="shared" si="30"/>
        <v>21.9</v>
      </c>
      <c r="G18" s="42">
        <f t="shared" si="29"/>
        <v>87.6</v>
      </c>
      <c r="M18" s="42">
        <f>MROUND(E18*2.5,5)</f>
        <v>55</v>
      </c>
      <c r="T18" s="42">
        <f>E18*0.4*0.2</f>
        <v>1.752</v>
      </c>
    </row>
    <row r="20" spans="2:20" x14ac:dyDescent="0.25">
      <c r="B20" s="43" t="s">
        <v>69</v>
      </c>
    </row>
    <row r="21" spans="2:20" ht="15.75" x14ac:dyDescent="0.25">
      <c r="B21" s="42" t="s">
        <v>70</v>
      </c>
      <c r="D21" s="70">
        <v>80</v>
      </c>
    </row>
    <row r="22" spans="2:20" ht="15.75" x14ac:dyDescent="0.25">
      <c r="B22" s="42" t="s">
        <v>71</v>
      </c>
      <c r="D22" s="70">
        <v>145</v>
      </c>
    </row>
    <row r="23" spans="2:20" ht="15.75" x14ac:dyDescent="0.25">
      <c r="B23" s="42" t="s">
        <v>72</v>
      </c>
      <c r="D23" s="70">
        <v>255</v>
      </c>
    </row>
    <row r="24" spans="2:20" ht="15.75" x14ac:dyDescent="0.25">
      <c r="B24" s="42" t="s">
        <v>73</v>
      </c>
      <c r="D24" s="70">
        <v>120</v>
      </c>
    </row>
    <row r="25" spans="2:20" ht="15.75" x14ac:dyDescent="0.25">
      <c r="B25" s="42" t="s">
        <v>74</v>
      </c>
      <c r="D25" s="70">
        <v>160</v>
      </c>
    </row>
    <row r="27" spans="2:20" x14ac:dyDescent="0.25">
      <c r="B27" s="43" t="s">
        <v>91</v>
      </c>
    </row>
    <row r="28" spans="2:20" x14ac:dyDescent="0.25">
      <c r="B28" s="43" t="s">
        <v>92</v>
      </c>
    </row>
    <row r="29" spans="2:20" x14ac:dyDescent="0.25">
      <c r="B29" s="43" t="s">
        <v>93</v>
      </c>
    </row>
    <row r="30" spans="2:20" x14ac:dyDescent="0.25">
      <c r="B30" s="43" t="s">
        <v>94</v>
      </c>
    </row>
    <row r="31" spans="2:20" x14ac:dyDescent="0.25">
      <c r="B31" s="43" t="s">
        <v>95</v>
      </c>
    </row>
    <row r="32" spans="2:20" x14ac:dyDescent="0.25">
      <c r="B32" s="43" t="s">
        <v>96</v>
      </c>
    </row>
    <row r="34" spans="2:22" ht="18.75" x14ac:dyDescent="0.3">
      <c r="B34" s="42" t="s">
        <v>77</v>
      </c>
      <c r="D34" s="42">
        <v>168</v>
      </c>
      <c r="V34" s="71">
        <v>700</v>
      </c>
    </row>
    <row r="35" spans="2:22" ht="18.75" x14ac:dyDescent="0.3">
      <c r="B35" s="42" t="s">
        <v>78</v>
      </c>
      <c r="D35" s="42">
        <v>320</v>
      </c>
      <c r="V35" s="71">
        <f>D35*1.5</f>
        <v>480</v>
      </c>
    </row>
    <row r="37" spans="2:22" ht="18.75" x14ac:dyDescent="0.3">
      <c r="E37" s="71">
        <f>SUM(E38:E41)</f>
        <v>320.83999999999997</v>
      </c>
    </row>
    <row r="38" spans="2:22" x14ac:dyDescent="0.25">
      <c r="B38" s="42" t="s">
        <v>98</v>
      </c>
      <c r="C38" s="42">
        <v>10.6</v>
      </c>
      <c r="D38" s="42">
        <v>18</v>
      </c>
      <c r="E38" s="42">
        <f>C38*D38</f>
        <v>190.79999999999998</v>
      </c>
    </row>
    <row r="39" spans="2:22" x14ac:dyDescent="0.25">
      <c r="C39" s="42">
        <v>7.5</v>
      </c>
      <c r="D39" s="42">
        <v>10</v>
      </c>
      <c r="E39" s="42">
        <f t="shared" ref="E39:E41" si="31">C39*D39</f>
        <v>75</v>
      </c>
    </row>
    <row r="40" spans="2:22" x14ac:dyDescent="0.25">
      <c r="C40" s="42">
        <v>5.76</v>
      </c>
      <c r="D40" s="42">
        <v>4</v>
      </c>
      <c r="E40" s="42">
        <f t="shared" si="31"/>
        <v>23.04</v>
      </c>
    </row>
    <row r="41" spans="2:22" x14ac:dyDescent="0.25">
      <c r="C41" s="42">
        <v>8</v>
      </c>
      <c r="D41" s="42">
        <v>4</v>
      </c>
      <c r="E41" s="42">
        <f t="shared" si="31"/>
        <v>32</v>
      </c>
    </row>
    <row r="43" spans="2:22" x14ac:dyDescent="0.25">
      <c r="B43" s="42" t="s">
        <v>79</v>
      </c>
      <c r="E43" s="42">
        <v>570</v>
      </c>
    </row>
    <row r="44" spans="2:22" x14ac:dyDescent="0.25">
      <c r="B44" s="42">
        <v>400</v>
      </c>
      <c r="E44" s="43">
        <v>495</v>
      </c>
      <c r="F44" s="43"/>
    </row>
    <row r="45" spans="2:22" x14ac:dyDescent="0.25">
      <c r="B45" s="42">
        <v>300</v>
      </c>
      <c r="E45" s="43">
        <v>36</v>
      </c>
      <c r="F45" s="43"/>
    </row>
    <row r="46" spans="2:22" x14ac:dyDescent="0.25">
      <c r="B46" s="42">
        <v>200</v>
      </c>
      <c r="E46" s="43">
        <v>40</v>
      </c>
      <c r="F46" s="43"/>
    </row>
    <row r="49" spans="2:22" ht="26.25" x14ac:dyDescent="0.4">
      <c r="B49" s="74" t="s">
        <v>90</v>
      </c>
      <c r="G49" s="71">
        <f>SUM(G3,G12,G15)</f>
        <v>1205.08</v>
      </c>
      <c r="H49" s="71">
        <f t="shared" ref="H49:V49" si="32">SUM(H3,H12,H15)</f>
        <v>375</v>
      </c>
      <c r="I49" s="71">
        <f t="shared" si="32"/>
        <v>72</v>
      </c>
      <c r="J49" s="71">
        <f t="shared" si="32"/>
        <v>1216.7</v>
      </c>
      <c r="K49" s="71">
        <f t="shared" si="32"/>
        <v>30</v>
      </c>
      <c r="L49" s="71">
        <f t="shared" si="32"/>
        <v>160</v>
      </c>
      <c r="M49" s="71">
        <f t="shared" si="32"/>
        <v>55</v>
      </c>
      <c r="N49" s="71">
        <f t="shared" si="32"/>
        <v>30</v>
      </c>
      <c r="O49" s="71"/>
      <c r="P49" s="71"/>
      <c r="Q49" s="71"/>
      <c r="R49" s="71"/>
      <c r="S49" s="71"/>
      <c r="T49" s="71">
        <f t="shared" si="32"/>
        <v>15.54594</v>
      </c>
      <c r="U49" s="71">
        <f t="shared" si="32"/>
        <v>0</v>
      </c>
      <c r="V49" s="71">
        <f t="shared" si="32"/>
        <v>345.03</v>
      </c>
    </row>
  </sheetData>
  <mergeCells count="1">
    <mergeCell ref="U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Дашин Андрей</dc:creator>
  <cp:lastModifiedBy>Дашин Андрей</cp:lastModifiedBy>
  <dcterms:created xsi:type="dcterms:W3CDTF">2017-06-02T13:54:59Z</dcterms:created>
  <dcterms:modified xsi:type="dcterms:W3CDTF">2017-08-23T19:47:24Z</dcterms:modified>
</cp:coreProperties>
</file>