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cuments\Kingisepp\"/>
    </mc:Choice>
  </mc:AlternateContent>
  <bookViews>
    <workbookView xWindow="27975" yWindow="30" windowWidth="19305" windowHeight="12330"/>
  </bookViews>
  <sheets>
    <sheet name="КАРКАС " sheetId="2" r:id="rId1"/>
  </sheets>
  <calcPr calcId="152511"/>
</workbook>
</file>

<file path=xl/calcChain.xml><?xml version="1.0" encoding="utf-8"?>
<calcChain xmlns="http://schemas.openxmlformats.org/spreadsheetml/2006/main">
  <c r="G144" i="2" l="1"/>
  <c r="H144" i="2" s="1"/>
  <c r="G145" i="2"/>
  <c r="H145" i="2" s="1"/>
  <c r="G148" i="2"/>
  <c r="H148" i="2" s="1"/>
  <c r="G149" i="2"/>
  <c r="H149" i="2" s="1"/>
  <c r="F142" i="2"/>
  <c r="G142" i="2" s="1"/>
  <c r="H142" i="2" s="1"/>
  <c r="F143" i="2"/>
  <c r="G143" i="2" s="1"/>
  <c r="H143" i="2" s="1"/>
  <c r="F144" i="2"/>
  <c r="F145" i="2"/>
  <c r="F146" i="2"/>
  <c r="G146" i="2" s="1"/>
  <c r="H146" i="2" s="1"/>
  <c r="F147" i="2"/>
  <c r="G147" i="2" s="1"/>
  <c r="H147" i="2" s="1"/>
  <c r="F148" i="2"/>
  <c r="F149" i="2"/>
  <c r="F150" i="2"/>
  <c r="G150" i="2" s="1"/>
  <c r="H150" i="2" s="1"/>
  <c r="F141" i="2"/>
  <c r="G141" i="2" s="1"/>
  <c r="H129" i="2"/>
  <c r="H130" i="2"/>
  <c r="H131" i="2"/>
  <c r="H132" i="2"/>
  <c r="H124" i="2"/>
  <c r="H125" i="2"/>
  <c r="H126" i="2"/>
  <c r="H127" i="2"/>
  <c r="H128" i="2"/>
  <c r="H123" i="2"/>
  <c r="H119" i="2"/>
  <c r="H120" i="2"/>
  <c r="H121" i="2"/>
  <c r="H122" i="2"/>
  <c r="H118" i="2"/>
  <c r="H114" i="2"/>
  <c r="H115" i="2"/>
  <c r="H116" i="2"/>
  <c r="H117" i="2"/>
  <c r="H113" i="2"/>
  <c r="H109" i="2"/>
  <c r="H110" i="2"/>
  <c r="H111" i="2"/>
  <c r="H112" i="2"/>
  <c r="H108" i="2"/>
  <c r="H104" i="2"/>
  <c r="H105" i="2"/>
  <c r="H106" i="2"/>
  <c r="H107" i="2"/>
  <c r="H103" i="2"/>
  <c r="H99" i="2"/>
  <c r="H100" i="2"/>
  <c r="H101" i="2"/>
  <c r="H102" i="2"/>
  <c r="H98" i="2"/>
  <c r="H96" i="2"/>
  <c r="H97" i="2"/>
  <c r="H93" i="2"/>
  <c r="H94" i="2"/>
  <c r="H95" i="2"/>
  <c r="H90" i="2"/>
  <c r="H91" i="2"/>
  <c r="H92" i="2"/>
  <c r="H88" i="2"/>
  <c r="H89" i="2"/>
  <c r="H84" i="2"/>
  <c r="H85" i="2"/>
  <c r="H86" i="2"/>
  <c r="H87" i="2"/>
  <c r="H83" i="2"/>
  <c r="H79" i="2"/>
  <c r="H80" i="2"/>
  <c r="H81" i="2"/>
  <c r="H82" i="2"/>
  <c r="E75" i="2"/>
  <c r="E76" i="2" s="1"/>
  <c r="F76" i="2"/>
  <c r="P78" i="2"/>
  <c r="G78" i="2" s="1"/>
  <c r="P77" i="2"/>
  <c r="G77" i="2" s="1"/>
  <c r="F77" i="2"/>
  <c r="P76" i="2"/>
  <c r="G76" i="2" s="1"/>
  <c r="P75" i="2"/>
  <c r="G75" i="2" s="1"/>
  <c r="H71" i="2"/>
  <c r="E71" i="2"/>
  <c r="P67" i="2"/>
  <c r="G67" i="2" s="1"/>
  <c r="H67" i="2" s="1"/>
  <c r="P66" i="2"/>
  <c r="G66" i="2" s="1"/>
  <c r="H66" i="2" s="1"/>
  <c r="F44" i="2"/>
  <c r="H44" i="2" s="1"/>
  <c r="E44" i="2"/>
  <c r="H64" i="2"/>
  <c r="F65" i="2"/>
  <c r="H65" i="2" s="1"/>
  <c r="E65" i="2"/>
  <c r="H59" i="2"/>
  <c r="H60" i="2"/>
  <c r="F63" i="2"/>
  <c r="H63" i="2" s="1"/>
  <c r="E63" i="2"/>
  <c r="F62" i="2"/>
  <c r="H62" i="2" s="1"/>
  <c r="E62" i="2"/>
  <c r="E61" i="2"/>
  <c r="F61" i="2"/>
  <c r="H61" i="2" s="1"/>
  <c r="F58" i="2"/>
  <c r="H58" i="2" s="1"/>
  <c r="E58" i="2"/>
  <c r="F57" i="2"/>
  <c r="H57" i="2" s="1"/>
  <c r="E57" i="2"/>
  <c r="F56" i="2"/>
  <c r="H56" i="2" s="1"/>
  <c r="E56" i="2"/>
  <c r="H55" i="2"/>
  <c r="P54" i="2"/>
  <c r="G54" i="2" s="1"/>
  <c r="F53" i="2"/>
  <c r="H53" i="2" s="1"/>
  <c r="E53" i="2"/>
  <c r="P52" i="2"/>
  <c r="G52" i="2" s="1"/>
  <c r="F51" i="2"/>
  <c r="H51" i="2" s="1"/>
  <c r="E51" i="2"/>
  <c r="F49" i="2"/>
  <c r="H49" i="2" s="1"/>
  <c r="E49" i="2"/>
  <c r="P48" i="2"/>
  <c r="G48" i="2" s="1"/>
  <c r="P50" i="2"/>
  <c r="G50" i="2" s="1"/>
  <c r="F47" i="2"/>
  <c r="H47" i="2" s="1"/>
  <c r="E47" i="2"/>
  <c r="F46" i="2"/>
  <c r="H46" i="2" s="1"/>
  <c r="E46" i="2"/>
  <c r="F45" i="2"/>
  <c r="H45" i="2" s="1"/>
  <c r="E45" i="2"/>
  <c r="P43" i="2"/>
  <c r="G43" i="2" s="1"/>
  <c r="P41" i="2"/>
  <c r="P42" i="2"/>
  <c r="F42" i="2"/>
  <c r="F43" i="2" s="1"/>
  <c r="E42" i="2"/>
  <c r="F41" i="2"/>
  <c r="H41" i="2" s="1"/>
  <c r="E41" i="2"/>
  <c r="E40" i="2"/>
  <c r="E39" i="2"/>
  <c r="E38" i="2"/>
  <c r="E36" i="2"/>
  <c r="E35" i="2"/>
  <c r="E34" i="2"/>
  <c r="F33" i="2"/>
  <c r="F29" i="2"/>
  <c r="F30" i="2" s="1"/>
  <c r="E29" i="2"/>
  <c r="E32" i="2" s="1"/>
  <c r="P26" i="2"/>
  <c r="G26" i="2" s="1"/>
  <c r="P27" i="2"/>
  <c r="G27" i="2" s="1"/>
  <c r="P28" i="2"/>
  <c r="G28" i="2" s="1"/>
  <c r="P29" i="2"/>
  <c r="G29" i="2" s="1"/>
  <c r="P30" i="2"/>
  <c r="G30" i="2" s="1"/>
  <c r="P31" i="2"/>
  <c r="G31" i="2" s="1"/>
  <c r="P32" i="2"/>
  <c r="G32" i="2" s="1"/>
  <c r="P33" i="2"/>
  <c r="G33" i="2" s="1"/>
  <c r="P34" i="2"/>
  <c r="G34" i="2" s="1"/>
  <c r="P35" i="2"/>
  <c r="G35" i="2" s="1"/>
  <c r="P36" i="2"/>
  <c r="G36" i="2" s="1"/>
  <c r="P37" i="2"/>
  <c r="G37" i="2" s="1"/>
  <c r="P38" i="2"/>
  <c r="G38" i="2" s="1"/>
  <c r="P39" i="2"/>
  <c r="G39" i="2" s="1"/>
  <c r="P40" i="2"/>
  <c r="G40" i="2" s="1"/>
  <c r="P25" i="2"/>
  <c r="G25" i="2" s="1"/>
  <c r="F25" i="2"/>
  <c r="F27" i="2" s="1"/>
  <c r="E25" i="2"/>
  <c r="E27" i="2" s="1"/>
  <c r="F24" i="2"/>
  <c r="H24" i="2" s="1"/>
  <c r="E24" i="2"/>
  <c r="F23" i="2"/>
  <c r="H23" i="2" s="1"/>
  <c r="E23" i="2"/>
  <c r="F22" i="2"/>
  <c r="H22" i="2" s="1"/>
  <c r="E22" i="2"/>
  <c r="F21" i="2"/>
  <c r="H21" i="2" s="1"/>
  <c r="E21" i="2"/>
  <c r="F20" i="2"/>
  <c r="H20" i="2" s="1"/>
  <c r="E20" i="2"/>
  <c r="F19" i="2"/>
  <c r="H19" i="2" s="1"/>
  <c r="E19" i="2"/>
  <c r="F13" i="2"/>
  <c r="H13" i="2" s="1"/>
  <c r="H10" i="2"/>
  <c r="F11" i="2"/>
  <c r="H11" i="2" s="1"/>
  <c r="H12" i="2"/>
  <c r="F9" i="2"/>
  <c r="H9" i="2" s="1"/>
  <c r="H8" i="2"/>
  <c r="F7" i="2"/>
  <c r="H7" i="2" s="1"/>
  <c r="E7" i="2"/>
  <c r="H14" i="2"/>
  <c r="G151" i="2" l="1"/>
  <c r="H141" i="2"/>
  <c r="H151" i="2" s="1"/>
  <c r="E2" i="2" s="1"/>
  <c r="H25" i="2"/>
  <c r="F26" i="2"/>
  <c r="F28" i="2" s="1"/>
  <c r="H28" i="2" s="1"/>
  <c r="H75" i="2"/>
  <c r="H76" i="2"/>
  <c r="E30" i="2"/>
  <c r="F78" i="2"/>
  <c r="E78" i="2"/>
  <c r="E77" i="2"/>
  <c r="H77" i="2" s="1"/>
  <c r="F52" i="2"/>
  <c r="E52" i="2" s="1"/>
  <c r="H52" i="2" s="1"/>
  <c r="H33" i="2"/>
  <c r="E43" i="2"/>
  <c r="H43" i="2" s="1"/>
  <c r="F48" i="2"/>
  <c r="E48" i="2" s="1"/>
  <c r="H48" i="2" s="1"/>
  <c r="F54" i="2"/>
  <c r="E54" i="2" s="1"/>
  <c r="H54" i="2" s="1"/>
  <c r="F31" i="2"/>
  <c r="H31" i="2" s="1"/>
  <c r="H30" i="2"/>
  <c r="F32" i="2"/>
  <c r="H32" i="2" s="1"/>
  <c r="F35" i="2"/>
  <c r="H35" i="2" s="1"/>
  <c r="E26" i="2"/>
  <c r="E31" i="2"/>
  <c r="F36" i="2"/>
  <c r="H42" i="2"/>
  <c r="H137" i="2" s="1"/>
  <c r="J137" i="2" s="1"/>
  <c r="F34" i="2"/>
  <c r="H34" i="2" s="1"/>
  <c r="H29" i="2"/>
  <c r="E28" i="2"/>
  <c r="F50" i="2"/>
  <c r="E50" i="2" s="1"/>
  <c r="H50" i="2" s="1"/>
  <c r="H27" i="2"/>
  <c r="H78" i="2" l="1"/>
  <c r="H26" i="2"/>
  <c r="F37" i="2"/>
  <c r="H36" i="2"/>
  <c r="F39" i="2" l="1"/>
  <c r="H39" i="2" s="1"/>
  <c r="H37" i="2"/>
  <c r="F40" i="2"/>
  <c r="H40" i="2" s="1"/>
  <c r="H136" i="2" s="1"/>
  <c r="J136" i="2" s="1"/>
  <c r="F38" i="2"/>
  <c r="H38" i="2" s="1"/>
  <c r="H134" i="2" s="1"/>
  <c r="J134" i="2" s="1"/>
  <c r="E1" i="2" s="1"/>
  <c r="H135" i="2" l="1"/>
  <c r="J135" i="2" s="1"/>
</calcChain>
</file>

<file path=xl/comments1.xml><?xml version="1.0" encoding="utf-8"?>
<comments xmlns="http://schemas.openxmlformats.org/spreadsheetml/2006/main">
  <authors>
    <author>Дашин Андрей</author>
  </authors>
  <commentList>
    <comment ref="B7" authorId="0" shapeId="0">
      <text>
        <r>
          <rPr>
            <b/>
            <sz val="9"/>
            <color indexed="81"/>
            <rFont val="Tahoma"/>
            <family val="2"/>
            <charset val="204"/>
          </rPr>
          <t>h=15,1 -11шт; 11,9-13шт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  <charset val="204"/>
          </rPr>
          <t>h=15,1 -48шт; 11,9-36шт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  <charset val="204"/>
          </rPr>
          <t>h=5,45 -53шт; 10,55-2шт; 4,53-1шт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  <charset val="204"/>
          </rPr>
          <t>h=4,53 -16шт; 6,2-13шт; 4,84-16шт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  <charset val="204"/>
          </rPr>
          <t>h=0,69 -6шт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<sst xmlns="http://schemas.openxmlformats.org/spreadsheetml/2006/main" count="348" uniqueCount="155">
  <si>
    <t>Б1</t>
  </si>
  <si>
    <t>Б2</t>
  </si>
  <si>
    <t>Б3</t>
  </si>
  <si>
    <t>Б4</t>
  </si>
  <si>
    <t>Б5</t>
  </si>
  <si>
    <t>К2</t>
  </si>
  <si>
    <t>К3</t>
  </si>
  <si>
    <t>K1</t>
  </si>
  <si>
    <t>Колонны</t>
  </si>
  <si>
    <t>Сталь</t>
  </si>
  <si>
    <t>S355</t>
  </si>
  <si>
    <t>Стойки</t>
  </si>
  <si>
    <t>СК1</t>
  </si>
  <si>
    <t>S235</t>
  </si>
  <si>
    <t>СК2</t>
  </si>
  <si>
    <t>Балки</t>
  </si>
  <si>
    <t>тр 300х12</t>
  </si>
  <si>
    <t>тр 300х8</t>
  </si>
  <si>
    <t>тр 300х6</t>
  </si>
  <si>
    <t>тр 140х5</t>
  </si>
  <si>
    <t>тр 80х5</t>
  </si>
  <si>
    <t>Двутавр IPE400</t>
  </si>
  <si>
    <t>Всего по профилю, кг</t>
  </si>
  <si>
    <t>Сечение,мм</t>
  </si>
  <si>
    <t>Балки, горизонтальные связи и распорки</t>
  </si>
  <si>
    <t>Б6</t>
  </si>
  <si>
    <t>Марка элемента</t>
  </si>
  <si>
    <t>Двутавр IPE500</t>
  </si>
  <si>
    <t>Двутавр IPE330</t>
  </si>
  <si>
    <t>Двутавр HEA300</t>
  </si>
  <si>
    <t>Двутавр HEA360</t>
  </si>
  <si>
    <t>Б7</t>
  </si>
  <si>
    <t>Б8</t>
  </si>
  <si>
    <t>Б8.1</t>
  </si>
  <si>
    <t>Б8.2</t>
  </si>
  <si>
    <t>Б9</t>
  </si>
  <si>
    <t>Б10</t>
  </si>
  <si>
    <t>Б12</t>
  </si>
  <si>
    <t>-35х290</t>
  </si>
  <si>
    <t>-20х290</t>
  </si>
  <si>
    <t>-12х550</t>
  </si>
  <si>
    <t>-20х560</t>
  </si>
  <si>
    <t>-35х288</t>
  </si>
  <si>
    <t>-20х440</t>
  </si>
  <si>
    <t>Швеллер UPN350</t>
  </si>
  <si>
    <t>S275</t>
  </si>
  <si>
    <t>Двутавр HEA320</t>
  </si>
  <si>
    <t>Швеллер UPN220</t>
  </si>
  <si>
    <t>-36х550х550</t>
  </si>
  <si>
    <t>-</t>
  </si>
  <si>
    <t>Вес всего по профилю, кг</t>
  </si>
  <si>
    <t>Вес 1 п.м / шт, кг</t>
  </si>
  <si>
    <t>Общая длина, п.м</t>
  </si>
  <si>
    <t>-30х550х550</t>
  </si>
  <si>
    <t>Колонны, стойки</t>
  </si>
  <si>
    <t>-6х380</t>
  </si>
  <si>
    <t>-5х320х2шт</t>
  </si>
  <si>
    <t>-6х200х2шт</t>
  </si>
  <si>
    <t>-8х500х2шт</t>
  </si>
  <si>
    <t>-6х380х2шт</t>
  </si>
  <si>
    <t>-6х500х2шт</t>
  </si>
  <si>
    <t>РР1</t>
  </si>
  <si>
    <t>Двутавр HEA220</t>
  </si>
  <si>
    <t>РР2</t>
  </si>
  <si>
    <t>РР3</t>
  </si>
  <si>
    <t>Двутавр HEA200</t>
  </si>
  <si>
    <t>-10х280х100х2шт шаг 600мм</t>
  </si>
  <si>
    <t>Двутавр HEA500</t>
  </si>
  <si>
    <t>Двутавр HEA550</t>
  </si>
  <si>
    <t>РР4</t>
  </si>
  <si>
    <t>РР5</t>
  </si>
  <si>
    <t>РР6</t>
  </si>
  <si>
    <t>-10х335х150х2шт шаг 600мм</t>
  </si>
  <si>
    <t>-14х445х150х2шт шаг 600мм</t>
  </si>
  <si>
    <t>-10х280х150х2шт шаг 600мм</t>
  </si>
  <si>
    <t>-14х490х150х2шт шаг 600мм</t>
  </si>
  <si>
    <t>РР</t>
  </si>
  <si>
    <t>БП1</t>
  </si>
  <si>
    <t>Р1</t>
  </si>
  <si>
    <t>Р2</t>
  </si>
  <si>
    <t>КЛ1</t>
  </si>
  <si>
    <t>Двутавр HEA400</t>
  </si>
  <si>
    <t>Двутавр HEA280</t>
  </si>
  <si>
    <t>тр.250х150х6</t>
  </si>
  <si>
    <t>РС</t>
  </si>
  <si>
    <t>РС1</t>
  </si>
  <si>
    <t>РС2</t>
  </si>
  <si>
    <t>СГ1</t>
  </si>
  <si>
    <t>СГ2</t>
  </si>
  <si>
    <t>СГ3</t>
  </si>
  <si>
    <t>СГ4</t>
  </si>
  <si>
    <t>а</t>
  </si>
  <si>
    <t>б</t>
  </si>
  <si>
    <t>Фермы</t>
  </si>
  <si>
    <t>ФП1</t>
  </si>
  <si>
    <t>ФП2</t>
  </si>
  <si>
    <t>ФС1</t>
  </si>
  <si>
    <t>ФС1.1</t>
  </si>
  <si>
    <t>ФС2</t>
  </si>
  <si>
    <t>ФС2.1</t>
  </si>
  <si>
    <t>ФС3</t>
  </si>
  <si>
    <t>ФС3.1</t>
  </si>
  <si>
    <t>тр.80х80х3</t>
  </si>
  <si>
    <t>тр.120х120х4</t>
  </si>
  <si>
    <t>тр.кр 48х3</t>
  </si>
  <si>
    <t>L100х8</t>
  </si>
  <si>
    <t>БП</t>
  </si>
  <si>
    <t>Р</t>
  </si>
  <si>
    <t>СГ</t>
  </si>
  <si>
    <t>Каркас здания (КМ)</t>
  </si>
  <si>
    <t>Кол-во,шт</t>
  </si>
  <si>
    <t>-4х3800х12000</t>
  </si>
  <si>
    <t>-6х220х3800</t>
  </si>
  <si>
    <t>Kосоуры</t>
  </si>
  <si>
    <t>длина эл., м</t>
  </si>
  <si>
    <t>Марка</t>
  </si>
  <si>
    <t xml:space="preserve">Ф1 </t>
  </si>
  <si>
    <t>тр.160х6</t>
  </si>
  <si>
    <t>тр.160х8</t>
  </si>
  <si>
    <t>тр.250х10</t>
  </si>
  <si>
    <t>тр.200х10</t>
  </si>
  <si>
    <t>тр.140х6</t>
  </si>
  <si>
    <t>тр.120х6</t>
  </si>
  <si>
    <t>тр.180х8</t>
  </si>
  <si>
    <t>тр.120х5</t>
  </si>
  <si>
    <t>тр.80х4</t>
  </si>
  <si>
    <t>Вес 1 п.м</t>
  </si>
  <si>
    <t>ФП2.1</t>
  </si>
  <si>
    <t>тр.150х5</t>
  </si>
  <si>
    <t>тр.140х5</t>
  </si>
  <si>
    <t>тр.60х4</t>
  </si>
  <si>
    <t>Кол-во в издел.,шт</t>
  </si>
  <si>
    <t>тр.100х4</t>
  </si>
  <si>
    <t>тр.120х4</t>
  </si>
  <si>
    <t>ФС3.2</t>
  </si>
  <si>
    <t>ИТОГО:</t>
  </si>
  <si>
    <t>ИТОГО S355:</t>
  </si>
  <si>
    <t>ИТОГО S235:</t>
  </si>
  <si>
    <t>ИТОГО S275:</t>
  </si>
  <si>
    <t>Профлист</t>
  </si>
  <si>
    <t>Обозначение</t>
  </si>
  <si>
    <t>Т153-40L-840 S350GD Ruukki</t>
  </si>
  <si>
    <t>Вес всего</t>
  </si>
  <si>
    <t>кол-во л., шт</t>
  </si>
  <si>
    <t>Длина,мм</t>
  </si>
  <si>
    <t>Толщина,мм</t>
  </si>
  <si>
    <t>Ширина,мм</t>
  </si>
  <si>
    <t>Итого:</t>
  </si>
  <si>
    <t>Итого +20% (Узлы)</t>
  </si>
  <si>
    <t xml:space="preserve"> S355</t>
  </si>
  <si>
    <r>
      <t>S листа, м</t>
    </r>
    <r>
      <rPr>
        <vertAlign val="superscript"/>
        <sz val="10"/>
        <rFont val="Arial Cyr"/>
        <charset val="204"/>
      </rPr>
      <t>2</t>
    </r>
  </si>
  <si>
    <r>
      <t>S всего, м</t>
    </r>
    <r>
      <rPr>
        <vertAlign val="superscript"/>
        <sz val="10"/>
        <rFont val="Arial Cyr"/>
        <charset val="204"/>
      </rPr>
      <t>2</t>
    </r>
  </si>
  <si>
    <t>Итого каркас, тн</t>
  </si>
  <si>
    <t>Итого п.лист, тн</t>
  </si>
  <si>
    <t>без п.листа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</si>
</sst>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 Cyr"/>
      <charset val="204"/>
    </font>
    <font>
      <b/>
      <sz val="10"/>
      <name val="Arial Cyr"/>
      <charset val="204"/>
    </font>
    <font>
      <sz val="20"/>
      <name val="Arial Cyr"/>
      <charset val="204"/>
    </font>
    <font>
      <sz val="16"/>
      <color rgb="FFFF000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vertAlign val="superscript"/>
      <sz val="1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2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1" fillId="0" borderId="16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quotePrefix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/>
    <xf numFmtId="0" fontId="1" fillId="3" borderId="4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4" xfId="0" applyNumberFormat="1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0" xfId="0" quotePrefix="1" applyFill="1" applyBorder="1" applyAlignment="1">
      <alignment horizontal="center"/>
    </xf>
    <xf numFmtId="1" fontId="0" fillId="3" borderId="13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2" fontId="0" fillId="3" borderId="13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4" xfId="0" quotePrefix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0" fontId="0" fillId="3" borderId="5" xfId="0" quotePrefix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21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17" xfId="0" quotePrefix="1" applyFill="1" applyBorder="1" applyAlignment="1">
      <alignment horizontal="center" wrapText="1"/>
    </xf>
    <xf numFmtId="0" fontId="0" fillId="3" borderId="22" xfId="0" applyFon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6" xfId="0" quotePrefix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" fontId="0" fillId="3" borderId="26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2" fontId="0" fillId="3" borderId="26" xfId="0" applyNumberFormat="1" applyFill="1" applyBorder="1" applyAlignment="1">
      <alignment horizontal="center"/>
    </xf>
    <xf numFmtId="0" fontId="0" fillId="3" borderId="6" xfId="0" quotePrefix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6" xfId="0" applyNumberFormat="1" applyFont="1" applyFill="1" applyBorder="1" applyAlignment="1">
      <alignment horizontal="center"/>
    </xf>
    <xf numFmtId="0" fontId="0" fillId="4" borderId="13" xfId="0" quotePrefix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" fontId="0" fillId="4" borderId="13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2" fontId="0" fillId="4" borderId="21" xfId="0" applyNumberFormat="1" applyFill="1" applyBorder="1" applyAlignment="1">
      <alignment horizontal="center"/>
    </xf>
    <xf numFmtId="2" fontId="0" fillId="4" borderId="25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4" borderId="17" xfId="0" quotePrefix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1" fontId="0" fillId="4" borderId="17" xfId="0" applyNumberForma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1" fontId="0" fillId="5" borderId="4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5" borderId="10" xfId="0" applyNumberFormat="1" applyFill="1" applyBorder="1" applyAlignment="1">
      <alignment horizontal="center"/>
    </xf>
    <xf numFmtId="0" fontId="0" fillId="5" borderId="6" xfId="0" quotePrefix="1" applyFill="1" applyBorder="1" applyAlignment="1">
      <alignment horizontal="center" wrapText="1"/>
    </xf>
    <xf numFmtId="0" fontId="0" fillId="5" borderId="9" xfId="0" applyFont="1" applyFill="1" applyBorder="1" applyAlignment="1">
      <alignment horizontal="center"/>
    </xf>
    <xf numFmtId="1" fontId="0" fillId="5" borderId="6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22" xfId="0" applyFont="1" applyFill="1" applyBorder="1" applyAlignment="1">
      <alignment horizontal="center"/>
    </xf>
    <xf numFmtId="1" fontId="0" fillId="5" borderId="17" xfId="0" applyNumberForma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2" fontId="0" fillId="5" borderId="17" xfId="0" applyNumberFormat="1" applyFill="1" applyBorder="1" applyAlignment="1">
      <alignment horizontal="center"/>
    </xf>
    <xf numFmtId="2" fontId="0" fillId="5" borderId="23" xfId="0" applyNumberForma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0" fillId="4" borderId="1" xfId="0" applyFill="1" applyBorder="1"/>
    <xf numFmtId="2" fontId="0" fillId="0" borderId="0" xfId="0" quotePrefix="1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4" borderId="5" xfId="0" applyNumberFormat="1" applyFon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1" fillId="5" borderId="6" xfId="0" applyNumberFormat="1" applyFont="1" applyFill="1" applyBorder="1" applyAlignment="1">
      <alignment horizontal="center"/>
    </xf>
    <xf numFmtId="2" fontId="1" fillId="3" borderId="12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12" xfId="0" applyFont="1" applyBorder="1" applyAlignment="1">
      <alignment horizontal="center"/>
    </xf>
    <xf numFmtId="0" fontId="1" fillId="0" borderId="1" xfId="0" applyFont="1" applyFill="1" applyBorder="1" applyAlignment="1">
      <alignment vertical="top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2" xfId="0" applyNumberFormat="1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/>
    <xf numFmtId="0" fontId="1" fillId="2" borderId="17" xfId="0" applyFont="1" applyFill="1" applyBorder="1" applyAlignment="1">
      <alignment horizontal="left" wrapText="1"/>
    </xf>
    <xf numFmtId="2" fontId="1" fillId="2" borderId="17" xfId="0" applyNumberFormat="1" applyFont="1" applyFill="1" applyBorder="1" applyAlignment="1">
      <alignment horizontal="center"/>
    </xf>
    <xf numFmtId="0" fontId="0" fillId="2" borderId="17" xfId="0" applyFill="1" applyBorder="1" applyAlignment="1"/>
    <xf numFmtId="0" fontId="0" fillId="0" borderId="1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left" vertical="top"/>
    </xf>
    <xf numFmtId="0" fontId="1" fillId="0" borderId="17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3" borderId="17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 vertical="top"/>
    </xf>
    <xf numFmtId="0" fontId="1" fillId="4" borderId="17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1" fillId="5" borderId="17" xfId="0" applyFont="1" applyFill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1" fillId="3" borderId="13" xfId="0" applyFont="1" applyFill="1" applyBorder="1" applyAlignment="1">
      <alignment horizontal="center" vertical="top"/>
    </xf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62"/>
  <sheetViews>
    <sheetView tabSelected="1" zoomScale="130" zoomScaleNormal="130" workbookViewId="0">
      <selection activeCell="G2" sqref="G2"/>
    </sheetView>
  </sheetViews>
  <sheetFormatPr defaultRowHeight="12.75" x14ac:dyDescent="0.2"/>
  <cols>
    <col min="1" max="1" width="13.85546875" customWidth="1"/>
    <col min="2" max="2" width="11" style="1" customWidth="1"/>
    <col min="3" max="3" width="16.85546875" style="1" customWidth="1"/>
    <col min="4" max="4" width="17" style="1" customWidth="1"/>
    <col min="5" max="5" width="13" style="45" customWidth="1"/>
    <col min="6" max="6" width="13.85546875" style="1" customWidth="1"/>
    <col min="7" max="7" width="13.140625" style="35" customWidth="1"/>
    <col min="8" max="8" width="17.140625" style="35" customWidth="1"/>
    <col min="9" max="9" width="20.42578125" style="35" customWidth="1"/>
    <col min="10" max="10" width="11.85546875" style="35" customWidth="1"/>
    <col min="11" max="11" width="9" style="35" customWidth="1"/>
    <col min="12" max="12" width="7.5703125" style="35" customWidth="1"/>
    <col min="13" max="13" width="6.42578125" style="2" customWidth="1"/>
    <col min="14" max="14" width="6.28515625" customWidth="1"/>
    <col min="15" max="15" width="6.7109375" customWidth="1"/>
    <col min="16" max="16" width="6.85546875" customWidth="1"/>
  </cols>
  <sheetData>
    <row r="1" spans="1:16" ht="26.25" thickBot="1" x14ac:dyDescent="0.4">
      <c r="A1" s="7" t="s">
        <v>109</v>
      </c>
      <c r="B1" s="8"/>
      <c r="C1" s="8"/>
      <c r="D1" s="184" t="s">
        <v>152</v>
      </c>
      <c r="E1" s="183">
        <f>J134/1000</f>
        <v>912.44219477999968</v>
      </c>
      <c r="F1" s="184" t="s">
        <v>154</v>
      </c>
      <c r="G1" s="8"/>
      <c r="H1" s="8"/>
      <c r="I1" s="8"/>
      <c r="J1" s="8"/>
      <c r="K1" s="8"/>
      <c r="L1" s="8"/>
      <c r="M1" s="8"/>
    </row>
    <row r="2" spans="1:16" ht="23.25" customHeight="1" thickBot="1" x14ac:dyDescent="0.35">
      <c r="A2" s="9"/>
      <c r="B2" s="8"/>
      <c r="C2" s="8"/>
      <c r="D2" s="185" t="s">
        <v>153</v>
      </c>
      <c r="E2" s="186">
        <f>H151/1000</f>
        <v>135.708289584</v>
      </c>
      <c r="F2" s="187"/>
      <c r="G2" s="8"/>
      <c r="H2" s="8"/>
      <c r="I2" s="8"/>
      <c r="J2" s="8"/>
      <c r="K2" s="8"/>
      <c r="L2" s="8"/>
      <c r="M2" s="56"/>
      <c r="N2" s="8"/>
    </row>
    <row r="3" spans="1:16" x14ac:dyDescent="0.2">
      <c r="A3" s="8"/>
      <c r="B3" s="8"/>
      <c r="C3" s="8"/>
      <c r="D3" s="8"/>
      <c r="E3" s="8"/>
      <c r="F3" s="8"/>
      <c r="G3" s="8"/>
      <c r="H3" s="8"/>
      <c r="I3" s="8"/>
      <c r="J3" s="223"/>
      <c r="K3" s="8"/>
      <c r="L3" s="8"/>
      <c r="M3" s="56"/>
      <c r="N3" s="8"/>
    </row>
    <row r="4" spans="1:16" x14ac:dyDescent="0.2">
      <c r="A4" s="3"/>
      <c r="B4" s="4"/>
      <c r="C4" s="4"/>
      <c r="D4" s="4"/>
      <c r="F4" s="4"/>
      <c r="K4" s="164"/>
      <c r="M4" s="5"/>
      <c r="N4" s="3"/>
    </row>
    <row r="5" spans="1:16" ht="12.75" customHeight="1" thickBot="1" x14ac:dyDescent="0.25">
      <c r="A5" s="221" t="s">
        <v>54</v>
      </c>
      <c r="B5" s="221"/>
      <c r="C5" s="221"/>
      <c r="D5" s="221"/>
      <c r="F5" s="4"/>
      <c r="M5" s="5"/>
      <c r="N5" s="3"/>
    </row>
    <row r="6" spans="1:16" ht="30" customHeight="1" thickBot="1" x14ac:dyDescent="0.25">
      <c r="A6" s="19"/>
      <c r="B6" s="21" t="s">
        <v>26</v>
      </c>
      <c r="C6" s="20" t="s">
        <v>23</v>
      </c>
      <c r="D6" s="18" t="s">
        <v>9</v>
      </c>
      <c r="E6" s="47" t="s">
        <v>110</v>
      </c>
      <c r="F6" s="20" t="s">
        <v>52</v>
      </c>
      <c r="G6" s="37" t="s">
        <v>51</v>
      </c>
      <c r="H6" s="37" t="s">
        <v>50</v>
      </c>
      <c r="I6" s="42"/>
      <c r="J6" s="42"/>
      <c r="K6" s="42"/>
      <c r="L6" s="42"/>
      <c r="M6" s="26"/>
      <c r="N6" s="26"/>
    </row>
    <row r="7" spans="1:16" s="6" customFormat="1" x14ac:dyDescent="0.2">
      <c r="A7" s="206" t="s">
        <v>8</v>
      </c>
      <c r="B7" s="57" t="s">
        <v>7</v>
      </c>
      <c r="C7" s="58" t="s">
        <v>16</v>
      </c>
      <c r="D7" s="57" t="s">
        <v>10</v>
      </c>
      <c r="E7" s="59">
        <f xml:space="preserve"> 11 + 13</f>
        <v>24</v>
      </c>
      <c r="F7" s="58">
        <f>166.1+ 154.7</f>
        <v>320.79999999999995</v>
      </c>
      <c r="G7" s="60">
        <v>106.6</v>
      </c>
      <c r="H7" s="61">
        <f t="shared" ref="H7" si="0">F7*G7</f>
        <v>34197.279999999992</v>
      </c>
      <c r="I7" s="43"/>
      <c r="J7" s="43"/>
      <c r="K7" s="43"/>
      <c r="L7" s="43"/>
      <c r="M7" s="16"/>
      <c r="N7" s="27"/>
    </row>
    <row r="8" spans="1:16" s="6" customFormat="1" ht="13.5" thickBot="1" x14ac:dyDescent="0.25">
      <c r="A8" s="207"/>
      <c r="B8" s="62"/>
      <c r="C8" s="63" t="s">
        <v>48</v>
      </c>
      <c r="D8" s="62" t="s">
        <v>10</v>
      </c>
      <c r="E8" s="64">
        <v>24</v>
      </c>
      <c r="F8" s="65" t="s">
        <v>49</v>
      </c>
      <c r="G8" s="66">
        <v>84.94</v>
      </c>
      <c r="H8" s="67">
        <f>G8*E8</f>
        <v>2038.56</v>
      </c>
      <c r="I8" s="43"/>
      <c r="J8" s="43"/>
      <c r="K8" s="43"/>
      <c r="L8" s="43"/>
      <c r="M8" s="16"/>
      <c r="N8" s="27"/>
    </row>
    <row r="9" spans="1:16" s="6" customFormat="1" x14ac:dyDescent="0.2">
      <c r="A9" s="207"/>
      <c r="B9" s="57" t="s">
        <v>5</v>
      </c>
      <c r="C9" s="58" t="s">
        <v>17</v>
      </c>
      <c r="D9" s="68" t="s">
        <v>10</v>
      </c>
      <c r="E9" s="59">
        <v>48</v>
      </c>
      <c r="F9" s="58">
        <f>724.8+428.4</f>
        <v>1153.1999999999998</v>
      </c>
      <c r="G9" s="60">
        <v>72.489999999999995</v>
      </c>
      <c r="H9" s="61">
        <f t="shared" ref="H9:H14" si="1">F9*G9</f>
        <v>83595.467999999979</v>
      </c>
      <c r="I9" s="43"/>
      <c r="J9" s="43"/>
      <c r="K9" s="43"/>
      <c r="L9" s="43"/>
      <c r="M9" s="27"/>
      <c r="N9" s="27"/>
    </row>
    <row r="10" spans="1:16" s="6" customFormat="1" ht="13.5" thickBot="1" x14ac:dyDescent="0.25">
      <c r="A10" s="207"/>
      <c r="B10" s="62"/>
      <c r="C10" s="63" t="s">
        <v>53</v>
      </c>
      <c r="D10" s="62" t="s">
        <v>10</v>
      </c>
      <c r="E10" s="64">
        <v>48</v>
      </c>
      <c r="F10" s="65" t="s">
        <v>49</v>
      </c>
      <c r="G10" s="66">
        <v>70.790000000000006</v>
      </c>
      <c r="H10" s="67">
        <f>G10*E10</f>
        <v>3397.92</v>
      </c>
      <c r="I10" s="43"/>
      <c r="J10" s="43"/>
      <c r="K10" s="43"/>
      <c r="L10" s="43"/>
      <c r="M10" s="16"/>
      <c r="N10" s="27"/>
    </row>
    <row r="11" spans="1:16" s="6" customFormat="1" x14ac:dyDescent="0.2">
      <c r="A11" s="207"/>
      <c r="B11" s="57" t="s">
        <v>6</v>
      </c>
      <c r="C11" s="58" t="s">
        <v>18</v>
      </c>
      <c r="D11" s="68" t="s">
        <v>10</v>
      </c>
      <c r="E11" s="59">
        <v>56</v>
      </c>
      <c r="F11" s="58">
        <f>288.85+21.1+4.53</f>
        <v>314.48</v>
      </c>
      <c r="G11" s="60">
        <v>54.9</v>
      </c>
      <c r="H11" s="61">
        <f t="shared" si="1"/>
        <v>17264.952000000001</v>
      </c>
      <c r="I11" s="43"/>
      <c r="J11" s="43"/>
      <c r="K11" s="43"/>
      <c r="L11" s="43"/>
      <c r="M11" s="27"/>
      <c r="N11" s="27"/>
    </row>
    <row r="12" spans="1:16" s="6" customFormat="1" ht="13.5" thickBot="1" x14ac:dyDescent="0.25">
      <c r="A12" s="207"/>
      <c r="B12" s="62"/>
      <c r="C12" s="63" t="s">
        <v>53</v>
      </c>
      <c r="D12" s="62" t="s">
        <v>10</v>
      </c>
      <c r="E12" s="64">
        <v>56</v>
      </c>
      <c r="F12" s="65" t="s">
        <v>49</v>
      </c>
      <c r="G12" s="66">
        <v>70.790000000000006</v>
      </c>
      <c r="H12" s="67">
        <f>G12*E12</f>
        <v>3964.2400000000002</v>
      </c>
      <c r="I12" s="43"/>
      <c r="J12" s="43"/>
      <c r="K12" s="43"/>
      <c r="L12" s="43"/>
      <c r="M12" s="16"/>
      <c r="N12" s="27"/>
    </row>
    <row r="13" spans="1:16" s="6" customFormat="1" x14ac:dyDescent="0.2">
      <c r="A13" s="212" t="s">
        <v>11</v>
      </c>
      <c r="B13" s="107" t="s">
        <v>12</v>
      </c>
      <c r="C13" s="108" t="s">
        <v>19</v>
      </c>
      <c r="D13" s="107" t="s">
        <v>13</v>
      </c>
      <c r="E13" s="109">
        <v>45</v>
      </c>
      <c r="F13" s="108">
        <f>72.48+80.6+77.44</f>
        <v>230.51999999999998</v>
      </c>
      <c r="G13" s="110">
        <v>20.86</v>
      </c>
      <c r="H13" s="111">
        <f t="shared" si="1"/>
        <v>4808.6471999999994</v>
      </c>
      <c r="I13" s="43"/>
      <c r="J13" s="43"/>
      <c r="K13" s="43"/>
      <c r="L13" s="43"/>
      <c r="M13" s="27"/>
      <c r="N13" s="28"/>
    </row>
    <row r="14" spans="1:16" s="6" customFormat="1" ht="13.5" thickBot="1" x14ac:dyDescent="0.25">
      <c r="A14" s="213"/>
      <c r="B14" s="112" t="s">
        <v>14</v>
      </c>
      <c r="C14" s="113" t="s">
        <v>20</v>
      </c>
      <c r="D14" s="114" t="s">
        <v>13</v>
      </c>
      <c r="E14" s="115">
        <v>6</v>
      </c>
      <c r="F14" s="113">
        <v>4.1399999999999997</v>
      </c>
      <c r="G14" s="116">
        <v>6.73</v>
      </c>
      <c r="H14" s="117">
        <f t="shared" si="1"/>
        <v>27.862199999999998</v>
      </c>
      <c r="I14" s="43"/>
      <c r="J14" s="43"/>
      <c r="K14" s="43"/>
      <c r="L14" s="43"/>
      <c r="M14" s="16"/>
      <c r="N14" s="28"/>
    </row>
    <row r="15" spans="1:16" s="6" customFormat="1" x14ac:dyDescent="0.2">
      <c r="A15" s="12"/>
      <c r="B15" s="13"/>
      <c r="C15" s="14"/>
      <c r="D15" s="14"/>
      <c r="E15" s="46"/>
      <c r="F15" s="14"/>
      <c r="G15" s="36"/>
      <c r="H15" s="36"/>
      <c r="I15" s="36"/>
      <c r="J15" s="36"/>
      <c r="K15" s="36"/>
      <c r="L15" s="36"/>
      <c r="M15" s="15"/>
      <c r="N15" s="16"/>
      <c r="O15" s="14"/>
      <c r="P15" s="12"/>
    </row>
    <row r="17" spans="1:16" ht="13.5" thickBot="1" x14ac:dyDescent="0.25">
      <c r="A17" s="17" t="s">
        <v>24</v>
      </c>
    </row>
    <row r="18" spans="1:16" ht="26.25" thickBot="1" x14ac:dyDescent="0.25">
      <c r="A18" s="173"/>
      <c r="B18" s="23" t="s">
        <v>26</v>
      </c>
      <c r="C18" s="22" t="s">
        <v>23</v>
      </c>
      <c r="D18" s="24" t="s">
        <v>9</v>
      </c>
      <c r="E18" s="48" t="s">
        <v>110</v>
      </c>
      <c r="F18" s="25" t="s">
        <v>52</v>
      </c>
      <c r="G18" s="37" t="s">
        <v>51</v>
      </c>
      <c r="H18" s="38" t="s">
        <v>22</v>
      </c>
      <c r="I18" s="42"/>
      <c r="J18" s="42"/>
      <c r="K18" s="42"/>
      <c r="L18" s="42"/>
    </row>
    <row r="19" spans="1:16" ht="13.5" thickBot="1" x14ac:dyDescent="0.25">
      <c r="A19" s="191" t="s">
        <v>15</v>
      </c>
      <c r="B19" s="135" t="s">
        <v>0</v>
      </c>
      <c r="C19" s="136" t="s">
        <v>21</v>
      </c>
      <c r="D19" s="137" t="s">
        <v>45</v>
      </c>
      <c r="E19" s="138">
        <f>10+36</f>
        <v>46</v>
      </c>
      <c r="F19" s="139">
        <f>64.05+298.35</f>
        <v>362.40000000000003</v>
      </c>
      <c r="G19" s="140">
        <v>66.400000000000006</v>
      </c>
      <c r="H19" s="141">
        <f t="shared" ref="H19:H42" si="2">F19*G19</f>
        <v>24063.360000000004</v>
      </c>
      <c r="I19" s="40"/>
      <c r="J19" s="40"/>
      <c r="K19" s="40"/>
      <c r="L19" s="40"/>
    </row>
    <row r="20" spans="1:16" ht="13.5" thickBot="1" x14ac:dyDescent="0.25">
      <c r="A20" s="191"/>
      <c r="B20" s="135" t="s">
        <v>1</v>
      </c>
      <c r="C20" s="136" t="s">
        <v>27</v>
      </c>
      <c r="D20" s="139" t="s">
        <v>45</v>
      </c>
      <c r="E20" s="138">
        <f>11+9</f>
        <v>20</v>
      </c>
      <c r="F20" s="139">
        <f>107.2+92.1</f>
        <v>199.3</v>
      </c>
      <c r="G20" s="140">
        <v>90.7</v>
      </c>
      <c r="H20" s="141">
        <f t="shared" si="2"/>
        <v>18076.510000000002</v>
      </c>
      <c r="I20" s="40"/>
      <c r="J20" s="40"/>
      <c r="K20" s="40"/>
      <c r="L20" s="40"/>
    </row>
    <row r="21" spans="1:16" ht="13.5" thickBot="1" x14ac:dyDescent="0.25">
      <c r="A21" s="191"/>
      <c r="B21" s="135" t="s">
        <v>2</v>
      </c>
      <c r="C21" s="136" t="s">
        <v>28</v>
      </c>
      <c r="D21" s="139" t="s">
        <v>45</v>
      </c>
      <c r="E21" s="138">
        <f>26+26</f>
        <v>52</v>
      </c>
      <c r="F21" s="139">
        <f>195.35+187.52</f>
        <v>382.87</v>
      </c>
      <c r="G21" s="140">
        <v>49.1</v>
      </c>
      <c r="H21" s="141">
        <f t="shared" si="2"/>
        <v>18798.917000000001</v>
      </c>
      <c r="I21" s="40"/>
      <c r="J21" s="40"/>
      <c r="K21" s="40"/>
      <c r="L21" s="40"/>
    </row>
    <row r="22" spans="1:16" ht="13.5" thickBot="1" x14ac:dyDescent="0.25">
      <c r="A22" s="191"/>
      <c r="B22" s="135" t="s">
        <v>3</v>
      </c>
      <c r="C22" s="136" t="s">
        <v>29</v>
      </c>
      <c r="D22" s="139" t="s">
        <v>45</v>
      </c>
      <c r="E22" s="138">
        <f>20+17+4</f>
        <v>41</v>
      </c>
      <c r="F22" s="139">
        <f>103.84+94.28+22.63</f>
        <v>220.75</v>
      </c>
      <c r="G22" s="140">
        <v>88.3</v>
      </c>
      <c r="H22" s="141">
        <f t="shared" si="2"/>
        <v>19492.224999999999</v>
      </c>
      <c r="I22" s="40"/>
      <c r="J22" s="40"/>
      <c r="K22" s="40"/>
      <c r="L22" s="40"/>
    </row>
    <row r="23" spans="1:16" ht="13.5" thickBot="1" x14ac:dyDescent="0.25">
      <c r="A23" s="191"/>
      <c r="B23" s="135" t="s">
        <v>4</v>
      </c>
      <c r="C23" s="136" t="s">
        <v>30</v>
      </c>
      <c r="D23" s="139" t="s">
        <v>45</v>
      </c>
      <c r="E23" s="138">
        <f>23+11</f>
        <v>34</v>
      </c>
      <c r="F23" s="139">
        <f>176.67+83.77</f>
        <v>260.44</v>
      </c>
      <c r="G23" s="140">
        <v>112</v>
      </c>
      <c r="H23" s="141">
        <f t="shared" si="2"/>
        <v>29169.279999999999</v>
      </c>
      <c r="I23" s="40"/>
      <c r="J23" s="40"/>
      <c r="K23" s="40"/>
      <c r="L23" s="40"/>
    </row>
    <row r="24" spans="1:16" ht="13.5" thickBot="1" x14ac:dyDescent="0.25">
      <c r="A24" s="191"/>
      <c r="B24" s="135" t="s">
        <v>25</v>
      </c>
      <c r="C24" s="136" t="s">
        <v>44</v>
      </c>
      <c r="D24" s="139" t="s">
        <v>45</v>
      </c>
      <c r="E24" s="138">
        <f>38+22+18</f>
        <v>78</v>
      </c>
      <c r="F24" s="139">
        <f>289.67+164.67+116.31</f>
        <v>570.65000000000009</v>
      </c>
      <c r="G24" s="140">
        <v>60.6</v>
      </c>
      <c r="H24" s="141">
        <f t="shared" si="2"/>
        <v>34581.390000000007</v>
      </c>
      <c r="I24" s="40"/>
      <c r="J24" s="40"/>
      <c r="K24" s="40"/>
      <c r="L24" s="40"/>
    </row>
    <row r="25" spans="1:16" x14ac:dyDescent="0.2">
      <c r="A25" s="191"/>
      <c r="B25" s="217" t="s">
        <v>31</v>
      </c>
      <c r="C25" s="69" t="s">
        <v>39</v>
      </c>
      <c r="D25" s="70" t="s">
        <v>10</v>
      </c>
      <c r="E25" s="59">
        <f>88+13</f>
        <v>101</v>
      </c>
      <c r="F25" s="68">
        <f>666.11+92.45</f>
        <v>758.56000000000006</v>
      </c>
      <c r="G25" s="60">
        <f t="shared" ref="G25:G40" si="3">P25</f>
        <v>45.24</v>
      </c>
      <c r="H25" s="71">
        <f t="shared" si="2"/>
        <v>34317.254400000005</v>
      </c>
      <c r="I25" s="40"/>
      <c r="J25" s="40"/>
      <c r="K25" s="40"/>
      <c r="L25" s="40"/>
      <c r="N25">
        <v>20</v>
      </c>
      <c r="O25">
        <v>290</v>
      </c>
      <c r="P25">
        <f>O25*N25*7800/1000000</f>
        <v>45.24</v>
      </c>
    </row>
    <row r="26" spans="1:16" x14ac:dyDescent="0.2">
      <c r="A26" s="191"/>
      <c r="B26" s="222"/>
      <c r="C26" s="72" t="s">
        <v>56</v>
      </c>
      <c r="D26" s="73" t="s">
        <v>10</v>
      </c>
      <c r="E26" s="74">
        <f>E25*2</f>
        <v>202</v>
      </c>
      <c r="F26" s="75">
        <f>F25*2</f>
        <v>1517.1200000000001</v>
      </c>
      <c r="G26" s="76">
        <f t="shared" si="3"/>
        <v>12.48</v>
      </c>
      <c r="H26" s="77">
        <f t="shared" si="2"/>
        <v>18933.657600000002</v>
      </c>
      <c r="I26" s="40"/>
      <c r="J26" s="40"/>
      <c r="K26" s="40"/>
      <c r="L26" s="40"/>
      <c r="M26" s="5"/>
      <c r="N26">
        <v>5</v>
      </c>
      <c r="O26">
        <v>320</v>
      </c>
      <c r="P26">
        <f t="shared" ref="P26:P42" si="4">O26*N26*7800/1000000</f>
        <v>12.48</v>
      </c>
    </row>
    <row r="27" spans="1:16" x14ac:dyDescent="0.2">
      <c r="A27" s="191"/>
      <c r="B27" s="222"/>
      <c r="C27" s="72" t="s">
        <v>40</v>
      </c>
      <c r="D27" s="73" t="s">
        <v>10</v>
      </c>
      <c r="E27" s="78">
        <f>E25</f>
        <v>101</v>
      </c>
      <c r="F27" s="79">
        <f>F25</f>
        <v>758.56000000000006</v>
      </c>
      <c r="G27" s="76">
        <f t="shared" si="3"/>
        <v>51.48</v>
      </c>
      <c r="H27" s="77">
        <f t="shared" si="2"/>
        <v>39050.668799999999</v>
      </c>
      <c r="I27" s="40"/>
      <c r="J27" s="40"/>
      <c r="K27" s="40"/>
      <c r="L27" s="40"/>
      <c r="M27" s="5"/>
      <c r="N27">
        <v>12</v>
      </c>
      <c r="O27">
        <v>550</v>
      </c>
      <c r="P27">
        <f t="shared" si="4"/>
        <v>51.48</v>
      </c>
    </row>
    <row r="28" spans="1:16" ht="13.5" thickBot="1" x14ac:dyDescent="0.25">
      <c r="A28" s="191"/>
      <c r="B28" s="218"/>
      <c r="C28" s="118" t="s">
        <v>57</v>
      </c>
      <c r="D28" s="119" t="s">
        <v>13</v>
      </c>
      <c r="E28" s="120">
        <f>E25*2</f>
        <v>202</v>
      </c>
      <c r="F28" s="121">
        <f>F26</f>
        <v>1517.1200000000001</v>
      </c>
      <c r="G28" s="122">
        <f t="shared" si="3"/>
        <v>9.36</v>
      </c>
      <c r="H28" s="123">
        <f t="shared" si="2"/>
        <v>14200.243200000001</v>
      </c>
      <c r="I28" s="40"/>
      <c r="J28" s="40"/>
      <c r="K28" s="40"/>
      <c r="L28" s="40"/>
      <c r="M28" s="11"/>
      <c r="N28">
        <v>6</v>
      </c>
      <c r="O28">
        <v>200</v>
      </c>
      <c r="P28">
        <f t="shared" si="4"/>
        <v>9.36</v>
      </c>
    </row>
    <row r="29" spans="1:16" x14ac:dyDescent="0.2">
      <c r="A29" s="191"/>
      <c r="B29" s="217" t="s">
        <v>32</v>
      </c>
      <c r="C29" s="69" t="s">
        <v>38</v>
      </c>
      <c r="D29" s="70" t="s">
        <v>10</v>
      </c>
      <c r="E29" s="59">
        <f>22+9+2</f>
        <v>33</v>
      </c>
      <c r="F29" s="58">
        <f>248.6+101.83+22.63</f>
        <v>373.06</v>
      </c>
      <c r="G29" s="60">
        <f t="shared" si="3"/>
        <v>79.17</v>
      </c>
      <c r="H29" s="71">
        <f t="shared" si="2"/>
        <v>29535.160200000002</v>
      </c>
      <c r="I29" s="40"/>
      <c r="J29" s="40"/>
      <c r="K29" s="40"/>
      <c r="L29" s="40"/>
      <c r="N29">
        <v>35</v>
      </c>
      <c r="O29">
        <v>290</v>
      </c>
      <c r="P29">
        <f t="shared" si="4"/>
        <v>79.17</v>
      </c>
    </row>
    <row r="30" spans="1:16" x14ac:dyDescent="0.2">
      <c r="A30" s="191"/>
      <c r="B30" s="222"/>
      <c r="C30" s="72" t="s">
        <v>58</v>
      </c>
      <c r="D30" s="73" t="s">
        <v>10</v>
      </c>
      <c r="E30" s="78">
        <f>E29*2</f>
        <v>66</v>
      </c>
      <c r="F30" s="79">
        <f>F29*2</f>
        <v>746.12</v>
      </c>
      <c r="G30" s="76">
        <f t="shared" si="3"/>
        <v>31.2</v>
      </c>
      <c r="H30" s="77">
        <f t="shared" si="2"/>
        <v>23278.944</v>
      </c>
      <c r="I30" s="40"/>
      <c r="J30" s="40"/>
      <c r="K30" s="40"/>
      <c r="L30" s="40"/>
      <c r="M30" s="5"/>
      <c r="N30">
        <v>8</v>
      </c>
      <c r="O30">
        <v>500</v>
      </c>
      <c r="P30">
        <f t="shared" si="4"/>
        <v>31.2</v>
      </c>
    </row>
    <row r="31" spans="1:16" x14ac:dyDescent="0.2">
      <c r="A31" s="191"/>
      <c r="B31" s="222"/>
      <c r="C31" s="72" t="s">
        <v>41</v>
      </c>
      <c r="D31" s="73" t="s">
        <v>10</v>
      </c>
      <c r="E31" s="78">
        <f>E29</f>
        <v>33</v>
      </c>
      <c r="F31" s="79">
        <f>F29</f>
        <v>373.06</v>
      </c>
      <c r="G31" s="76">
        <f t="shared" si="3"/>
        <v>87.36</v>
      </c>
      <c r="H31" s="77">
        <f t="shared" si="2"/>
        <v>32590.5216</v>
      </c>
      <c r="I31" s="40"/>
      <c r="J31" s="40"/>
      <c r="K31" s="40"/>
      <c r="L31" s="40"/>
      <c r="M31" s="5"/>
      <c r="N31">
        <v>20</v>
      </c>
      <c r="O31">
        <v>560</v>
      </c>
      <c r="P31">
        <f t="shared" si="4"/>
        <v>87.36</v>
      </c>
    </row>
    <row r="32" spans="1:16" ht="13.5" thickBot="1" x14ac:dyDescent="0.25">
      <c r="A32" s="191"/>
      <c r="B32" s="218"/>
      <c r="C32" s="118" t="s">
        <v>59</v>
      </c>
      <c r="D32" s="119" t="s">
        <v>13</v>
      </c>
      <c r="E32" s="120">
        <f>E29*2</f>
        <v>66</v>
      </c>
      <c r="F32" s="121">
        <f>F30</f>
        <v>746.12</v>
      </c>
      <c r="G32" s="122">
        <f t="shared" si="3"/>
        <v>17.783999999999999</v>
      </c>
      <c r="H32" s="124">
        <f t="shared" si="2"/>
        <v>13268.998079999999</v>
      </c>
      <c r="I32" s="40"/>
      <c r="J32" s="40"/>
      <c r="K32" s="40"/>
      <c r="L32" s="40"/>
      <c r="M32" s="11"/>
      <c r="N32">
        <v>6</v>
      </c>
      <c r="O32">
        <v>380</v>
      </c>
      <c r="P32">
        <f t="shared" si="4"/>
        <v>17.783999999999999</v>
      </c>
    </row>
    <row r="33" spans="1:16" x14ac:dyDescent="0.2">
      <c r="A33" s="191"/>
      <c r="B33" s="217" t="s">
        <v>33</v>
      </c>
      <c r="C33" s="69" t="s">
        <v>42</v>
      </c>
      <c r="D33" s="70" t="s">
        <v>10</v>
      </c>
      <c r="E33" s="59">
        <v>2</v>
      </c>
      <c r="F33" s="58">
        <f>22.63</f>
        <v>22.63</v>
      </c>
      <c r="G33" s="60">
        <f t="shared" si="3"/>
        <v>78.623999999999995</v>
      </c>
      <c r="H33" s="71">
        <f t="shared" si="2"/>
        <v>1779.2611199999999</v>
      </c>
      <c r="I33" s="40"/>
      <c r="J33" s="40"/>
      <c r="K33" s="40"/>
      <c r="L33" s="40"/>
      <c r="N33">
        <v>35</v>
      </c>
      <c r="O33">
        <v>288</v>
      </c>
      <c r="P33">
        <f t="shared" si="4"/>
        <v>78.623999999999995</v>
      </c>
    </row>
    <row r="34" spans="1:16" x14ac:dyDescent="0.2">
      <c r="A34" s="191"/>
      <c r="B34" s="222"/>
      <c r="C34" s="72" t="s">
        <v>60</v>
      </c>
      <c r="D34" s="73" t="s">
        <v>10</v>
      </c>
      <c r="E34" s="78">
        <f>E33*2</f>
        <v>4</v>
      </c>
      <c r="F34" s="79">
        <f>F33*2</f>
        <v>45.26</v>
      </c>
      <c r="G34" s="76">
        <f t="shared" si="3"/>
        <v>23.4</v>
      </c>
      <c r="H34" s="77">
        <f t="shared" si="2"/>
        <v>1059.0839999999998</v>
      </c>
      <c r="I34" s="40"/>
      <c r="J34" s="40"/>
      <c r="K34" s="40"/>
      <c r="L34" s="40"/>
      <c r="M34" s="5"/>
      <c r="N34">
        <v>6</v>
      </c>
      <c r="O34">
        <v>500</v>
      </c>
      <c r="P34">
        <f t="shared" si="4"/>
        <v>23.4</v>
      </c>
    </row>
    <row r="35" spans="1:16" x14ac:dyDescent="0.2">
      <c r="A35" s="191"/>
      <c r="B35" s="222"/>
      <c r="C35" s="72" t="s">
        <v>43</v>
      </c>
      <c r="D35" s="73" t="s">
        <v>10</v>
      </c>
      <c r="E35" s="78">
        <f>E33</f>
        <v>2</v>
      </c>
      <c r="F35" s="79">
        <f>F33</f>
        <v>22.63</v>
      </c>
      <c r="G35" s="76">
        <f t="shared" si="3"/>
        <v>68.64</v>
      </c>
      <c r="H35" s="77">
        <f t="shared" si="2"/>
        <v>1553.3232</v>
      </c>
      <c r="I35" s="40"/>
      <c r="J35" s="40"/>
      <c r="K35" s="40"/>
      <c r="L35" s="40"/>
      <c r="M35" s="5"/>
      <c r="N35">
        <v>20</v>
      </c>
      <c r="O35">
        <v>440</v>
      </c>
      <c r="P35">
        <f t="shared" si="4"/>
        <v>68.64</v>
      </c>
    </row>
    <row r="36" spans="1:16" ht="13.5" thickBot="1" x14ac:dyDescent="0.25">
      <c r="A36" s="191"/>
      <c r="B36" s="218"/>
      <c r="C36" s="118" t="s">
        <v>55</v>
      </c>
      <c r="D36" s="119" t="s">
        <v>13</v>
      </c>
      <c r="E36" s="120">
        <f>E33</f>
        <v>2</v>
      </c>
      <c r="F36" s="114">
        <f>F33</f>
        <v>22.63</v>
      </c>
      <c r="G36" s="122">
        <f t="shared" si="3"/>
        <v>17.783999999999999</v>
      </c>
      <c r="H36" s="124">
        <f t="shared" si="2"/>
        <v>402.45191999999997</v>
      </c>
      <c r="I36" s="40"/>
      <c r="J36" s="40"/>
      <c r="K36" s="40"/>
      <c r="L36" s="40"/>
      <c r="M36" s="11"/>
      <c r="N36">
        <v>6</v>
      </c>
      <c r="O36">
        <v>380</v>
      </c>
      <c r="P36">
        <f t="shared" si="4"/>
        <v>17.783999999999999</v>
      </c>
    </row>
    <row r="37" spans="1:16" x14ac:dyDescent="0.2">
      <c r="A37" s="191"/>
      <c r="B37" s="217" t="s">
        <v>34</v>
      </c>
      <c r="C37" s="69" t="s">
        <v>42</v>
      </c>
      <c r="D37" s="70" t="s">
        <v>10</v>
      </c>
      <c r="E37" s="59">
        <v>1</v>
      </c>
      <c r="F37" s="75">
        <f>F36*2</f>
        <v>45.26</v>
      </c>
      <c r="G37" s="60">
        <f t="shared" si="3"/>
        <v>78.623999999999995</v>
      </c>
      <c r="H37" s="71">
        <f t="shared" si="2"/>
        <v>3558.5222399999998</v>
      </c>
      <c r="I37" s="40"/>
      <c r="J37" s="40"/>
      <c r="K37" s="40"/>
      <c r="L37" s="40"/>
      <c r="N37">
        <v>35</v>
      </c>
      <c r="O37">
        <v>288</v>
      </c>
      <c r="P37">
        <f t="shared" si="4"/>
        <v>78.623999999999995</v>
      </c>
    </row>
    <row r="38" spans="1:16" x14ac:dyDescent="0.2">
      <c r="A38" s="191"/>
      <c r="B38" s="222"/>
      <c r="C38" s="72" t="s">
        <v>60</v>
      </c>
      <c r="D38" s="73" t="s">
        <v>10</v>
      </c>
      <c r="E38" s="78">
        <f>E37*2</f>
        <v>2</v>
      </c>
      <c r="F38" s="79">
        <f>F37*2</f>
        <v>90.52</v>
      </c>
      <c r="G38" s="76">
        <f t="shared" si="3"/>
        <v>23.4</v>
      </c>
      <c r="H38" s="77">
        <f t="shared" si="2"/>
        <v>2118.1679999999997</v>
      </c>
      <c r="I38" s="40"/>
      <c r="J38" s="40"/>
      <c r="K38" s="40"/>
      <c r="L38" s="40"/>
      <c r="M38" s="5"/>
      <c r="N38">
        <v>6</v>
      </c>
      <c r="O38">
        <v>500</v>
      </c>
      <c r="P38">
        <f t="shared" si="4"/>
        <v>23.4</v>
      </c>
    </row>
    <row r="39" spans="1:16" x14ac:dyDescent="0.2">
      <c r="A39" s="191"/>
      <c r="B39" s="222"/>
      <c r="C39" s="72" t="s">
        <v>43</v>
      </c>
      <c r="D39" s="73" t="s">
        <v>10</v>
      </c>
      <c r="E39" s="78">
        <f>E37</f>
        <v>1</v>
      </c>
      <c r="F39" s="79">
        <f>F37</f>
        <v>45.26</v>
      </c>
      <c r="G39" s="76">
        <f t="shared" si="3"/>
        <v>68.64</v>
      </c>
      <c r="H39" s="77">
        <f t="shared" si="2"/>
        <v>3106.6464000000001</v>
      </c>
      <c r="I39" s="40"/>
      <c r="J39" s="40"/>
      <c r="K39" s="40"/>
      <c r="L39" s="40"/>
      <c r="M39" s="5"/>
      <c r="N39">
        <v>20</v>
      </c>
      <c r="O39">
        <v>440</v>
      </c>
      <c r="P39">
        <f t="shared" si="4"/>
        <v>68.64</v>
      </c>
    </row>
    <row r="40" spans="1:16" ht="13.5" thickBot="1" x14ac:dyDescent="0.25">
      <c r="A40" s="191"/>
      <c r="B40" s="218"/>
      <c r="C40" s="118" t="s">
        <v>55</v>
      </c>
      <c r="D40" s="119" t="s">
        <v>13</v>
      </c>
      <c r="E40" s="120">
        <f>E37</f>
        <v>1</v>
      </c>
      <c r="F40" s="121">
        <f>F37</f>
        <v>45.26</v>
      </c>
      <c r="G40" s="122">
        <f t="shared" si="3"/>
        <v>17.783999999999999</v>
      </c>
      <c r="H40" s="124">
        <f t="shared" si="2"/>
        <v>804.90383999999995</v>
      </c>
      <c r="I40" s="40"/>
      <c r="J40" s="40"/>
      <c r="K40" s="40"/>
      <c r="L40" s="40"/>
      <c r="M40" s="11"/>
      <c r="N40">
        <v>6</v>
      </c>
      <c r="O40">
        <v>380</v>
      </c>
      <c r="P40">
        <f t="shared" si="4"/>
        <v>17.783999999999999</v>
      </c>
    </row>
    <row r="41" spans="1:16" ht="13.5" thickBot="1" x14ac:dyDescent="0.25">
      <c r="A41" s="191"/>
      <c r="B41" s="135" t="s">
        <v>35</v>
      </c>
      <c r="C41" s="136" t="s">
        <v>21</v>
      </c>
      <c r="D41" s="137" t="s">
        <v>45</v>
      </c>
      <c r="E41" s="138">
        <f>5</f>
        <v>5</v>
      </c>
      <c r="F41" s="139">
        <f>47.36</f>
        <v>47.36</v>
      </c>
      <c r="G41" s="140">
        <v>66.3</v>
      </c>
      <c r="H41" s="141">
        <f t="shared" si="2"/>
        <v>3139.9679999999998</v>
      </c>
      <c r="I41" s="40"/>
      <c r="J41" s="40"/>
      <c r="K41" s="40"/>
      <c r="L41" s="40"/>
      <c r="P41">
        <f t="shared" si="4"/>
        <v>0</v>
      </c>
    </row>
    <row r="42" spans="1:16" x14ac:dyDescent="0.2">
      <c r="A42" s="191"/>
      <c r="B42" s="219" t="s">
        <v>36</v>
      </c>
      <c r="C42" s="142" t="s">
        <v>46</v>
      </c>
      <c r="D42" s="143" t="s">
        <v>45</v>
      </c>
      <c r="E42" s="144">
        <f>24</f>
        <v>24</v>
      </c>
      <c r="F42" s="145">
        <f>135.77</f>
        <v>135.77000000000001</v>
      </c>
      <c r="G42" s="146">
        <v>97.6</v>
      </c>
      <c r="H42" s="147">
        <f t="shared" si="2"/>
        <v>13251.152</v>
      </c>
      <c r="I42" s="40"/>
      <c r="J42" s="40"/>
      <c r="K42" s="40"/>
      <c r="L42" s="40"/>
      <c r="P42">
        <f t="shared" si="4"/>
        <v>0</v>
      </c>
    </row>
    <row r="43" spans="1:16" ht="26.25" thickBot="1" x14ac:dyDescent="0.25">
      <c r="A43" s="191"/>
      <c r="B43" s="220"/>
      <c r="C43" s="148" t="s">
        <v>66</v>
      </c>
      <c r="D43" s="149" t="s">
        <v>45</v>
      </c>
      <c r="E43" s="150">
        <f>(F43/0.6+E42)*2</f>
        <v>500.56666666666672</v>
      </c>
      <c r="F43" s="151">
        <f>F42</f>
        <v>135.77000000000001</v>
      </c>
      <c r="G43" s="152">
        <f>P43</f>
        <v>2.1840000000000002</v>
      </c>
      <c r="H43" s="153">
        <f>E43*G43</f>
        <v>1093.2376000000002</v>
      </c>
      <c r="I43" s="40"/>
      <c r="J43" s="40"/>
      <c r="K43" s="40"/>
      <c r="L43" s="40"/>
      <c r="M43" s="44">
        <v>10</v>
      </c>
      <c r="N43">
        <v>280</v>
      </c>
      <c r="O43">
        <v>100</v>
      </c>
      <c r="P43">
        <f>M43*O43*N43*7800/1000000000</f>
        <v>2.1840000000000002</v>
      </c>
    </row>
    <row r="44" spans="1:16" ht="13.5" thickBot="1" x14ac:dyDescent="0.25">
      <c r="A44" s="192"/>
      <c r="B44" s="154" t="s">
        <v>37</v>
      </c>
      <c r="C44" s="155" t="s">
        <v>47</v>
      </c>
      <c r="D44" s="156" t="s">
        <v>45</v>
      </c>
      <c r="E44" s="157">
        <f>23+2+22+(8)</f>
        <v>55</v>
      </c>
      <c r="F44" s="158">
        <f>105.4+2.16+87.77+(46)</f>
        <v>241.32999999999998</v>
      </c>
      <c r="G44" s="159">
        <v>29.4</v>
      </c>
      <c r="H44" s="160">
        <f>F44*G44</f>
        <v>7095.101999999999</v>
      </c>
      <c r="I44" s="40"/>
      <c r="J44" s="40"/>
      <c r="K44" s="40"/>
      <c r="L44" s="40"/>
    </row>
    <row r="45" spans="1:16" ht="13.5" thickBot="1" x14ac:dyDescent="0.25">
      <c r="A45" s="206" t="s">
        <v>76</v>
      </c>
      <c r="B45" s="80" t="s">
        <v>61</v>
      </c>
      <c r="C45" s="81" t="s">
        <v>65</v>
      </c>
      <c r="D45" s="82" t="s">
        <v>10</v>
      </c>
      <c r="E45" s="83">
        <f>1+6+11</f>
        <v>18</v>
      </c>
      <c r="F45" s="84">
        <f>6.03+33.6+36.88</f>
        <v>76.510000000000005</v>
      </c>
      <c r="G45" s="85">
        <v>42.3</v>
      </c>
      <c r="H45" s="86">
        <f>F45*G45</f>
        <v>3236.373</v>
      </c>
      <c r="I45" s="40"/>
      <c r="J45" s="40"/>
      <c r="K45" s="40"/>
      <c r="L45" s="40"/>
    </row>
    <row r="46" spans="1:16" ht="13.5" thickBot="1" x14ac:dyDescent="0.25">
      <c r="A46" s="207"/>
      <c r="B46" s="80" t="s">
        <v>63</v>
      </c>
      <c r="C46" s="81" t="s">
        <v>62</v>
      </c>
      <c r="D46" s="87" t="s">
        <v>10</v>
      </c>
      <c r="E46" s="83">
        <f>4</f>
        <v>4</v>
      </c>
      <c r="F46" s="84">
        <f>12</f>
        <v>12</v>
      </c>
      <c r="G46" s="85">
        <v>50.5</v>
      </c>
      <c r="H46" s="86">
        <f>F46*G46</f>
        <v>606</v>
      </c>
      <c r="I46" s="40"/>
      <c r="J46" s="40"/>
      <c r="K46" s="40"/>
      <c r="L46" s="40"/>
    </row>
    <row r="47" spans="1:16" x14ac:dyDescent="0.2">
      <c r="A47" s="207"/>
      <c r="B47" s="217" t="s">
        <v>64</v>
      </c>
      <c r="C47" s="68" t="s">
        <v>46</v>
      </c>
      <c r="D47" s="88" t="s">
        <v>10</v>
      </c>
      <c r="E47" s="59">
        <f>18+15</f>
        <v>33</v>
      </c>
      <c r="F47" s="58">
        <f>46+39</f>
        <v>85</v>
      </c>
      <c r="G47" s="60">
        <v>97.6</v>
      </c>
      <c r="H47" s="71">
        <f>F47*G47</f>
        <v>8296</v>
      </c>
      <c r="I47" s="40"/>
      <c r="J47" s="40"/>
      <c r="K47" s="40"/>
      <c r="L47" s="40"/>
    </row>
    <row r="48" spans="1:16" ht="26.25" thickBot="1" x14ac:dyDescent="0.25">
      <c r="A48" s="207"/>
      <c r="B48" s="218"/>
      <c r="C48" s="89" t="s">
        <v>74</v>
      </c>
      <c r="D48" s="90" t="s">
        <v>10</v>
      </c>
      <c r="E48" s="91">
        <f>(F48/0.6+E47)*2</f>
        <v>349.33333333333337</v>
      </c>
      <c r="F48" s="92">
        <f>F47</f>
        <v>85</v>
      </c>
      <c r="G48" s="93">
        <f>P48</f>
        <v>3.9195000000000002</v>
      </c>
      <c r="H48" s="94">
        <f>E48*G48</f>
        <v>1369.2120000000002</v>
      </c>
      <c r="I48" s="40"/>
      <c r="J48" s="40"/>
      <c r="K48" s="40"/>
      <c r="L48" s="40"/>
      <c r="M48" s="44">
        <v>10</v>
      </c>
      <c r="N48">
        <v>335</v>
      </c>
      <c r="O48">
        <v>150</v>
      </c>
      <c r="P48">
        <f>M48*O48*N48*7800/1000000000</f>
        <v>3.9195000000000002</v>
      </c>
    </row>
    <row r="49" spans="1:16" x14ac:dyDescent="0.2">
      <c r="A49" s="207"/>
      <c r="B49" s="217" t="s">
        <v>69</v>
      </c>
      <c r="C49" s="68" t="s">
        <v>30</v>
      </c>
      <c r="D49" s="88" t="s">
        <v>10</v>
      </c>
      <c r="E49" s="59">
        <f>19+4</f>
        <v>23</v>
      </c>
      <c r="F49" s="58">
        <f>55.27+12</f>
        <v>67.27000000000001</v>
      </c>
      <c r="G49" s="60">
        <v>112</v>
      </c>
      <c r="H49" s="71">
        <f>F49*G49</f>
        <v>7534.2400000000016</v>
      </c>
      <c r="I49" s="40"/>
      <c r="J49" s="40"/>
      <c r="K49" s="40"/>
      <c r="L49" s="40"/>
      <c r="M49" s="11"/>
    </row>
    <row r="50" spans="1:16" ht="26.25" thickBot="1" x14ac:dyDescent="0.25">
      <c r="A50" s="207"/>
      <c r="B50" s="218"/>
      <c r="C50" s="89" t="s">
        <v>72</v>
      </c>
      <c r="D50" s="90" t="s">
        <v>10</v>
      </c>
      <c r="E50" s="91">
        <f>(F50/0.6+E49)*2</f>
        <v>270.23333333333335</v>
      </c>
      <c r="F50" s="92">
        <f>F49</f>
        <v>67.27000000000001</v>
      </c>
      <c r="G50" s="93">
        <f>P50</f>
        <v>3.9195000000000002</v>
      </c>
      <c r="H50" s="94">
        <f>E50*G50</f>
        <v>1059.1795500000001</v>
      </c>
      <c r="I50" s="40"/>
      <c r="J50" s="40"/>
      <c r="K50" s="40"/>
      <c r="L50" s="40"/>
      <c r="M50" s="44">
        <v>10</v>
      </c>
      <c r="N50">
        <v>335</v>
      </c>
      <c r="O50">
        <v>150</v>
      </c>
      <c r="P50">
        <f>M50*O50*N50*7800/1000000000</f>
        <v>3.9195000000000002</v>
      </c>
    </row>
    <row r="51" spans="1:16" x14ac:dyDescent="0.2">
      <c r="A51" s="207"/>
      <c r="B51" s="217" t="s">
        <v>70</v>
      </c>
      <c r="C51" s="68" t="s">
        <v>67</v>
      </c>
      <c r="D51" s="88" t="s">
        <v>10</v>
      </c>
      <c r="E51" s="59">
        <f>6</f>
        <v>6</v>
      </c>
      <c r="F51" s="58">
        <f>47.1</f>
        <v>47.1</v>
      </c>
      <c r="G51" s="60">
        <v>155</v>
      </c>
      <c r="H51" s="71">
        <f>F51*G51</f>
        <v>7300.5</v>
      </c>
      <c r="I51" s="40"/>
      <c r="J51" s="40"/>
      <c r="K51" s="40"/>
      <c r="L51" s="40"/>
      <c r="M51" s="11"/>
    </row>
    <row r="52" spans="1:16" ht="26.25" thickBot="1" x14ac:dyDescent="0.25">
      <c r="A52" s="207"/>
      <c r="B52" s="218"/>
      <c r="C52" s="89" t="s">
        <v>73</v>
      </c>
      <c r="D52" s="90" t="s">
        <v>10</v>
      </c>
      <c r="E52" s="91">
        <f>(F52/0.6+E51)*2</f>
        <v>169</v>
      </c>
      <c r="F52" s="92">
        <f>F51</f>
        <v>47.1</v>
      </c>
      <c r="G52" s="93">
        <f>P52</f>
        <v>7.2891000000000004</v>
      </c>
      <c r="H52" s="94">
        <f>E52*G52</f>
        <v>1231.8579</v>
      </c>
      <c r="I52" s="40"/>
      <c r="J52" s="40"/>
      <c r="K52" s="40"/>
      <c r="L52" s="40"/>
      <c r="M52" s="44">
        <v>14</v>
      </c>
      <c r="N52">
        <v>445</v>
      </c>
      <c r="O52">
        <v>150</v>
      </c>
      <c r="P52">
        <f>M52*O52*N52*7800/1000000000</f>
        <v>7.2891000000000004</v>
      </c>
    </row>
    <row r="53" spans="1:16" x14ac:dyDescent="0.2">
      <c r="A53" s="207"/>
      <c r="B53" s="217" t="s">
        <v>71</v>
      </c>
      <c r="C53" s="68" t="s">
        <v>68</v>
      </c>
      <c r="D53" s="88" t="s">
        <v>10</v>
      </c>
      <c r="E53" s="59">
        <f>2</f>
        <v>2</v>
      </c>
      <c r="F53" s="58">
        <f>8.7</f>
        <v>8.6999999999999993</v>
      </c>
      <c r="G53" s="60">
        <v>166</v>
      </c>
      <c r="H53" s="71">
        <f>F53*G53</f>
        <v>1444.1999999999998</v>
      </c>
      <c r="I53" s="40"/>
      <c r="J53" s="40"/>
      <c r="K53" s="40"/>
      <c r="L53" s="40"/>
      <c r="M53" s="11"/>
    </row>
    <row r="54" spans="1:16" ht="26.25" thickBot="1" x14ac:dyDescent="0.25">
      <c r="A54" s="208"/>
      <c r="B54" s="218"/>
      <c r="C54" s="89" t="s">
        <v>75</v>
      </c>
      <c r="D54" s="90" t="s">
        <v>10</v>
      </c>
      <c r="E54" s="91">
        <f>(F54/0.6+E53)*2</f>
        <v>33</v>
      </c>
      <c r="F54" s="92">
        <f>F53</f>
        <v>8.6999999999999993</v>
      </c>
      <c r="G54" s="93">
        <f>P54</f>
        <v>8.0261999999999993</v>
      </c>
      <c r="H54" s="94">
        <f>E54*G54</f>
        <v>264.8646</v>
      </c>
      <c r="I54" s="40"/>
      <c r="J54" s="40"/>
      <c r="K54" s="40"/>
      <c r="L54" s="40"/>
      <c r="M54" s="44">
        <v>14</v>
      </c>
      <c r="N54">
        <v>490</v>
      </c>
      <c r="O54">
        <v>150</v>
      </c>
      <c r="P54">
        <f>M54*O54*N54*7800/1000000000</f>
        <v>8.0261999999999993</v>
      </c>
    </row>
    <row r="55" spans="1:16" ht="13.5" thickBot="1" x14ac:dyDescent="0.25">
      <c r="A55" s="161" t="s">
        <v>106</v>
      </c>
      <c r="B55" s="162" t="s">
        <v>77</v>
      </c>
      <c r="C55" s="136" t="s">
        <v>81</v>
      </c>
      <c r="D55" s="162" t="s">
        <v>45</v>
      </c>
      <c r="E55" s="138">
        <v>11</v>
      </c>
      <c r="F55" s="136">
        <v>124.46</v>
      </c>
      <c r="G55" s="140">
        <v>125</v>
      </c>
      <c r="H55" s="140">
        <f>F55*G55</f>
        <v>15557.5</v>
      </c>
      <c r="I55" s="40"/>
      <c r="J55" s="40"/>
      <c r="K55" s="40"/>
      <c r="L55" s="40"/>
    </row>
    <row r="56" spans="1:16" ht="13.5" thickBot="1" x14ac:dyDescent="0.25">
      <c r="A56" s="206" t="s">
        <v>107</v>
      </c>
      <c r="B56" s="95" t="s">
        <v>78</v>
      </c>
      <c r="C56" s="81" t="s">
        <v>46</v>
      </c>
      <c r="D56" s="95" t="s">
        <v>10</v>
      </c>
      <c r="E56" s="83">
        <f>17</f>
        <v>17</v>
      </c>
      <c r="F56" s="81">
        <f>133.97</f>
        <v>133.97</v>
      </c>
      <c r="G56" s="85">
        <v>97.6</v>
      </c>
      <c r="H56" s="85">
        <f>F56*G56</f>
        <v>13075.472</v>
      </c>
      <c r="I56" s="40"/>
      <c r="J56" s="40"/>
      <c r="K56" s="40"/>
      <c r="L56" s="40"/>
    </row>
    <row r="57" spans="1:16" ht="13.5" thickBot="1" x14ac:dyDescent="0.25">
      <c r="A57" s="208"/>
      <c r="B57" s="95" t="s">
        <v>79</v>
      </c>
      <c r="C57" s="81" t="s">
        <v>82</v>
      </c>
      <c r="D57" s="81" t="s">
        <v>10</v>
      </c>
      <c r="E57" s="83">
        <f>4+9</f>
        <v>13</v>
      </c>
      <c r="F57" s="81">
        <f>33.94+48.94</f>
        <v>82.88</v>
      </c>
      <c r="G57" s="85">
        <v>76.400000000000006</v>
      </c>
      <c r="H57" s="85">
        <f>F57*G57</f>
        <v>6332.0320000000002</v>
      </c>
      <c r="I57" s="40"/>
      <c r="J57" s="40"/>
      <c r="K57" s="40"/>
      <c r="L57" s="40"/>
    </row>
    <row r="58" spans="1:16" ht="13.5" thickBot="1" x14ac:dyDescent="0.25">
      <c r="A58" s="212" t="s">
        <v>84</v>
      </c>
      <c r="B58" s="125" t="s">
        <v>85</v>
      </c>
      <c r="C58" s="126" t="s">
        <v>102</v>
      </c>
      <c r="D58" s="125" t="s">
        <v>13</v>
      </c>
      <c r="E58" s="127">
        <f>108+26</f>
        <v>134</v>
      </c>
      <c r="F58" s="126">
        <f>597.8+147.04</f>
        <v>744.83999999999992</v>
      </c>
      <c r="G58" s="128">
        <v>7.13</v>
      </c>
      <c r="H58" s="128">
        <f>F58*G58</f>
        <v>5310.7091999999993</v>
      </c>
      <c r="I58" s="40"/>
      <c r="J58" s="40"/>
      <c r="K58" s="40"/>
      <c r="L58" s="40"/>
    </row>
    <row r="59" spans="1:16" ht="13.5" thickBot="1" x14ac:dyDescent="0.25">
      <c r="A59" s="213"/>
      <c r="B59" s="125" t="s">
        <v>86</v>
      </c>
      <c r="C59" s="126" t="s">
        <v>102</v>
      </c>
      <c r="D59" s="126" t="s">
        <v>13</v>
      </c>
      <c r="E59" s="127">
        <v>18</v>
      </c>
      <c r="F59" s="126">
        <v>97.89</v>
      </c>
      <c r="G59" s="128">
        <v>7.13</v>
      </c>
      <c r="H59" s="128">
        <f t="shared" ref="H59:H64" si="5">F59*G59</f>
        <v>697.95569999999998</v>
      </c>
      <c r="I59" s="40"/>
      <c r="J59" s="40"/>
      <c r="K59" s="40"/>
      <c r="L59" s="40"/>
    </row>
    <row r="60" spans="1:16" ht="13.5" thickBot="1" x14ac:dyDescent="0.25">
      <c r="A60" s="209" t="s">
        <v>108</v>
      </c>
      <c r="B60" s="125" t="s">
        <v>87</v>
      </c>
      <c r="C60" s="126" t="s">
        <v>102</v>
      </c>
      <c r="D60" s="126" t="s">
        <v>13</v>
      </c>
      <c r="E60" s="127">
        <v>39</v>
      </c>
      <c r="F60" s="126">
        <v>218.36</v>
      </c>
      <c r="G60" s="128">
        <v>7.13</v>
      </c>
      <c r="H60" s="128">
        <f t="shared" si="5"/>
        <v>1556.9068</v>
      </c>
      <c r="I60" s="40"/>
      <c r="J60" s="40"/>
      <c r="K60" s="40"/>
      <c r="L60" s="40"/>
    </row>
    <row r="61" spans="1:16" ht="13.5" thickBot="1" x14ac:dyDescent="0.25">
      <c r="A61" s="210"/>
      <c r="B61" s="125" t="s">
        <v>88</v>
      </c>
      <c r="C61" s="126" t="s">
        <v>102</v>
      </c>
      <c r="D61" s="126" t="s">
        <v>13</v>
      </c>
      <c r="E61" s="127">
        <f>10+8+30</f>
        <v>48</v>
      </c>
      <c r="F61" s="126">
        <f>56.5+43.07+166.97</f>
        <v>266.53999999999996</v>
      </c>
      <c r="G61" s="128">
        <v>7.13</v>
      </c>
      <c r="H61" s="128">
        <f t="shared" si="5"/>
        <v>1900.4301999999998</v>
      </c>
      <c r="I61" s="40"/>
      <c r="J61" s="40"/>
      <c r="K61" s="40"/>
      <c r="L61" s="40"/>
    </row>
    <row r="62" spans="1:16" ht="13.5" thickBot="1" x14ac:dyDescent="0.25">
      <c r="A62" s="210"/>
      <c r="B62" s="125" t="s">
        <v>89</v>
      </c>
      <c r="C62" s="126" t="s">
        <v>102</v>
      </c>
      <c r="D62" s="126" t="s">
        <v>13</v>
      </c>
      <c r="E62" s="127">
        <f>12+98</f>
        <v>110</v>
      </c>
      <c r="F62" s="126">
        <f>52.53+490.17</f>
        <v>542.70000000000005</v>
      </c>
      <c r="G62" s="128">
        <v>7.13</v>
      </c>
      <c r="H62" s="128">
        <f t="shared" si="5"/>
        <v>3869.4510000000005</v>
      </c>
      <c r="I62" s="40"/>
      <c r="J62" s="40"/>
      <c r="K62" s="40"/>
      <c r="L62" s="40"/>
    </row>
    <row r="63" spans="1:16" ht="13.5" thickBot="1" x14ac:dyDescent="0.25">
      <c r="A63" s="211"/>
      <c r="B63" s="125" t="s">
        <v>90</v>
      </c>
      <c r="C63" s="126" t="s">
        <v>103</v>
      </c>
      <c r="D63" s="126" t="s">
        <v>13</v>
      </c>
      <c r="E63" s="127">
        <f>1+22+1</f>
        <v>24</v>
      </c>
      <c r="F63" s="126">
        <f>8+173.54+8.98</f>
        <v>190.51999999999998</v>
      </c>
      <c r="G63" s="128">
        <v>14.35</v>
      </c>
      <c r="H63" s="128">
        <f t="shared" si="5"/>
        <v>2733.9619999999995</v>
      </c>
      <c r="I63" s="40"/>
      <c r="J63" s="40"/>
      <c r="K63" s="40"/>
      <c r="L63" s="40"/>
    </row>
    <row r="64" spans="1:16" ht="13.5" thickBot="1" x14ac:dyDescent="0.25">
      <c r="A64" s="214"/>
      <c r="B64" s="125" t="s">
        <v>91</v>
      </c>
      <c r="C64" s="126" t="s">
        <v>104</v>
      </c>
      <c r="D64" s="126" t="s">
        <v>13</v>
      </c>
      <c r="E64" s="127">
        <v>2</v>
      </c>
      <c r="F64" s="126">
        <v>4</v>
      </c>
      <c r="G64" s="128">
        <v>3.33</v>
      </c>
      <c r="H64" s="128">
        <f t="shared" si="5"/>
        <v>13.32</v>
      </c>
      <c r="I64" s="40"/>
      <c r="J64" s="40"/>
      <c r="K64" s="40"/>
      <c r="L64" s="40"/>
    </row>
    <row r="65" spans="1:16" ht="13.5" thickBot="1" x14ac:dyDescent="0.25">
      <c r="A65" s="215"/>
      <c r="B65" s="125" t="s">
        <v>92</v>
      </c>
      <c r="C65" s="126" t="s">
        <v>105</v>
      </c>
      <c r="D65" s="126" t="s">
        <v>13</v>
      </c>
      <c r="E65" s="127">
        <f>7+8</f>
        <v>15</v>
      </c>
      <c r="F65" s="126">
        <f>28.42+33.15</f>
        <v>61.57</v>
      </c>
      <c r="G65" s="128">
        <v>12.25</v>
      </c>
      <c r="H65" s="128">
        <f>F65*G65</f>
        <v>754.23249999999996</v>
      </c>
      <c r="I65" s="40"/>
      <c r="J65" s="40"/>
      <c r="K65" s="40"/>
      <c r="L65" s="40"/>
      <c r="M65" s="11"/>
    </row>
    <row r="66" spans="1:16" ht="13.5" thickBot="1" x14ac:dyDescent="0.25">
      <c r="A66" s="215"/>
      <c r="B66" s="125"/>
      <c r="C66" s="129" t="s">
        <v>111</v>
      </c>
      <c r="D66" s="126" t="s">
        <v>13</v>
      </c>
      <c r="E66" s="127">
        <v>1</v>
      </c>
      <c r="F66" s="126" t="s">
        <v>49</v>
      </c>
      <c r="G66" s="128">
        <f>P66</f>
        <v>1422.72</v>
      </c>
      <c r="H66" s="128">
        <f>E66*G66</f>
        <v>1422.72</v>
      </c>
      <c r="I66" s="40"/>
      <c r="J66" s="40"/>
      <c r="K66" s="40"/>
      <c r="L66" s="40"/>
      <c r="M66" s="44">
        <v>4</v>
      </c>
      <c r="N66">
        <v>3800</v>
      </c>
      <c r="O66">
        <v>12000</v>
      </c>
      <c r="P66">
        <f>M66*O66*N66*7800/1000000000</f>
        <v>1422.72</v>
      </c>
    </row>
    <row r="67" spans="1:16" ht="13.5" thickBot="1" x14ac:dyDescent="0.25">
      <c r="A67" s="216"/>
      <c r="B67" s="126"/>
      <c r="C67" s="129" t="s">
        <v>112</v>
      </c>
      <c r="D67" s="126" t="s">
        <v>13</v>
      </c>
      <c r="E67" s="127">
        <v>10</v>
      </c>
      <c r="F67" s="126" t="s">
        <v>49</v>
      </c>
      <c r="G67" s="128">
        <f>P67</f>
        <v>39.1248</v>
      </c>
      <c r="H67" s="128">
        <f>E67*G67</f>
        <v>391.24799999999999</v>
      </c>
      <c r="I67" s="40"/>
      <c r="J67" s="40"/>
      <c r="K67" s="40"/>
      <c r="L67" s="40"/>
      <c r="M67" s="44">
        <v>6</v>
      </c>
      <c r="N67">
        <v>220</v>
      </c>
      <c r="O67">
        <v>3800</v>
      </c>
      <c r="P67">
        <f>M67*O67*N67*7800/1000000000</f>
        <v>39.1248</v>
      </c>
    </row>
    <row r="68" spans="1:16" x14ac:dyDescent="0.2">
      <c r="A68" s="29"/>
      <c r="B68" s="29"/>
      <c r="C68" s="29"/>
      <c r="D68" s="29"/>
      <c r="E68" s="49"/>
      <c r="F68" s="29"/>
      <c r="G68" s="40"/>
      <c r="H68" s="40"/>
      <c r="I68" s="40"/>
      <c r="J68" s="40"/>
      <c r="K68" s="40"/>
      <c r="L68" s="40"/>
      <c r="M68" s="11"/>
    </row>
    <row r="69" spans="1:16" ht="13.5" thickBot="1" x14ac:dyDescent="0.25">
      <c r="A69" s="30" t="s">
        <v>113</v>
      </c>
      <c r="B69" s="29"/>
      <c r="C69" s="29"/>
      <c r="D69" s="29"/>
      <c r="E69" s="49"/>
      <c r="F69" s="29"/>
      <c r="G69" s="40"/>
      <c r="H69" s="40"/>
      <c r="I69" s="40"/>
      <c r="J69" s="40"/>
      <c r="K69" s="40"/>
      <c r="L69" s="40"/>
      <c r="M69" s="11"/>
    </row>
    <row r="70" spans="1:16" ht="26.25" thickBot="1" x14ac:dyDescent="0.25">
      <c r="A70" s="31"/>
      <c r="B70" s="23" t="s">
        <v>26</v>
      </c>
      <c r="C70" s="22" t="s">
        <v>23</v>
      </c>
      <c r="D70" s="24" t="s">
        <v>9</v>
      </c>
      <c r="E70" s="48" t="s">
        <v>110</v>
      </c>
      <c r="F70" s="25" t="s">
        <v>52</v>
      </c>
      <c r="G70" s="37" t="s">
        <v>51</v>
      </c>
      <c r="H70" s="38" t="s">
        <v>22</v>
      </c>
      <c r="I70" s="42"/>
      <c r="J70" s="42"/>
      <c r="K70" s="42"/>
      <c r="L70" s="42"/>
      <c r="M70" s="11"/>
    </row>
    <row r="71" spans="1:16" ht="13.5" thickBot="1" x14ac:dyDescent="0.25">
      <c r="A71" s="163"/>
      <c r="B71" s="126" t="s">
        <v>80</v>
      </c>
      <c r="C71" s="126" t="s">
        <v>83</v>
      </c>
      <c r="D71" s="126" t="s">
        <v>13</v>
      </c>
      <c r="E71" s="127">
        <f>125+97</f>
        <v>222</v>
      </c>
      <c r="F71" s="126">
        <v>762.99</v>
      </c>
      <c r="G71" s="128">
        <v>36.06</v>
      </c>
      <c r="H71" s="128">
        <f>F71*G71</f>
        <v>27513.419400000002</v>
      </c>
      <c r="I71" s="40"/>
      <c r="J71" s="40"/>
      <c r="K71" s="40"/>
      <c r="L71" s="40"/>
    </row>
    <row r="73" spans="1:16" ht="13.5" thickBot="1" x14ac:dyDescent="0.25">
      <c r="A73" s="17" t="s">
        <v>93</v>
      </c>
    </row>
    <row r="74" spans="1:16" ht="26.25" thickBot="1" x14ac:dyDescent="0.25">
      <c r="A74" s="18" t="s">
        <v>115</v>
      </c>
      <c r="B74" s="32" t="s">
        <v>110</v>
      </c>
      <c r="C74" s="18" t="s">
        <v>23</v>
      </c>
      <c r="D74" s="33" t="s">
        <v>9</v>
      </c>
      <c r="E74" s="50" t="s">
        <v>131</v>
      </c>
      <c r="F74" s="34" t="s">
        <v>114</v>
      </c>
      <c r="G74" s="37" t="s">
        <v>126</v>
      </c>
      <c r="H74" s="41" t="s">
        <v>22</v>
      </c>
      <c r="I74" s="42"/>
      <c r="J74" s="42"/>
      <c r="K74" s="42"/>
      <c r="L74" s="42"/>
      <c r="M74" s="11"/>
    </row>
    <row r="75" spans="1:16" x14ac:dyDescent="0.2">
      <c r="A75" s="203" t="s">
        <v>116</v>
      </c>
      <c r="B75" s="201">
        <v>1</v>
      </c>
      <c r="C75" s="69" t="s">
        <v>39</v>
      </c>
      <c r="D75" s="70" t="s">
        <v>10</v>
      </c>
      <c r="E75" s="59">
        <f>1</f>
        <v>1</v>
      </c>
      <c r="F75" s="68">
        <v>16</v>
      </c>
      <c r="G75" s="60">
        <f>P75</f>
        <v>45.24</v>
      </c>
      <c r="H75" s="60">
        <f>F75*G75*E75*$B$75</f>
        <v>723.84</v>
      </c>
      <c r="I75" s="40"/>
      <c r="J75" s="40"/>
      <c r="K75" s="40"/>
      <c r="L75" s="40"/>
      <c r="M75" s="11"/>
      <c r="N75">
        <v>20</v>
      </c>
      <c r="O75">
        <v>290</v>
      </c>
      <c r="P75">
        <f>O75*N75*7800/1000000</f>
        <v>45.24</v>
      </c>
    </row>
    <row r="76" spans="1:16" x14ac:dyDescent="0.2">
      <c r="A76" s="204"/>
      <c r="B76" s="202"/>
      <c r="C76" s="72" t="s">
        <v>56</v>
      </c>
      <c r="D76" s="73" t="s">
        <v>10</v>
      </c>
      <c r="E76" s="74">
        <f>E75*2</f>
        <v>2</v>
      </c>
      <c r="F76" s="75">
        <f>F75</f>
        <v>16</v>
      </c>
      <c r="G76" s="76">
        <f>P76</f>
        <v>12.48</v>
      </c>
      <c r="H76" s="76">
        <f t="shared" ref="H76:H82" si="6">F76*G76*E76*$B$75</f>
        <v>399.36</v>
      </c>
      <c r="I76" s="40"/>
      <c r="J76" s="40"/>
      <c r="K76" s="40"/>
      <c r="L76" s="40"/>
      <c r="M76" s="11"/>
      <c r="N76">
        <v>5</v>
      </c>
      <c r="O76">
        <v>320</v>
      </c>
      <c r="P76">
        <f t="shared" ref="P76:P78" si="7">O76*N76*7800/1000000</f>
        <v>12.48</v>
      </c>
    </row>
    <row r="77" spans="1:16" x14ac:dyDescent="0.2">
      <c r="A77" s="204"/>
      <c r="B77" s="202"/>
      <c r="C77" s="72" t="s">
        <v>40</v>
      </c>
      <c r="D77" s="73" t="s">
        <v>10</v>
      </c>
      <c r="E77" s="78">
        <f>E75</f>
        <v>1</v>
      </c>
      <c r="F77" s="79">
        <f>F75</f>
        <v>16</v>
      </c>
      <c r="G77" s="76">
        <f>P77</f>
        <v>51.48</v>
      </c>
      <c r="H77" s="76">
        <f t="shared" si="6"/>
        <v>823.68</v>
      </c>
      <c r="I77" s="40"/>
      <c r="J77" s="40"/>
      <c r="K77" s="40"/>
      <c r="L77" s="40"/>
      <c r="M77" s="11"/>
      <c r="N77">
        <v>12</v>
      </c>
      <c r="O77">
        <v>550</v>
      </c>
      <c r="P77">
        <f t="shared" si="7"/>
        <v>51.48</v>
      </c>
    </row>
    <row r="78" spans="1:16" ht="13.5" thickBot="1" x14ac:dyDescent="0.25">
      <c r="A78" s="204"/>
      <c r="B78" s="202"/>
      <c r="C78" s="130" t="s">
        <v>57</v>
      </c>
      <c r="D78" s="131" t="s">
        <v>13</v>
      </c>
      <c r="E78" s="132">
        <f>E75*2</f>
        <v>2</v>
      </c>
      <c r="F78" s="133">
        <f>F76</f>
        <v>16</v>
      </c>
      <c r="G78" s="134">
        <f>P78</f>
        <v>9.36</v>
      </c>
      <c r="H78" s="116">
        <f t="shared" si="6"/>
        <v>299.52</v>
      </c>
      <c r="I78" s="40"/>
      <c r="J78" s="40"/>
      <c r="K78" s="40"/>
      <c r="L78" s="40"/>
      <c r="M78" s="11"/>
      <c r="N78">
        <v>6</v>
      </c>
      <c r="O78">
        <v>200</v>
      </c>
      <c r="P78">
        <f t="shared" si="7"/>
        <v>9.36</v>
      </c>
    </row>
    <row r="79" spans="1:16" x14ac:dyDescent="0.2">
      <c r="A79" s="204"/>
      <c r="B79" s="202"/>
      <c r="C79" s="69" t="s">
        <v>120</v>
      </c>
      <c r="D79" s="57" t="s">
        <v>10</v>
      </c>
      <c r="E79" s="59">
        <v>2</v>
      </c>
      <c r="F79" s="68">
        <v>2.5099999999999998</v>
      </c>
      <c r="G79" s="60">
        <v>58.31</v>
      </c>
      <c r="H79" s="96">
        <f t="shared" si="6"/>
        <v>292.71620000000001</v>
      </c>
      <c r="I79" s="40"/>
      <c r="J79" s="40"/>
      <c r="K79" s="40"/>
      <c r="L79" s="40"/>
      <c r="M79" s="11"/>
    </row>
    <row r="80" spans="1:16" x14ac:dyDescent="0.2">
      <c r="A80" s="204"/>
      <c r="B80" s="202"/>
      <c r="C80" s="72" t="s">
        <v>119</v>
      </c>
      <c r="D80" s="97" t="s">
        <v>10</v>
      </c>
      <c r="E80" s="78">
        <v>1</v>
      </c>
      <c r="F80" s="98">
        <v>14.56</v>
      </c>
      <c r="G80" s="76">
        <v>74.010000000000005</v>
      </c>
      <c r="H80" s="76">
        <f t="shared" si="6"/>
        <v>1077.5856000000001</v>
      </c>
      <c r="I80" s="40"/>
      <c r="J80" s="40"/>
      <c r="K80" s="40"/>
      <c r="L80" s="40"/>
      <c r="M80" s="11"/>
    </row>
    <row r="81" spans="1:13" x14ac:dyDescent="0.2">
      <c r="A81" s="204"/>
      <c r="B81" s="202"/>
      <c r="C81" s="72" t="s">
        <v>118</v>
      </c>
      <c r="D81" s="97" t="s">
        <v>10</v>
      </c>
      <c r="E81" s="78">
        <v>6</v>
      </c>
      <c r="F81" s="98">
        <v>2.5099999999999998</v>
      </c>
      <c r="G81" s="76">
        <v>37.32</v>
      </c>
      <c r="H81" s="76">
        <f t="shared" si="6"/>
        <v>562.03919999999994</v>
      </c>
      <c r="I81" s="40"/>
      <c r="J81" s="40"/>
      <c r="K81" s="40"/>
      <c r="L81" s="40"/>
      <c r="M81" s="11"/>
    </row>
    <row r="82" spans="1:13" ht="13.5" thickBot="1" x14ac:dyDescent="0.25">
      <c r="A82" s="205"/>
      <c r="B82" s="202"/>
      <c r="C82" s="99" t="s">
        <v>117</v>
      </c>
      <c r="D82" s="100" t="s">
        <v>10</v>
      </c>
      <c r="E82" s="101">
        <v>5</v>
      </c>
      <c r="F82" s="102">
        <v>1.6</v>
      </c>
      <c r="G82" s="103">
        <v>28.53</v>
      </c>
      <c r="H82" s="103">
        <f t="shared" si="6"/>
        <v>228.24</v>
      </c>
      <c r="I82" s="40"/>
      <c r="J82" s="40"/>
      <c r="K82" s="40"/>
      <c r="L82" s="40"/>
      <c r="M82" s="11"/>
    </row>
    <row r="83" spans="1:13" x14ac:dyDescent="0.2">
      <c r="A83" s="193" t="s">
        <v>94</v>
      </c>
      <c r="B83" s="196">
        <v>5</v>
      </c>
      <c r="C83" s="69" t="s">
        <v>121</v>
      </c>
      <c r="D83" s="68" t="s">
        <v>10</v>
      </c>
      <c r="E83" s="59">
        <v>1</v>
      </c>
      <c r="F83" s="68">
        <v>11.32</v>
      </c>
      <c r="G83" s="60">
        <v>24.76</v>
      </c>
      <c r="H83" s="60">
        <f>F83*G83*E83*$B$83</f>
        <v>1401.4160000000002</v>
      </c>
    </row>
    <row r="84" spans="1:13" x14ac:dyDescent="0.2">
      <c r="A84" s="194"/>
      <c r="B84" s="197"/>
      <c r="C84" s="72" t="s">
        <v>122</v>
      </c>
      <c r="D84" s="98" t="s">
        <v>10</v>
      </c>
      <c r="E84" s="78">
        <v>1</v>
      </c>
      <c r="F84" s="98">
        <v>7.2</v>
      </c>
      <c r="G84" s="76">
        <v>20.99</v>
      </c>
      <c r="H84" s="76">
        <f t="shared" ref="H84:H87" si="8">F84*G84*E84*$B$83</f>
        <v>755.63999999999987</v>
      </c>
      <c r="M84" s="11"/>
    </row>
    <row r="85" spans="1:13" x14ac:dyDescent="0.2">
      <c r="A85" s="194"/>
      <c r="B85" s="197"/>
      <c r="C85" s="72" t="s">
        <v>122</v>
      </c>
      <c r="D85" s="98" t="s">
        <v>10</v>
      </c>
      <c r="E85" s="78">
        <v>2</v>
      </c>
      <c r="F85" s="98">
        <v>2.2799999999999998</v>
      </c>
      <c r="G85" s="76">
        <v>20.99</v>
      </c>
      <c r="H85" s="76">
        <f t="shared" si="8"/>
        <v>478.57199999999989</v>
      </c>
      <c r="M85" s="11"/>
    </row>
    <row r="86" spans="1:13" x14ac:dyDescent="0.2">
      <c r="A86" s="194"/>
      <c r="B86" s="197"/>
      <c r="C86" s="72" t="s">
        <v>125</v>
      </c>
      <c r="D86" s="98" t="s">
        <v>10</v>
      </c>
      <c r="E86" s="78">
        <v>5</v>
      </c>
      <c r="F86" s="98">
        <v>1.4</v>
      </c>
      <c r="G86" s="76">
        <v>9.33</v>
      </c>
      <c r="H86" s="76">
        <f t="shared" si="8"/>
        <v>326.55</v>
      </c>
      <c r="M86" s="11"/>
    </row>
    <row r="87" spans="1:13" ht="13.5" thickBot="1" x14ac:dyDescent="0.25">
      <c r="A87" s="195"/>
      <c r="B87" s="198"/>
      <c r="C87" s="104" t="s">
        <v>125</v>
      </c>
      <c r="D87" s="105" t="s">
        <v>10</v>
      </c>
      <c r="E87" s="91">
        <v>4</v>
      </c>
      <c r="F87" s="105">
        <v>2.2799999999999998</v>
      </c>
      <c r="G87" s="106">
        <v>9.33</v>
      </c>
      <c r="H87" s="106">
        <f t="shared" si="8"/>
        <v>425.44799999999998</v>
      </c>
      <c r="M87" s="11"/>
    </row>
    <row r="88" spans="1:13" x14ac:dyDescent="0.2">
      <c r="A88" s="193" t="s">
        <v>95</v>
      </c>
      <c r="B88" s="196">
        <v>15</v>
      </c>
      <c r="C88" s="69" t="s">
        <v>120</v>
      </c>
      <c r="D88" s="68" t="s">
        <v>10</v>
      </c>
      <c r="E88" s="59">
        <v>1</v>
      </c>
      <c r="F88" s="68">
        <v>11.32</v>
      </c>
      <c r="G88" s="60">
        <v>58.31</v>
      </c>
      <c r="H88" s="60">
        <f>F88*G88*E88*$B$88</f>
        <v>9901.0380000000005</v>
      </c>
    </row>
    <row r="89" spans="1:13" x14ac:dyDescent="0.2">
      <c r="A89" s="194"/>
      <c r="B89" s="197"/>
      <c r="C89" s="72" t="s">
        <v>123</v>
      </c>
      <c r="D89" s="98" t="s">
        <v>10</v>
      </c>
      <c r="E89" s="78">
        <v>1</v>
      </c>
      <c r="F89" s="98">
        <v>7.2</v>
      </c>
      <c r="G89" s="76">
        <v>42.34</v>
      </c>
      <c r="H89" s="76">
        <f>F89*G89*E89*$B$88</f>
        <v>4572.72</v>
      </c>
      <c r="M89" s="11"/>
    </row>
    <row r="90" spans="1:13" x14ac:dyDescent="0.2">
      <c r="A90" s="194"/>
      <c r="B90" s="197"/>
      <c r="C90" s="72" t="s">
        <v>123</v>
      </c>
      <c r="D90" s="98" t="s">
        <v>10</v>
      </c>
      <c r="E90" s="78">
        <v>2</v>
      </c>
      <c r="F90" s="98">
        <v>2.2799999999999998</v>
      </c>
      <c r="G90" s="76">
        <v>42.34</v>
      </c>
      <c r="H90" s="76">
        <f t="shared" ref="H90:H92" si="9">F90*G90*E90*$B$88</f>
        <v>2896.056</v>
      </c>
      <c r="M90" s="11"/>
    </row>
    <row r="91" spans="1:13" x14ac:dyDescent="0.2">
      <c r="A91" s="194"/>
      <c r="B91" s="197"/>
      <c r="C91" s="72" t="s">
        <v>124</v>
      </c>
      <c r="D91" s="98" t="s">
        <v>10</v>
      </c>
      <c r="E91" s="78">
        <v>5</v>
      </c>
      <c r="F91" s="98">
        <v>1.4</v>
      </c>
      <c r="G91" s="76">
        <v>17.72</v>
      </c>
      <c r="H91" s="76">
        <f t="shared" si="9"/>
        <v>1860.5999999999997</v>
      </c>
      <c r="M91" s="11"/>
    </row>
    <row r="92" spans="1:13" ht="13.5" thickBot="1" x14ac:dyDescent="0.25">
      <c r="A92" s="195"/>
      <c r="B92" s="198"/>
      <c r="C92" s="104" t="s">
        <v>124</v>
      </c>
      <c r="D92" s="105" t="s">
        <v>10</v>
      </c>
      <c r="E92" s="91">
        <v>4</v>
      </c>
      <c r="F92" s="105">
        <v>2.2799999999999998</v>
      </c>
      <c r="G92" s="106">
        <v>17.72</v>
      </c>
      <c r="H92" s="106">
        <f t="shared" si="9"/>
        <v>2424.0959999999995</v>
      </c>
      <c r="M92" s="11"/>
    </row>
    <row r="93" spans="1:13" x14ac:dyDescent="0.2">
      <c r="A93" s="193" t="s">
        <v>127</v>
      </c>
      <c r="B93" s="196">
        <v>1</v>
      </c>
      <c r="C93" s="69" t="s">
        <v>120</v>
      </c>
      <c r="D93" s="68" t="s">
        <v>10</v>
      </c>
      <c r="E93" s="59">
        <v>1</v>
      </c>
      <c r="F93" s="68">
        <v>10.039999999999999</v>
      </c>
      <c r="G93" s="60">
        <v>58.31</v>
      </c>
      <c r="H93" s="60">
        <f t="shared" ref="H93:H94" si="10">F93*G93*E93*$B$93</f>
        <v>585.43240000000003</v>
      </c>
      <c r="M93" s="11"/>
    </row>
    <row r="94" spans="1:13" x14ac:dyDescent="0.2">
      <c r="A94" s="194"/>
      <c r="B94" s="197"/>
      <c r="C94" s="72" t="s">
        <v>123</v>
      </c>
      <c r="D94" s="98" t="s">
        <v>10</v>
      </c>
      <c r="E94" s="78">
        <v>1</v>
      </c>
      <c r="F94" s="98">
        <v>6.69</v>
      </c>
      <c r="G94" s="76">
        <v>42.34</v>
      </c>
      <c r="H94" s="76">
        <f t="shared" si="10"/>
        <v>283.25460000000004</v>
      </c>
      <c r="M94" s="11"/>
    </row>
    <row r="95" spans="1:13" x14ac:dyDescent="0.2">
      <c r="A95" s="194"/>
      <c r="B95" s="197"/>
      <c r="C95" s="72" t="s">
        <v>123</v>
      </c>
      <c r="D95" s="98" t="s">
        <v>10</v>
      </c>
      <c r="E95" s="78">
        <v>2</v>
      </c>
      <c r="F95" s="98">
        <v>2.1800000000000002</v>
      </c>
      <c r="G95" s="76">
        <v>42.34</v>
      </c>
      <c r="H95" s="76">
        <f>F95*G95*E95*$B$93</f>
        <v>184.60240000000002</v>
      </c>
      <c r="M95" s="11"/>
    </row>
    <row r="96" spans="1:13" x14ac:dyDescent="0.2">
      <c r="A96" s="194"/>
      <c r="B96" s="197"/>
      <c r="C96" s="72" t="s">
        <v>124</v>
      </c>
      <c r="D96" s="98" t="s">
        <v>10</v>
      </c>
      <c r="E96" s="78">
        <v>5</v>
      </c>
      <c r="F96" s="98">
        <v>1.4</v>
      </c>
      <c r="G96" s="76">
        <v>17.72</v>
      </c>
      <c r="H96" s="76">
        <f t="shared" ref="H96:H97" si="11">F96*G96*E96*$B$93</f>
        <v>124.03999999999998</v>
      </c>
      <c r="M96" s="11"/>
    </row>
    <row r="97" spans="1:13" ht="13.5" thickBot="1" x14ac:dyDescent="0.25">
      <c r="A97" s="199"/>
      <c r="B97" s="200"/>
      <c r="C97" s="99" t="s">
        <v>124</v>
      </c>
      <c r="D97" s="102" t="s">
        <v>10</v>
      </c>
      <c r="E97" s="101">
        <v>4</v>
      </c>
      <c r="F97" s="102">
        <v>2.1800000000000002</v>
      </c>
      <c r="G97" s="103">
        <v>17.72</v>
      </c>
      <c r="H97" s="103">
        <f t="shared" si="11"/>
        <v>154.51840000000001</v>
      </c>
      <c r="M97" s="11"/>
    </row>
    <row r="98" spans="1:13" x14ac:dyDescent="0.2">
      <c r="A98" s="193" t="s">
        <v>96</v>
      </c>
      <c r="B98" s="196">
        <v>13</v>
      </c>
      <c r="C98" s="69" t="s">
        <v>117</v>
      </c>
      <c r="D98" s="68" t="s">
        <v>10</v>
      </c>
      <c r="E98" s="59">
        <v>1</v>
      </c>
      <c r="F98" s="68">
        <v>16.97</v>
      </c>
      <c r="G98" s="60">
        <v>28.53</v>
      </c>
      <c r="H98" s="60">
        <f>F98*G98*E98*$B$98</f>
        <v>6294.0032999999994</v>
      </c>
    </row>
    <row r="99" spans="1:13" x14ac:dyDescent="0.2">
      <c r="A99" s="194"/>
      <c r="B99" s="197"/>
      <c r="C99" s="72" t="s">
        <v>128</v>
      </c>
      <c r="D99" s="98" t="s">
        <v>10</v>
      </c>
      <c r="E99" s="78">
        <v>1</v>
      </c>
      <c r="F99" s="98">
        <v>13.42</v>
      </c>
      <c r="G99" s="76">
        <v>22.43</v>
      </c>
      <c r="H99" s="76">
        <f t="shared" ref="H99:H102" si="12">F99*G99*E99*$B$98</f>
        <v>3913.1378</v>
      </c>
      <c r="M99" s="11"/>
    </row>
    <row r="100" spans="1:13" x14ac:dyDescent="0.2">
      <c r="A100" s="194"/>
      <c r="B100" s="197"/>
      <c r="C100" s="72" t="s">
        <v>129</v>
      </c>
      <c r="D100" s="98" t="s">
        <v>10</v>
      </c>
      <c r="E100" s="78">
        <v>2</v>
      </c>
      <c r="F100" s="98">
        <v>2.35</v>
      </c>
      <c r="G100" s="76">
        <v>20.86</v>
      </c>
      <c r="H100" s="76">
        <f t="shared" si="12"/>
        <v>1274.546</v>
      </c>
      <c r="M100" s="11"/>
    </row>
    <row r="101" spans="1:13" x14ac:dyDescent="0.2">
      <c r="A101" s="194"/>
      <c r="B101" s="197"/>
      <c r="C101" s="72" t="s">
        <v>130</v>
      </c>
      <c r="D101" s="98" t="s">
        <v>10</v>
      </c>
      <c r="E101" s="78">
        <v>5</v>
      </c>
      <c r="F101" s="98">
        <v>1.65</v>
      </c>
      <c r="G101" s="76">
        <v>6.82</v>
      </c>
      <c r="H101" s="76">
        <f t="shared" si="12"/>
        <v>731.44500000000005</v>
      </c>
      <c r="M101" s="11"/>
    </row>
    <row r="102" spans="1:13" ht="13.5" thickBot="1" x14ac:dyDescent="0.25">
      <c r="A102" s="195"/>
      <c r="B102" s="198"/>
      <c r="C102" s="104" t="s">
        <v>125</v>
      </c>
      <c r="D102" s="105" t="s">
        <v>10</v>
      </c>
      <c r="E102" s="91">
        <v>8</v>
      </c>
      <c r="F102" s="105">
        <v>2.35</v>
      </c>
      <c r="G102" s="106">
        <v>9.33</v>
      </c>
      <c r="H102" s="106">
        <f t="shared" si="12"/>
        <v>2280.252</v>
      </c>
      <c r="M102" s="11"/>
    </row>
    <row r="103" spans="1:13" x14ac:dyDescent="0.2">
      <c r="A103" s="193" t="s">
        <v>97</v>
      </c>
      <c r="B103" s="196">
        <v>1</v>
      </c>
      <c r="C103" s="69" t="s">
        <v>117</v>
      </c>
      <c r="D103" s="68" t="s">
        <v>10</v>
      </c>
      <c r="E103" s="59">
        <v>1</v>
      </c>
      <c r="F103" s="68">
        <v>13.62</v>
      </c>
      <c r="G103" s="60">
        <v>28.53</v>
      </c>
      <c r="H103" s="60">
        <f>F103*G103*E103*$B$103</f>
        <v>388.57859999999999</v>
      </c>
      <c r="M103" s="11"/>
    </row>
    <row r="104" spans="1:13" x14ac:dyDescent="0.2">
      <c r="A104" s="194"/>
      <c r="B104" s="197"/>
      <c r="C104" s="72" t="s">
        <v>128</v>
      </c>
      <c r="D104" s="98" t="s">
        <v>10</v>
      </c>
      <c r="E104" s="78">
        <v>1</v>
      </c>
      <c r="F104" s="98">
        <v>10.9</v>
      </c>
      <c r="G104" s="76">
        <v>22.43</v>
      </c>
      <c r="H104" s="76">
        <f t="shared" ref="H104:H107" si="13">F104*G104*E104*$B$103</f>
        <v>244.48699999999999</v>
      </c>
      <c r="M104" s="11"/>
    </row>
    <row r="105" spans="1:13" x14ac:dyDescent="0.2">
      <c r="A105" s="194"/>
      <c r="B105" s="197"/>
      <c r="C105" s="72" t="s">
        <v>129</v>
      </c>
      <c r="D105" s="98" t="s">
        <v>10</v>
      </c>
      <c r="E105" s="78">
        <v>2</v>
      </c>
      <c r="F105" s="98">
        <v>2.13</v>
      </c>
      <c r="G105" s="76">
        <v>20.86</v>
      </c>
      <c r="H105" s="76">
        <f t="shared" si="13"/>
        <v>88.863599999999991</v>
      </c>
      <c r="M105" s="11"/>
    </row>
    <row r="106" spans="1:13" x14ac:dyDescent="0.2">
      <c r="A106" s="194"/>
      <c r="B106" s="197"/>
      <c r="C106" s="72" t="s">
        <v>130</v>
      </c>
      <c r="D106" s="98" t="s">
        <v>10</v>
      </c>
      <c r="E106" s="78">
        <v>5</v>
      </c>
      <c r="F106" s="98">
        <v>1.65</v>
      </c>
      <c r="G106" s="76">
        <v>6.82</v>
      </c>
      <c r="H106" s="76">
        <f t="shared" si="13"/>
        <v>56.265000000000001</v>
      </c>
      <c r="M106" s="11"/>
    </row>
    <row r="107" spans="1:13" ht="13.5" thickBot="1" x14ac:dyDescent="0.25">
      <c r="A107" s="195"/>
      <c r="B107" s="198"/>
      <c r="C107" s="104" t="s">
        <v>125</v>
      </c>
      <c r="D107" s="105" t="s">
        <v>10</v>
      </c>
      <c r="E107" s="91">
        <v>8</v>
      </c>
      <c r="F107" s="105">
        <v>2.13</v>
      </c>
      <c r="G107" s="106">
        <v>9.33</v>
      </c>
      <c r="H107" s="106">
        <f t="shared" si="13"/>
        <v>158.98319999999998</v>
      </c>
      <c r="M107" s="11"/>
    </row>
    <row r="108" spans="1:13" x14ac:dyDescent="0.2">
      <c r="A108" s="193" t="s">
        <v>98</v>
      </c>
      <c r="B108" s="196">
        <v>19</v>
      </c>
      <c r="C108" s="69" t="s">
        <v>123</v>
      </c>
      <c r="D108" s="68" t="s">
        <v>10</v>
      </c>
      <c r="E108" s="59">
        <v>1</v>
      </c>
      <c r="F108" s="68">
        <v>16.97</v>
      </c>
      <c r="G108" s="60">
        <v>42.34</v>
      </c>
      <c r="H108" s="60">
        <f>F108*G108*E108*$B$108</f>
        <v>13651.6862</v>
      </c>
    </row>
    <row r="109" spans="1:13" x14ac:dyDescent="0.2">
      <c r="A109" s="194"/>
      <c r="B109" s="197"/>
      <c r="C109" s="72" t="s">
        <v>118</v>
      </c>
      <c r="D109" s="98" t="s">
        <v>10</v>
      </c>
      <c r="E109" s="78">
        <v>1</v>
      </c>
      <c r="F109" s="98">
        <v>13.42</v>
      </c>
      <c r="G109" s="76">
        <v>37.32</v>
      </c>
      <c r="H109" s="76">
        <f t="shared" ref="H109:H112" si="14">F109*G109*E109*$B$108</f>
        <v>9515.8536000000004</v>
      </c>
      <c r="M109" s="11"/>
    </row>
    <row r="110" spans="1:13" x14ac:dyDescent="0.2">
      <c r="A110" s="194"/>
      <c r="B110" s="197"/>
      <c r="C110" s="72" t="s">
        <v>118</v>
      </c>
      <c r="D110" s="98" t="s">
        <v>10</v>
      </c>
      <c r="E110" s="78">
        <v>2</v>
      </c>
      <c r="F110" s="98">
        <v>2.35</v>
      </c>
      <c r="G110" s="76">
        <v>37.32</v>
      </c>
      <c r="H110" s="76">
        <f t="shared" si="14"/>
        <v>3332.6759999999999</v>
      </c>
      <c r="M110" s="11"/>
    </row>
    <row r="111" spans="1:13" x14ac:dyDescent="0.2">
      <c r="A111" s="194"/>
      <c r="B111" s="197"/>
      <c r="C111" s="72" t="s">
        <v>132</v>
      </c>
      <c r="D111" s="98" t="s">
        <v>10</v>
      </c>
      <c r="E111" s="78">
        <v>5</v>
      </c>
      <c r="F111" s="98">
        <v>1.65</v>
      </c>
      <c r="G111" s="76">
        <v>11.84</v>
      </c>
      <c r="H111" s="76">
        <f t="shared" si="14"/>
        <v>1855.9199999999998</v>
      </c>
      <c r="M111" s="11"/>
    </row>
    <row r="112" spans="1:13" ht="13.5" thickBot="1" x14ac:dyDescent="0.25">
      <c r="A112" s="195"/>
      <c r="B112" s="198"/>
      <c r="C112" s="104" t="s">
        <v>133</v>
      </c>
      <c r="D112" s="105" t="s">
        <v>10</v>
      </c>
      <c r="E112" s="91">
        <v>8</v>
      </c>
      <c r="F112" s="105">
        <v>2.35</v>
      </c>
      <c r="G112" s="106">
        <v>14.35</v>
      </c>
      <c r="H112" s="106">
        <f t="shared" si="14"/>
        <v>5125.8200000000006</v>
      </c>
      <c r="M112" s="11"/>
    </row>
    <row r="113" spans="1:13" x14ac:dyDescent="0.2">
      <c r="A113" s="193" t="s">
        <v>99</v>
      </c>
      <c r="B113" s="196">
        <v>2</v>
      </c>
      <c r="C113" s="69" t="s">
        <v>123</v>
      </c>
      <c r="D113" s="68" t="s">
        <v>10</v>
      </c>
      <c r="E113" s="59">
        <v>1</v>
      </c>
      <c r="F113" s="68">
        <v>15.69</v>
      </c>
      <c r="G113" s="60">
        <v>42.34</v>
      </c>
      <c r="H113" s="60">
        <f>F113*G113*E113*$B$113</f>
        <v>1328.6292000000001</v>
      </c>
      <c r="M113" s="11"/>
    </row>
    <row r="114" spans="1:13" x14ac:dyDescent="0.2">
      <c r="A114" s="194"/>
      <c r="B114" s="197"/>
      <c r="C114" s="72" t="s">
        <v>118</v>
      </c>
      <c r="D114" s="98" t="s">
        <v>10</v>
      </c>
      <c r="E114" s="78">
        <v>1</v>
      </c>
      <c r="F114" s="98">
        <v>12.55</v>
      </c>
      <c r="G114" s="76">
        <v>37.32</v>
      </c>
      <c r="H114" s="76">
        <f t="shared" ref="H114:H117" si="15">F114*G114*E114*$B$113</f>
        <v>936.73200000000008</v>
      </c>
      <c r="M114" s="11"/>
    </row>
    <row r="115" spans="1:13" x14ac:dyDescent="0.2">
      <c r="A115" s="194"/>
      <c r="B115" s="197"/>
      <c r="C115" s="72" t="s">
        <v>118</v>
      </c>
      <c r="D115" s="98" t="s">
        <v>10</v>
      </c>
      <c r="E115" s="78">
        <v>2</v>
      </c>
      <c r="F115" s="98">
        <v>2.27</v>
      </c>
      <c r="G115" s="76">
        <v>37.32</v>
      </c>
      <c r="H115" s="76">
        <f t="shared" si="15"/>
        <v>338.86560000000003</v>
      </c>
      <c r="M115" s="11"/>
    </row>
    <row r="116" spans="1:13" x14ac:dyDescent="0.2">
      <c r="A116" s="194"/>
      <c r="B116" s="197"/>
      <c r="C116" s="72" t="s">
        <v>132</v>
      </c>
      <c r="D116" s="98" t="s">
        <v>10</v>
      </c>
      <c r="E116" s="78">
        <v>5</v>
      </c>
      <c r="F116" s="98">
        <v>1.65</v>
      </c>
      <c r="G116" s="76">
        <v>11.84</v>
      </c>
      <c r="H116" s="76">
        <f t="shared" si="15"/>
        <v>195.35999999999999</v>
      </c>
      <c r="M116" s="11"/>
    </row>
    <row r="117" spans="1:13" ht="13.5" thickBot="1" x14ac:dyDescent="0.25">
      <c r="A117" s="195"/>
      <c r="B117" s="198"/>
      <c r="C117" s="104" t="s">
        <v>133</v>
      </c>
      <c r="D117" s="105" t="s">
        <v>10</v>
      </c>
      <c r="E117" s="91">
        <v>8</v>
      </c>
      <c r="F117" s="105">
        <v>2.27</v>
      </c>
      <c r="G117" s="106">
        <v>14.35</v>
      </c>
      <c r="H117" s="106">
        <f t="shared" si="15"/>
        <v>521.19200000000001</v>
      </c>
      <c r="M117" s="11"/>
    </row>
    <row r="118" spans="1:13" x14ac:dyDescent="0.2">
      <c r="A118" s="193" t="s">
        <v>100</v>
      </c>
      <c r="B118" s="196">
        <v>14</v>
      </c>
      <c r="C118" s="69" t="s">
        <v>117</v>
      </c>
      <c r="D118" s="68" t="s">
        <v>10</v>
      </c>
      <c r="E118" s="59">
        <v>1</v>
      </c>
      <c r="F118" s="68">
        <v>22.626999999999999</v>
      </c>
      <c r="G118" s="60">
        <v>28.53</v>
      </c>
      <c r="H118" s="60">
        <f>F118*G118*E118*$B$118</f>
        <v>9037.67634</v>
      </c>
      <c r="M118" s="11"/>
    </row>
    <row r="119" spans="1:13" x14ac:dyDescent="0.2">
      <c r="A119" s="194"/>
      <c r="B119" s="197"/>
      <c r="C119" s="72" t="s">
        <v>128</v>
      </c>
      <c r="D119" s="98" t="s">
        <v>10</v>
      </c>
      <c r="E119" s="78">
        <v>1</v>
      </c>
      <c r="F119" s="98">
        <v>19.233000000000001</v>
      </c>
      <c r="G119" s="76">
        <v>22.43</v>
      </c>
      <c r="H119" s="76">
        <f t="shared" ref="H119:H122" si="16">F119*G119*E119*$B$118</f>
        <v>6039.54666</v>
      </c>
      <c r="M119" s="11"/>
    </row>
    <row r="120" spans="1:13" x14ac:dyDescent="0.2">
      <c r="A120" s="194"/>
      <c r="B120" s="197"/>
      <c r="C120" s="72" t="s">
        <v>129</v>
      </c>
      <c r="D120" s="98" t="s">
        <v>10</v>
      </c>
      <c r="E120" s="78">
        <v>2</v>
      </c>
      <c r="F120" s="98">
        <v>2.2999999999999998</v>
      </c>
      <c r="G120" s="76">
        <v>20.86</v>
      </c>
      <c r="H120" s="76">
        <f t="shared" si="16"/>
        <v>1343.3839999999998</v>
      </c>
      <c r="M120" s="11"/>
    </row>
    <row r="121" spans="1:13" x14ac:dyDescent="0.2">
      <c r="A121" s="194"/>
      <c r="B121" s="197"/>
      <c r="C121" s="72" t="s">
        <v>130</v>
      </c>
      <c r="D121" s="98" t="s">
        <v>10</v>
      </c>
      <c r="E121" s="78">
        <v>7</v>
      </c>
      <c r="F121" s="98">
        <v>1.65</v>
      </c>
      <c r="G121" s="76">
        <v>6.82</v>
      </c>
      <c r="H121" s="76">
        <f t="shared" si="16"/>
        <v>1102.7940000000001</v>
      </c>
      <c r="M121" s="11"/>
    </row>
    <row r="122" spans="1:13" ht="13.5" thickBot="1" x14ac:dyDescent="0.25">
      <c r="A122" s="195"/>
      <c r="B122" s="198"/>
      <c r="C122" s="104" t="s">
        <v>133</v>
      </c>
      <c r="D122" s="105" t="s">
        <v>10</v>
      </c>
      <c r="E122" s="91">
        <v>12</v>
      </c>
      <c r="F122" s="105">
        <v>2.2999999999999998</v>
      </c>
      <c r="G122" s="106">
        <v>14.35</v>
      </c>
      <c r="H122" s="106">
        <f t="shared" si="16"/>
        <v>5544.8399999999992</v>
      </c>
      <c r="M122" s="11"/>
    </row>
    <row r="123" spans="1:13" x14ac:dyDescent="0.2">
      <c r="A123" s="193" t="s">
        <v>101</v>
      </c>
      <c r="B123" s="196">
        <v>1</v>
      </c>
      <c r="C123" s="69" t="s">
        <v>117</v>
      </c>
      <c r="D123" s="68" t="s">
        <v>10</v>
      </c>
      <c r="E123" s="59">
        <v>1</v>
      </c>
      <c r="F123" s="68">
        <v>21.95</v>
      </c>
      <c r="G123" s="60">
        <v>28.53</v>
      </c>
      <c r="H123" s="60">
        <f>F123*G123*E123*$B$123</f>
        <v>626.23350000000005</v>
      </c>
      <c r="M123" s="11"/>
    </row>
    <row r="124" spans="1:13" x14ac:dyDescent="0.2">
      <c r="A124" s="194"/>
      <c r="B124" s="197"/>
      <c r="C124" s="72" t="s">
        <v>128</v>
      </c>
      <c r="D124" s="98" t="s">
        <v>10</v>
      </c>
      <c r="E124" s="78">
        <v>1</v>
      </c>
      <c r="F124" s="98">
        <v>18.61</v>
      </c>
      <c r="G124" s="76">
        <v>22.43</v>
      </c>
      <c r="H124" s="76">
        <f t="shared" ref="H124:H127" si="17">F124*G124*E124*$B$123</f>
        <v>417.42230000000001</v>
      </c>
      <c r="M124" s="11"/>
    </row>
    <row r="125" spans="1:13" x14ac:dyDescent="0.2">
      <c r="A125" s="194"/>
      <c r="B125" s="197"/>
      <c r="C125" s="72" t="s">
        <v>129</v>
      </c>
      <c r="D125" s="98" t="s">
        <v>10</v>
      </c>
      <c r="E125" s="78">
        <v>2</v>
      </c>
      <c r="F125" s="98">
        <v>2.2999999999999998</v>
      </c>
      <c r="G125" s="76">
        <v>20.86</v>
      </c>
      <c r="H125" s="76">
        <f t="shared" si="17"/>
        <v>95.955999999999989</v>
      </c>
      <c r="M125" s="11"/>
    </row>
    <row r="126" spans="1:13" x14ac:dyDescent="0.2">
      <c r="A126" s="194"/>
      <c r="B126" s="197"/>
      <c r="C126" s="72" t="s">
        <v>130</v>
      </c>
      <c r="D126" s="98" t="s">
        <v>10</v>
      </c>
      <c r="E126" s="78">
        <v>7</v>
      </c>
      <c r="F126" s="98">
        <v>1.65</v>
      </c>
      <c r="G126" s="76">
        <v>6.82</v>
      </c>
      <c r="H126" s="76">
        <f t="shared" si="17"/>
        <v>78.771000000000001</v>
      </c>
      <c r="M126" s="11"/>
    </row>
    <row r="127" spans="1:13" ht="13.5" thickBot="1" x14ac:dyDescent="0.25">
      <c r="A127" s="195"/>
      <c r="B127" s="198"/>
      <c r="C127" s="104" t="s">
        <v>133</v>
      </c>
      <c r="D127" s="105" t="s">
        <v>10</v>
      </c>
      <c r="E127" s="91">
        <v>12</v>
      </c>
      <c r="F127" s="105">
        <v>2.2999999999999998</v>
      </c>
      <c r="G127" s="106">
        <v>14.35</v>
      </c>
      <c r="H127" s="106">
        <f t="shared" si="17"/>
        <v>396.05999999999995</v>
      </c>
      <c r="M127" s="11"/>
    </row>
    <row r="128" spans="1:13" x14ac:dyDescent="0.2">
      <c r="A128" s="193" t="s">
        <v>134</v>
      </c>
      <c r="B128" s="196">
        <v>1</v>
      </c>
      <c r="C128" s="69" t="s">
        <v>117</v>
      </c>
      <c r="D128" s="68" t="s">
        <v>10</v>
      </c>
      <c r="E128" s="59">
        <v>1</v>
      </c>
      <c r="F128" s="68">
        <v>21.35</v>
      </c>
      <c r="G128" s="60">
        <v>28.53</v>
      </c>
      <c r="H128" s="60">
        <f>F128*G128*E128*$B$128</f>
        <v>609.11550000000011</v>
      </c>
      <c r="M128" s="11"/>
    </row>
    <row r="129" spans="1:13" x14ac:dyDescent="0.2">
      <c r="A129" s="194"/>
      <c r="B129" s="197"/>
      <c r="C129" s="72" t="s">
        <v>128</v>
      </c>
      <c r="D129" s="98" t="s">
        <v>10</v>
      </c>
      <c r="E129" s="78">
        <v>1</v>
      </c>
      <c r="F129" s="98">
        <v>18.100000000000001</v>
      </c>
      <c r="G129" s="76">
        <v>22.43</v>
      </c>
      <c r="H129" s="76">
        <f t="shared" ref="H129:H132" si="18">F129*G129*E129*$B$128</f>
        <v>405.983</v>
      </c>
      <c r="M129" s="11"/>
    </row>
    <row r="130" spans="1:13" x14ac:dyDescent="0.2">
      <c r="A130" s="194"/>
      <c r="B130" s="197"/>
      <c r="C130" s="72" t="s">
        <v>129</v>
      </c>
      <c r="D130" s="98" t="s">
        <v>10</v>
      </c>
      <c r="E130" s="78">
        <v>2</v>
      </c>
      <c r="F130" s="98">
        <v>2.2999999999999998</v>
      </c>
      <c r="G130" s="76">
        <v>20.86</v>
      </c>
      <c r="H130" s="76">
        <f t="shared" si="18"/>
        <v>95.955999999999989</v>
      </c>
      <c r="M130" s="11"/>
    </row>
    <row r="131" spans="1:13" x14ac:dyDescent="0.2">
      <c r="A131" s="194"/>
      <c r="B131" s="197"/>
      <c r="C131" s="72" t="s">
        <v>130</v>
      </c>
      <c r="D131" s="98" t="s">
        <v>10</v>
      </c>
      <c r="E131" s="78">
        <v>7</v>
      </c>
      <c r="F131" s="98">
        <v>1.65</v>
      </c>
      <c r="G131" s="76">
        <v>6.82</v>
      </c>
      <c r="H131" s="76">
        <f t="shared" si="18"/>
        <v>78.771000000000001</v>
      </c>
      <c r="M131" s="11"/>
    </row>
    <row r="132" spans="1:13" ht="13.5" thickBot="1" x14ac:dyDescent="0.25">
      <c r="A132" s="195"/>
      <c r="B132" s="198"/>
      <c r="C132" s="104" t="s">
        <v>133</v>
      </c>
      <c r="D132" s="105" t="s">
        <v>10</v>
      </c>
      <c r="E132" s="91">
        <v>12</v>
      </c>
      <c r="F132" s="105">
        <v>2.2999999999999998</v>
      </c>
      <c r="G132" s="106">
        <v>14.35</v>
      </c>
      <c r="H132" s="106">
        <f t="shared" si="18"/>
        <v>396.05999999999995</v>
      </c>
      <c r="M132" s="11"/>
    </row>
    <row r="133" spans="1:13" ht="13.5" thickBot="1" x14ac:dyDescent="0.25">
      <c r="A133" s="51"/>
      <c r="B133" s="55"/>
      <c r="C133" s="52"/>
      <c r="D133" s="29"/>
      <c r="E133" s="49"/>
      <c r="F133" s="29"/>
      <c r="G133" s="40"/>
      <c r="H133" s="40"/>
      <c r="M133" s="11"/>
    </row>
    <row r="134" spans="1:13" ht="13.5" thickBot="1" x14ac:dyDescent="0.25">
      <c r="G134" s="170" t="s">
        <v>135</v>
      </c>
      <c r="H134" s="39">
        <f>SUM(H7:H14,H19:H43,H44:H67,H71,H75:H132)</f>
        <v>760368.49564999971</v>
      </c>
      <c r="I134" s="170" t="s">
        <v>148</v>
      </c>
      <c r="J134" s="39">
        <f>H134+H134*20%</f>
        <v>912442.19477999967</v>
      </c>
    </row>
    <row r="135" spans="1:13" x14ac:dyDescent="0.2">
      <c r="G135" s="169" t="s">
        <v>136</v>
      </c>
      <c r="H135" s="96">
        <f>SUM(H7:H12,H25:H27,H29:H31,H33:H35,H37:H39,H45:H54,H56:H57,H75:H77,H79:H132)</f>
        <v>496072.87280999986</v>
      </c>
      <c r="I135" s="169" t="s">
        <v>149</v>
      </c>
      <c r="J135" s="96">
        <f t="shared" ref="J135:J137" si="19">H135+H135*20%</f>
        <v>595287.44737199985</v>
      </c>
    </row>
    <row r="136" spans="1:13" x14ac:dyDescent="0.2">
      <c r="G136" s="166" t="s">
        <v>137</v>
      </c>
      <c r="H136" s="167">
        <f>SUM(H13:H14,H28,H32,H36,H40,H58:H67,H71,H78)</f>
        <v>79976.981239999994</v>
      </c>
      <c r="I136" s="166" t="s">
        <v>13</v>
      </c>
      <c r="J136" s="167">
        <f t="shared" si="19"/>
        <v>95972.377487999998</v>
      </c>
    </row>
    <row r="137" spans="1:13" ht="13.5" thickBot="1" x14ac:dyDescent="0.25">
      <c r="G137" s="168" t="s">
        <v>138</v>
      </c>
      <c r="H137" s="152">
        <f>SUM(H19:H24,H41:H44,H55)</f>
        <v>184318.64160000003</v>
      </c>
      <c r="I137" s="168" t="s">
        <v>45</v>
      </c>
      <c r="J137" s="152">
        <f t="shared" si="19"/>
        <v>221182.36992000003</v>
      </c>
    </row>
    <row r="139" spans="1:13" ht="13.5" thickBot="1" x14ac:dyDescent="0.25">
      <c r="A139" s="17" t="s">
        <v>139</v>
      </c>
    </row>
    <row r="140" spans="1:13" ht="22.5" customHeight="1" thickBot="1" x14ac:dyDescent="0.25">
      <c r="A140" s="174" t="s">
        <v>140</v>
      </c>
      <c r="B140" s="175" t="s">
        <v>144</v>
      </c>
      <c r="C140" s="175" t="s">
        <v>146</v>
      </c>
      <c r="D140" s="175" t="s">
        <v>145</v>
      </c>
      <c r="E140" s="175" t="s">
        <v>143</v>
      </c>
      <c r="F140" s="175" t="s">
        <v>150</v>
      </c>
      <c r="G140" s="175" t="s">
        <v>151</v>
      </c>
      <c r="H140" s="176" t="s">
        <v>142</v>
      </c>
    </row>
    <row r="141" spans="1:13" ht="12.75" customHeight="1" x14ac:dyDescent="0.2">
      <c r="A141" s="188" t="s">
        <v>141</v>
      </c>
      <c r="B141" s="172">
        <v>6100</v>
      </c>
      <c r="C141" s="172">
        <v>840</v>
      </c>
      <c r="D141" s="172">
        <v>0.8</v>
      </c>
      <c r="E141" s="177">
        <v>33</v>
      </c>
      <c r="F141" s="172">
        <f>B141*C141/1000000</f>
        <v>5.1239999999999997</v>
      </c>
      <c r="G141" s="178">
        <f>E141*F141</f>
        <v>169.09199999999998</v>
      </c>
      <c r="H141" s="178">
        <f>G141*11.21</f>
        <v>1895.5213200000001</v>
      </c>
    </row>
    <row r="142" spans="1:13" x14ac:dyDescent="0.2">
      <c r="A142" s="189"/>
      <c r="B142" s="53">
        <v>6260</v>
      </c>
      <c r="C142" s="53">
        <v>840</v>
      </c>
      <c r="D142" s="53">
        <v>0.8</v>
      </c>
      <c r="E142" s="179">
        <v>1025</v>
      </c>
      <c r="F142" s="53">
        <f t="shared" ref="F142:F150" si="20">B142*C142/1000000</f>
        <v>5.2584</v>
      </c>
      <c r="G142" s="180">
        <f t="shared" ref="G142:G150" si="21">E142*F142</f>
        <v>5389.86</v>
      </c>
      <c r="H142" s="180">
        <f t="shared" ref="H142:H144" si="22">G142*11.21</f>
        <v>60420.330600000001</v>
      </c>
    </row>
    <row r="143" spans="1:13" x14ac:dyDescent="0.2">
      <c r="A143" s="189"/>
      <c r="B143" s="53">
        <v>8260</v>
      </c>
      <c r="C143" s="53">
        <v>840</v>
      </c>
      <c r="D143" s="53">
        <v>0.8</v>
      </c>
      <c r="E143" s="179">
        <v>51</v>
      </c>
      <c r="F143" s="53">
        <f t="shared" si="20"/>
        <v>6.9383999999999997</v>
      </c>
      <c r="G143" s="180">
        <f t="shared" si="21"/>
        <v>353.85839999999996</v>
      </c>
      <c r="H143" s="180">
        <f t="shared" si="22"/>
        <v>3966.7526639999996</v>
      </c>
    </row>
    <row r="144" spans="1:13" x14ac:dyDescent="0.2">
      <c r="A144" s="189"/>
      <c r="B144" s="53">
        <v>10260</v>
      </c>
      <c r="C144" s="53">
        <v>840</v>
      </c>
      <c r="D144" s="53">
        <v>0.8</v>
      </c>
      <c r="E144" s="179">
        <v>46</v>
      </c>
      <c r="F144" s="53">
        <f t="shared" si="20"/>
        <v>8.6183999999999994</v>
      </c>
      <c r="G144" s="180">
        <f t="shared" si="21"/>
        <v>396.44639999999998</v>
      </c>
      <c r="H144" s="180">
        <f t="shared" si="22"/>
        <v>4444.1641440000003</v>
      </c>
    </row>
    <row r="145" spans="1:8" x14ac:dyDescent="0.2">
      <c r="A145" s="189"/>
      <c r="B145" s="53">
        <v>6110</v>
      </c>
      <c r="C145" s="53">
        <v>840</v>
      </c>
      <c r="D145" s="53">
        <v>1.2</v>
      </c>
      <c r="E145" s="179">
        <v>6</v>
      </c>
      <c r="F145" s="53">
        <f t="shared" si="20"/>
        <v>5.1323999999999996</v>
      </c>
      <c r="G145" s="180">
        <f t="shared" si="21"/>
        <v>30.794399999999996</v>
      </c>
      <c r="H145" s="180">
        <f>G145*16.82</f>
        <v>517.96180799999991</v>
      </c>
    </row>
    <row r="146" spans="1:8" x14ac:dyDescent="0.2">
      <c r="A146" s="189"/>
      <c r="B146" s="53">
        <v>6260</v>
      </c>
      <c r="C146" s="53">
        <v>840</v>
      </c>
      <c r="D146" s="53">
        <v>1.2</v>
      </c>
      <c r="E146" s="179">
        <v>306</v>
      </c>
      <c r="F146" s="53">
        <f t="shared" si="20"/>
        <v>5.2584</v>
      </c>
      <c r="G146" s="180">
        <f t="shared" si="21"/>
        <v>1609.0704000000001</v>
      </c>
      <c r="H146" s="180">
        <f>G146*16.82</f>
        <v>27064.564128000002</v>
      </c>
    </row>
    <row r="147" spans="1:8" x14ac:dyDescent="0.2">
      <c r="A147" s="189"/>
      <c r="B147" s="53">
        <v>6110</v>
      </c>
      <c r="C147" s="53">
        <v>840</v>
      </c>
      <c r="D147" s="53">
        <v>1.5</v>
      </c>
      <c r="E147" s="179">
        <v>6</v>
      </c>
      <c r="F147" s="53">
        <f t="shared" si="20"/>
        <v>5.1323999999999996</v>
      </c>
      <c r="G147" s="180">
        <f t="shared" si="21"/>
        <v>30.794399999999996</v>
      </c>
      <c r="H147" s="180">
        <f>G147*21.03</f>
        <v>647.60623199999998</v>
      </c>
    </row>
    <row r="148" spans="1:8" x14ac:dyDescent="0.2">
      <c r="A148" s="189"/>
      <c r="B148" s="53">
        <v>6260</v>
      </c>
      <c r="C148" s="53">
        <v>840</v>
      </c>
      <c r="D148" s="53">
        <v>1.5</v>
      </c>
      <c r="E148" s="179">
        <v>211</v>
      </c>
      <c r="F148" s="53">
        <f t="shared" si="20"/>
        <v>5.2584</v>
      </c>
      <c r="G148" s="180">
        <f t="shared" si="21"/>
        <v>1109.5224000000001</v>
      </c>
      <c r="H148" s="180">
        <f t="shared" ref="H148:H150" si="23">G148*21.03</f>
        <v>23333.256072000004</v>
      </c>
    </row>
    <row r="149" spans="1:8" x14ac:dyDescent="0.2">
      <c r="A149" s="189"/>
      <c r="B149" s="53">
        <v>8260</v>
      </c>
      <c r="C149" s="53">
        <v>840</v>
      </c>
      <c r="D149" s="53">
        <v>1.5</v>
      </c>
      <c r="E149" s="179">
        <v>46</v>
      </c>
      <c r="F149" s="53">
        <f t="shared" si="20"/>
        <v>6.9383999999999997</v>
      </c>
      <c r="G149" s="180">
        <f t="shared" si="21"/>
        <v>319.16640000000001</v>
      </c>
      <c r="H149" s="180">
        <f t="shared" si="23"/>
        <v>6712.0693920000003</v>
      </c>
    </row>
    <row r="150" spans="1:8" ht="13.5" thickBot="1" x14ac:dyDescent="0.25">
      <c r="A150" s="190"/>
      <c r="B150" s="54">
        <v>10260</v>
      </c>
      <c r="C150" s="54">
        <v>840</v>
      </c>
      <c r="D150" s="54">
        <v>1.5</v>
      </c>
      <c r="E150" s="181">
        <v>37</v>
      </c>
      <c r="F150" s="54">
        <f t="shared" si="20"/>
        <v>8.6183999999999994</v>
      </c>
      <c r="G150" s="182">
        <f t="shared" si="21"/>
        <v>318.88079999999997</v>
      </c>
      <c r="H150" s="182">
        <f t="shared" si="23"/>
        <v>6706.0632239999995</v>
      </c>
    </row>
    <row r="151" spans="1:8" x14ac:dyDescent="0.2">
      <c r="A151" s="171"/>
      <c r="B151" s="44"/>
      <c r="C151" s="10"/>
      <c r="F151" s="11" t="s">
        <v>147</v>
      </c>
      <c r="G151" s="165">
        <f>SUM(G141:G150)</f>
        <v>9727.4856</v>
      </c>
      <c r="H151" s="165">
        <f>SUM(H141:H150)</f>
        <v>135708.28958400001</v>
      </c>
    </row>
    <row r="152" spans="1:8" x14ac:dyDescent="0.2">
      <c r="A152" s="171"/>
      <c r="B152" s="44"/>
      <c r="C152" s="10"/>
    </row>
    <row r="153" spans="1:8" x14ac:dyDescent="0.2">
      <c r="A153" s="171"/>
      <c r="B153" s="44"/>
      <c r="C153" s="10"/>
    </row>
    <row r="154" spans="1:8" x14ac:dyDescent="0.2">
      <c r="A154" s="171"/>
      <c r="B154" s="44"/>
      <c r="C154" s="10"/>
    </row>
    <row r="155" spans="1:8" x14ac:dyDescent="0.2">
      <c r="A155" s="171"/>
      <c r="B155" s="44"/>
      <c r="C155" s="10"/>
    </row>
    <row r="156" spans="1:8" x14ac:dyDescent="0.2">
      <c r="A156" s="171"/>
      <c r="B156" s="44"/>
      <c r="C156" s="10"/>
    </row>
    <row r="157" spans="1:8" x14ac:dyDescent="0.2">
      <c r="A157" s="171"/>
      <c r="B157" s="44"/>
      <c r="C157" s="10"/>
    </row>
    <row r="158" spans="1:8" x14ac:dyDescent="0.2">
      <c r="A158" s="171"/>
      <c r="B158" s="44"/>
    </row>
    <row r="159" spans="1:8" x14ac:dyDescent="0.2">
      <c r="B159" s="44"/>
    </row>
    <row r="160" spans="1:8" x14ac:dyDescent="0.2">
      <c r="B160" s="44"/>
    </row>
    <row r="161" spans="2:2" x14ac:dyDescent="0.2">
      <c r="B161" s="44"/>
    </row>
    <row r="162" spans="2:2" x14ac:dyDescent="0.2">
      <c r="B162" s="44"/>
    </row>
  </sheetData>
  <mergeCells count="41">
    <mergeCell ref="A5:D5"/>
    <mergeCell ref="B37:B40"/>
    <mergeCell ref="B33:B36"/>
    <mergeCell ref="B29:B32"/>
    <mergeCell ref="B25:B28"/>
    <mergeCell ref="A7:A12"/>
    <mergeCell ref="A13:A14"/>
    <mergeCell ref="B47:B48"/>
    <mergeCell ref="B42:B43"/>
    <mergeCell ref="B49:B50"/>
    <mergeCell ref="B51:B52"/>
    <mergeCell ref="B53:B54"/>
    <mergeCell ref="A45:A54"/>
    <mergeCell ref="A60:A63"/>
    <mergeCell ref="A58:A59"/>
    <mergeCell ref="A56:A57"/>
    <mergeCell ref="A64:A67"/>
    <mergeCell ref="A93:A97"/>
    <mergeCell ref="B93:B97"/>
    <mergeCell ref="B98:B102"/>
    <mergeCell ref="A98:A102"/>
    <mergeCell ref="B75:B82"/>
    <mergeCell ref="A75:A82"/>
    <mergeCell ref="B83:B87"/>
    <mergeCell ref="A83:A87"/>
    <mergeCell ref="A141:A150"/>
    <mergeCell ref="A19:A44"/>
    <mergeCell ref="A118:A122"/>
    <mergeCell ref="B118:B122"/>
    <mergeCell ref="A123:A127"/>
    <mergeCell ref="B123:B127"/>
    <mergeCell ref="A128:A132"/>
    <mergeCell ref="B128:B132"/>
    <mergeCell ref="A103:A107"/>
    <mergeCell ref="B103:B107"/>
    <mergeCell ref="B108:B112"/>
    <mergeCell ref="A108:A112"/>
    <mergeCell ref="A113:A117"/>
    <mergeCell ref="B113:B117"/>
    <mergeCell ref="B88:B92"/>
    <mergeCell ref="A88:A92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КАРКАС </vt:lpstr>
    </vt:vector>
  </TitlesOfParts>
  <Company>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Людмила</dc:creator>
  <cp:lastModifiedBy>Дашин Андрей</cp:lastModifiedBy>
  <cp:lastPrinted>2016-12-23T14:29:30Z</cp:lastPrinted>
  <dcterms:created xsi:type="dcterms:W3CDTF">2004-09-10T09:38:42Z</dcterms:created>
  <dcterms:modified xsi:type="dcterms:W3CDTF">2016-12-28T19:27:21Z</dcterms:modified>
</cp:coreProperties>
</file>