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82a4fb2eb6ca27a/proforma spreadsheet for projects/"/>
    </mc:Choice>
  </mc:AlternateContent>
  <xr:revisionPtr revIDLastSave="0" documentId="8_{5DC1AFF0-879C-4938-BADA-98CBF1B58C2B}" xr6:coauthVersionLast="47" xr6:coauthVersionMax="47" xr10:uidLastSave="{00000000-0000-0000-0000-000000000000}"/>
  <bookViews>
    <workbookView xWindow="-108" yWindow="-108" windowWidth="23256" windowHeight="12456" tabRatio="651" firstSheet="21" activeTab="21" xr2:uid="{A9ABE624-A647-4DE0-BEF2-C907E5647833}"/>
  </bookViews>
  <sheets>
    <sheet name="Table 1A" sheetId="12" state="hidden" r:id="rId1"/>
    <sheet name="Table 1.0" sheetId="6" state="hidden" r:id="rId2"/>
    <sheet name="Table 1.1" sheetId="7" state="hidden" r:id="rId3"/>
    <sheet name="Table 1.2" sheetId="8" state="hidden" r:id="rId4"/>
    <sheet name="Table 1.3" sheetId="9" state="hidden" r:id="rId5"/>
    <sheet name="Table 1.4" sheetId="10" state="hidden" r:id="rId6"/>
    <sheet name="Table 1.5" sheetId="4" state="hidden" r:id="rId7"/>
    <sheet name="Table 2" sheetId="11" state="hidden" r:id="rId8"/>
    <sheet name="Table 3.0" sheetId="26" r:id="rId9"/>
    <sheet name="CF0" sheetId="102" r:id="rId10"/>
    <sheet name="Distributions" sheetId="97" r:id="rId11"/>
    <sheet name="Monthly" sheetId="45" r:id="rId12"/>
    <sheet name="Labor" sheetId="99" r:id="rId13"/>
    <sheet name="Cost Curves" sheetId="50" r:id="rId14"/>
    <sheet name="Infrastructure" sheetId="91" r:id="rId15"/>
    <sheet name="Soft Costs" sheetId="69" r:id="rId16"/>
    <sheet name="Amenities" sheetId="79" r:id="rId17"/>
    <sheet name="Clubhouse" sheetId="75" r:id="rId18"/>
    <sheet name="FF&amp;E" sheetId="78" r:id="rId19"/>
    <sheet name="Windows &amp; Ext. Doors" sheetId="104" r:id="rId20"/>
    <sheet name="Equipment List" sheetId="105" r:id="rId21"/>
    <sheet name="Equip. Details" sheetId="106" r:id="rId22"/>
    <sheet name="C-Store" sheetId="107" r:id="rId23"/>
    <sheet name="Rent Roll" sheetId="101" r:id="rId24"/>
    <sheet name="Balances" sheetId="47" r:id="rId25"/>
    <sheet name="Perm Loan" sheetId="96" r:id="rId26"/>
    <sheet name="Members Capital" sheetId="46" r:id="rId27"/>
    <sheet name="Purchase Price" sheetId="100" r:id="rId28"/>
    <sheet name="Worksheet" sheetId="53" r:id="rId29"/>
    <sheet name="Org. &amp; Closing Costs" sheetId="44" r:id="rId30"/>
    <sheet name="Sources &amp; Uses" sheetId="71" r:id="rId31"/>
    <sheet name="Notes" sheetId="95" r:id="rId32"/>
  </sheets>
  <externalReferences>
    <externalReference r:id="rId33"/>
    <externalReference r:id="rId34"/>
    <externalReference r:id="rId35"/>
  </externalReferences>
  <definedNames>
    <definedName name="_Order1" hidden="1">0</definedName>
    <definedName name="_Order2" hidden="1">0</definedName>
    <definedName name="Annual_interest_rate" localSheetId="8">#REF!</definedName>
    <definedName name="Annual_interest_rate">#REF!</definedName>
    <definedName name="Beg.Bal" localSheetId="8">IF(#REF!&lt;&gt;"",#REF!,"")</definedName>
    <definedName name="Beg.Bal">IF(#REF!&lt;&gt;"",#REF!,"")</definedName>
    <definedName name="buildable" localSheetId="8">#REF!</definedName>
    <definedName name="buildable">#REF!</definedName>
    <definedName name="Business_License" localSheetId="8">#REF!</definedName>
    <definedName name="Business_License">#REF!</definedName>
    <definedName name="Car_Damages" localSheetId="8">#REF!</definedName>
    <definedName name="Car_Damages">#REF!</definedName>
    <definedName name="CITY">[1]OFCPRELM!$B$13</definedName>
    <definedName name="Copy_Printing" localSheetId="8">#REF!</definedName>
    <definedName name="Copy_Printing">#REF!</definedName>
    <definedName name="Coupon_Sales" localSheetId="8">#REF!</definedName>
    <definedName name="Coupon_Sales">#REF!</definedName>
    <definedName name="Credit_Card" localSheetId="8">#REF!</definedName>
    <definedName name="Credit_Card">#REF!</definedName>
    <definedName name="Cum.Interest" localSheetId="8">IF(#REF!&lt;&gt;"",#REF!+#REF!,"")</definedName>
    <definedName name="Cum.Interest">IF(#REF!&lt;&gt;"",#REF!+#REF!,"")</definedName>
    <definedName name="Customer_Service" localSheetId="8">#REF!</definedName>
    <definedName name="Customer_Service">#REF!</definedName>
    <definedName name="ddd" localSheetId="6">IF(OR(#REF!="",#REF!='Table 1.5'!Total_payments),"",#REF!+1)</definedName>
    <definedName name="ddd" localSheetId="0">IF(OR(#REF!="",#REF!='Table 1A'!Total_payments),"",#REF!+1)</definedName>
    <definedName name="ddd" localSheetId="8">IF(OR(#REF!="",#REF!='Table 3.0'!Total_payments),"",#REF!+1)</definedName>
    <definedName name="ddd">IF(OR(#REF!="",#REF!=Total_payments),"",#REF!+1)</definedName>
    <definedName name="Degreasing" localSheetId="8">#REF!</definedName>
    <definedName name="Degreasing">#REF!</definedName>
    <definedName name="Electricity" localSheetId="8">#REF!</definedName>
    <definedName name="Electricity">#REF!</definedName>
    <definedName name="Ending.Balance" localSheetId="8">IF(#REF!&lt;&gt;"",#REF!-#REF!,"")</definedName>
    <definedName name="Ending.Balance">IF(#REF!&lt;&gt;"",#REF!-#REF!,"")</definedName>
    <definedName name="Equipment_Repairs" localSheetId="8">#REF!</definedName>
    <definedName name="Equipment_Repairs">#REF!</definedName>
    <definedName name="Fire_Protection" localSheetId="8">#REF!</definedName>
    <definedName name="Fire_Protection">#REF!</definedName>
    <definedName name="First_payment_due" localSheetId="8">#REF!</definedName>
    <definedName name="First_payment_due">#REF!</definedName>
    <definedName name="Incentive_Fee" localSheetId="8">#REF!</definedName>
    <definedName name="Incentive_Fee">#REF!</definedName>
    <definedName name="Interest" localSheetId="2">IF(#REF!&lt;&gt;"",#REF!*'Table 1.1'!Periodic_rate,"")</definedName>
    <definedName name="Interest" localSheetId="3">IF(#REF!&lt;&gt;"",#REF!*'Table 1.2'!Periodic_rate,"")</definedName>
    <definedName name="Interest" localSheetId="6">IF(#REF!&lt;&gt;"",#REF!*'Table 1.5'!Periodic_rate,"")</definedName>
    <definedName name="Interest" localSheetId="0">IF(#REF!&lt;&gt;"",#REF!*'Table 1A'!Periodic_rate,"")</definedName>
    <definedName name="Interest" localSheetId="8">IF(#REF!&lt;&gt;"",#REF!*'Table 3.0'!Periodic_rate,"")</definedName>
    <definedName name="Interest">IF(#REF!&lt;&gt;"",#REF!*Periodic_rate,"")</definedName>
    <definedName name="Janitorial" localSheetId="8">#REF!</definedName>
    <definedName name="Janitorial">#REF!</definedName>
    <definedName name="Key_Card_Sales" localSheetId="8">#REF!</definedName>
    <definedName name="Key_Card_Sales">#REF!</definedName>
    <definedName name="Keys" localSheetId="8">#REF!</definedName>
    <definedName name="Keys">#REF!</definedName>
    <definedName name="Lamping" localSheetId="8">#REF!</definedName>
    <definedName name="Lamping">#REF!</definedName>
    <definedName name="Last_Row">IF(Values_Entered,Header_Row+Number_of_Payments,Header_Row)</definedName>
    <definedName name="Liability_Insurance" localSheetId="8">#REF!</definedName>
    <definedName name="Liability_Insurance">#REF!</definedName>
    <definedName name="Management_Fee" localSheetId="8">#REF!</definedName>
    <definedName name="Management_Fee">#REF!</definedName>
    <definedName name="Mileage" localSheetId="8">#REF!</definedName>
    <definedName name="Mileage">#REF!</definedName>
    <definedName name="Modified">IF(#REF!&lt;&gt;"",MIN(#REF!,'Table 3.0'!Pmt_to_use-#REF!),"")</definedName>
    <definedName name="Monthly_Income" localSheetId="8">#REF!</definedName>
    <definedName name="Monthly_Income">#REF!</definedName>
    <definedName name="NAME">[1]OFCPRELM!$B$10</definedName>
    <definedName name="NETEXP" localSheetId="8">[1]OFCPRELM!#REF!</definedName>
    <definedName name="NETEXP">[1]OFCPRELM!#REF!</definedName>
    <definedName name="Number_of_Payments">MATCH(0.01,End_Bal,-1)+1</definedName>
    <definedName name="NvsASD">"V1998-12-31"</definedName>
    <definedName name="NvsAutoDrillOk">"VN"</definedName>
    <definedName name="NvsElapsedTime">0.000467824072984513</definedName>
    <definedName name="NvsEndTime">36007.6044435185</definedName>
    <definedName name="NvsInstSpec">"%,FDEPTID,V0750"</definedName>
    <definedName name="NvsLayoutType">"M3"</definedName>
    <definedName name="NvsNplSpec">"%,X,RZF..ACE,CZF..ACE"</definedName>
    <definedName name="NvsPanelEffdt">"V1996-01-01"</definedName>
    <definedName name="NvsPanelSetid">"VBASE"</definedName>
    <definedName name="NvsReqBU">"VACE2"</definedName>
    <definedName name="NvsReqBUOnly">"VY"</definedName>
    <definedName name="NvsTransLed">"VN"</definedName>
    <definedName name="NvsTreeASD">"V1998-12-31"</definedName>
    <definedName name="NvsValTbl.ACCOUNT">"GL_ACCOUNT_TBL"</definedName>
    <definedName name="Office_Supplies" localSheetId="8">#REF!</definedName>
    <definedName name="Office_Supplies">#REF!</definedName>
    <definedName name="Outside_Audit" localSheetId="8">#REF!</definedName>
    <definedName name="Outside_Audit">#REF!</definedName>
    <definedName name="Painting" localSheetId="8">#REF!</definedName>
    <definedName name="Painting">#REF!</definedName>
    <definedName name="payment.Num" localSheetId="2">IF(OR(#REF!="",#REF!='Table 1.1'!Total_payments),"",#REF!+1)</definedName>
    <definedName name="payment.Num" localSheetId="3">IF(OR(#REF!="",#REF!='Table 1.2'!Total_payments),"",#REF!+1)</definedName>
    <definedName name="payment.Num" localSheetId="6">IF(OR(#REF!="",#REF!='Table 1.5'!Total_payments),"",#REF!+1)</definedName>
    <definedName name="payment.Num" localSheetId="0">IF(OR(#REF!="",#REF!='Table 1A'!Total_payments),"",#REF!+1)</definedName>
    <definedName name="payment.Num" localSheetId="8">IF(OR(#REF!="",#REF!='Table 3.0'!Total_payments),"",#REF!+1)</definedName>
    <definedName name="payment.Num">IF(OR(#REF!="",#REF!=Total_payments),"",#REF!+1)</definedName>
    <definedName name="Payment_Date" localSheetId="8">DATE(YEAR([0]!Loan_Start),MONTH([0]!Loan_Start)+Payment_Number,DAY([0]!Loan_Start))</definedName>
    <definedName name="Payment_Date">DATE(YEAR(Loan_Start),MONTH(Loan_Start)+Payment_Number,DAY(Loan_Start))</definedName>
    <definedName name="Payments_per_year" localSheetId="8">#REF!</definedName>
    <definedName name="Payments_per_year">#REF!</definedName>
    <definedName name="Payroll" localSheetId="8">#REF!</definedName>
    <definedName name="Payroll">#REF!</definedName>
    <definedName name="Payroll_Overhead" localSheetId="8">#REF!</definedName>
    <definedName name="Payroll_Overhead">#REF!</definedName>
    <definedName name="Periodic_rate" localSheetId="2">Annual_interest_rate/Payments_per_year</definedName>
    <definedName name="Periodic_rate" localSheetId="3">Annual_interest_rate/Payments_per_year</definedName>
    <definedName name="Periodic_rate" localSheetId="6">Annual_interest_rate/Payments_per_year</definedName>
    <definedName name="Periodic_rate" localSheetId="0">Annual_interest_rate/Payments_per_year</definedName>
    <definedName name="Periodic_rate" localSheetId="8">'Table 3.0'!Annual_interest_rate/'Table 3.0'!Payments_per_year</definedName>
    <definedName name="Periodic_rate">Annual_interest_rate/Payments_per_year</definedName>
    <definedName name="Plumbing" localSheetId="8">#REF!</definedName>
    <definedName name="Plumbing">#REF!</definedName>
    <definedName name="Pmt_to_use" localSheetId="8">#REF!</definedName>
    <definedName name="Pmt_to_use">#REF!</definedName>
    <definedName name="Principal" localSheetId="2">IF(#REF!&lt;&gt;"",MIN(#REF!,Pmt_to_use-#REF!),"")</definedName>
    <definedName name="Principal" localSheetId="3">IF(#REF!&lt;&gt;"",MIN(#REF!,Pmt_to_use-#REF!),"")</definedName>
    <definedName name="Principal" localSheetId="6">IF(#REF!&lt;&gt;"",MIN(#REF!,Pmt_to_use-#REF!),"")</definedName>
    <definedName name="Principal" localSheetId="0">IF(#REF!&lt;&gt;"",MIN(#REF!,Pmt_to_use-#REF!),"")</definedName>
    <definedName name="Principal" localSheetId="8">IF(#REF!&lt;&gt;"",MIN(#REF!,'Table 3.0'!Pmt_to_use-#REF!),"")</definedName>
    <definedName name="Principal">IF(#REF!&lt;&gt;"",MIN(#REF!,Pmt_to_use-#REF!),"")</definedName>
    <definedName name="_xlnm.Print_Area" localSheetId="15">'Soft Costs'!$A$1:$J$83</definedName>
    <definedName name="_xlnm.Print_Area" localSheetId="1">'Table 1.0'!$A$1:$Q$27</definedName>
    <definedName name="_xlnm.Print_Area" localSheetId="2">'Table 1.1'!$A$1:$L$26</definedName>
    <definedName name="_xlnm.Print_Area" localSheetId="3">'Table 1.2'!$A$1:$M$29</definedName>
    <definedName name="_xlnm.Print_Area" localSheetId="4">'Table 1.3'!$A$1:$M$25</definedName>
    <definedName name="_xlnm.Print_Area" localSheetId="5">'Table 1.4'!$A$1:$L$21</definedName>
    <definedName name="_xlnm.Print_Area" localSheetId="6">'Table 1.5'!$A$1:$L$38</definedName>
    <definedName name="_xlnm.Print_Area" localSheetId="0">'Table 1A'!$A$1:$J$39</definedName>
    <definedName name="_xlnm.Print_Area" localSheetId="7">'Table 2'!$A$1:$I$40</definedName>
    <definedName name="_xlnm.Print_Area" localSheetId="8">'Table 3.0'!$A$1:$T$258</definedName>
    <definedName name="Print_Area_Reset">OFFSET(Full_Print,0,0,Last_Row)</definedName>
    <definedName name="_xlnm.Print_Titles" localSheetId="24">Balances!$B:$F,Balances!$3:$3</definedName>
    <definedName name="_xlnm.Print_Titles" localSheetId="11">Monthly!$B:$F,Monthly!$3:$4</definedName>
    <definedName name="_xlnm.Print_Titles" localSheetId="8">'Table 3.0'!$33:$34</definedName>
    <definedName name="PropertyDevelopment">'[2]Long Cost'!#REF!</definedName>
    <definedName name="Rent" localSheetId="8">#REF!</definedName>
    <definedName name="Rent">#REF!</definedName>
    <definedName name="Rent_Role" localSheetId="8">#REF!</definedName>
    <definedName name="Rent_Role">#REF!</definedName>
    <definedName name="rentable" localSheetId="8">#REF!</definedName>
    <definedName name="rentable">#REF!</definedName>
    <definedName name="Roof" localSheetId="8">#REF!</definedName>
    <definedName name="Roof">#REF!</definedName>
    <definedName name="s">IF(#REF!&lt;&gt;"",DATE(YEAR('Table 3.0'!First_payment_due),MONTH('Table 3.0'!First_payment_due)+(#REF!-1)*12/'Table 3.0'!Payments_per_year,DAY('Table 3.0'!First_payment_due)),"")</definedName>
    <definedName name="Sample1" localSheetId="8">[3]Template!#REF!</definedName>
    <definedName name="Sample1">[3]Template!#REF!</definedName>
    <definedName name="Show.Date" localSheetId="2">IF(#REF!&lt;&gt;"",DATE(YEAR(First_payment_due),MONTH(First_payment_due)+(#REF!-1)*12/Payments_per_year,DAY(First_payment_due)),"")</definedName>
    <definedName name="Show.Date" localSheetId="3">IF(#REF!&lt;&gt;"",DATE(YEAR(First_payment_due),MONTH(First_payment_due)+(#REF!-1)*12/Payments_per_year,DAY(First_payment_due)),"")</definedName>
    <definedName name="Show.Date" localSheetId="6">IF(#REF!&lt;&gt;"",DATE(YEAR(First_payment_due),MONTH(First_payment_due)+(#REF!-1)*12/Payments_per_year,DAY(First_payment_due)),"")</definedName>
    <definedName name="Show.Date" localSheetId="0">IF(#REF!&lt;&gt;"",DATE(YEAR(First_payment_due),MONTH(First_payment_due)+(#REF!-1)*12/Payments_per_year,DAY(First_payment_due)),"")</definedName>
    <definedName name="Show.Date" localSheetId="8">IF(#REF!&lt;&gt;"",DATE(YEAR('Table 3.0'!First_payment_due),MONTH('Table 3.0'!First_payment_due)+(#REF!-1)*12/'Table 3.0'!Payments_per_year,DAY('Table 3.0'!First_payment_due)),"")</definedName>
    <definedName name="Show.Date">IF(#REF!&lt;&gt;"",DATE(YEAR(First_payment_due),MONTH(First_payment_due)+(#REF!-1)*12/Payments_per_year,DAY(First_payment_due)),"")</definedName>
    <definedName name="Signs" localSheetId="8">#REF!</definedName>
    <definedName name="Signs">#REF!</definedName>
    <definedName name="Special_Projects" localSheetId="8">#REF!</definedName>
    <definedName name="Special_Projects">#REF!</definedName>
    <definedName name="Supplies" localSheetId="8">#REF!</definedName>
    <definedName name="Supplies">#REF!</definedName>
    <definedName name="Surface" localSheetId="8">#REF!</definedName>
    <definedName name="Surface">#REF!</definedName>
    <definedName name="Sweeping" localSheetId="8">#REF!</definedName>
    <definedName name="Sweeping">#REF!</definedName>
    <definedName name="Telephone" localSheetId="8">#REF!</definedName>
    <definedName name="Telephone">#REF!</definedName>
    <definedName name="Term_in_years" localSheetId="8">#REF!</definedName>
    <definedName name="Term_in_years">#REF!</definedName>
    <definedName name="Tickets" localSheetId="8">#REF!</definedName>
    <definedName name="Tickets">#REF!</definedName>
    <definedName name="Total_Payment" localSheetId="8">Scheduled_Payment+Extra_Payment</definedName>
    <definedName name="Total_Payment">Scheduled_Payment+Extra_Payment</definedName>
    <definedName name="Total_payments" localSheetId="2">Payments_per_year*Term_in_years</definedName>
    <definedName name="Total_payments" localSheetId="3">Payments_per_year*Term_in_years</definedName>
    <definedName name="Total_payments" localSheetId="6">Payments_per_year*Term_in_years</definedName>
    <definedName name="Total_payments" localSheetId="0">Payments_per_year*Term_in_years</definedName>
    <definedName name="Total_payments" localSheetId="8">'Table 3.0'!Payments_per_year*'Table 3.0'!Term_in_years</definedName>
    <definedName name="Total_payments">Payments_per_year*Term_in_years</definedName>
    <definedName name="Uniforms" localSheetId="8">#REF!</definedName>
    <definedName name="Uniforms">#REF!</definedName>
    <definedName name="Values_Entered">IF(Loan_Amount*Interest_Rate*Loan_Years*Loan_Start&gt;0,1,0)</definedName>
    <definedName name="Visitor_Revenue" localSheetId="8">#REF!</definedName>
    <definedName name="Visitor_Revenue">#REF!</definedName>
    <definedName name="Wages_and_Salaries" localSheetId="8">#REF!</definedName>
    <definedName name="Wages_and_Salaries">#REF!</definedName>
    <definedName name="Water" localSheetId="8">#REF!</definedName>
    <definedName name="Water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07" l="1"/>
  <c r="I18" i="107" s="1"/>
  <c r="F18" i="107"/>
  <c r="E18" i="107"/>
  <c r="D13" i="91"/>
  <c r="L4" i="78"/>
  <c r="L5" i="78"/>
  <c r="L6" i="78"/>
  <c r="L7" i="78"/>
  <c r="L8" i="78"/>
  <c r="L9" i="78"/>
  <c r="L10" i="78"/>
  <c r="L11" i="78"/>
  <c r="L12" i="78"/>
  <c r="L13" i="78"/>
  <c r="L14" i="78"/>
  <c r="L15" i="78"/>
  <c r="L16" i="78"/>
  <c r="L17" i="78"/>
  <c r="L18" i="78"/>
  <c r="L19" i="78"/>
  <c r="L20" i="78"/>
  <c r="L21" i="78"/>
  <c r="L22" i="78"/>
  <c r="L23" i="78"/>
  <c r="L24" i="78"/>
  <c r="L25" i="78"/>
  <c r="L26" i="78"/>
  <c r="L27" i="78"/>
  <c r="L28" i="78"/>
  <c r="L29" i="78"/>
  <c r="L30" i="78"/>
  <c r="L31" i="78"/>
  <c r="L32" i="78"/>
  <c r="L33" i="78"/>
  <c r="L34" i="78"/>
  <c r="L35" i="78"/>
  <c r="L36" i="78"/>
  <c r="L37" i="78"/>
  <c r="L38" i="78"/>
  <c r="L39" i="78"/>
  <c r="L40" i="78"/>
  <c r="L41" i="78"/>
  <c r="L42" i="78"/>
  <c r="L43" i="78"/>
  <c r="L44" i="78"/>
  <c r="L3" i="78"/>
  <c r="C3" i="78"/>
  <c r="L29" i="105"/>
  <c r="E29" i="105"/>
  <c r="M16" i="105"/>
  <c r="M15" i="105"/>
  <c r="M14" i="105"/>
  <c r="M13" i="105"/>
  <c r="M12" i="105"/>
  <c r="M11" i="105"/>
  <c r="M10" i="105"/>
  <c r="M9" i="105"/>
  <c r="M8" i="105"/>
  <c r="M7" i="105"/>
  <c r="M6" i="105"/>
  <c r="M5" i="105"/>
  <c r="E39" i="104"/>
  <c r="E104" i="45"/>
  <c r="E103" i="45"/>
  <c r="R130" i="26"/>
  <c r="Q130" i="26"/>
  <c r="P130" i="26"/>
  <c r="O130" i="26"/>
  <c r="N130" i="26"/>
  <c r="E102" i="45"/>
  <c r="J18" i="107" l="1"/>
  <c r="Y99" i="45"/>
  <c r="Z99" i="45"/>
  <c r="AA99" i="45" s="1"/>
  <c r="X99" i="45"/>
  <c r="DK100" i="45"/>
  <c r="DL100" i="45"/>
  <c r="DM100" i="45"/>
  <c r="DN100" i="45"/>
  <c r="BF102" i="45"/>
  <c r="BG102" i="45"/>
  <c r="BH102" i="45"/>
  <c r="BI102" i="45"/>
  <c r="BJ102" i="45"/>
  <c r="BK102" i="45"/>
  <c r="BL102" i="45"/>
  <c r="BM102" i="45"/>
  <c r="BN102" i="45"/>
  <c r="BO102" i="45"/>
  <c r="BP102" i="45"/>
  <c r="BQ102" i="45"/>
  <c r="BR102" i="45"/>
  <c r="BS102" i="45"/>
  <c r="BT102" i="45"/>
  <c r="BU102" i="45"/>
  <c r="BV102" i="45"/>
  <c r="BW102" i="45"/>
  <c r="BX102" i="45"/>
  <c r="BY102" i="45"/>
  <c r="BZ102" i="45"/>
  <c r="CA102" i="45"/>
  <c r="CB102" i="45"/>
  <c r="CC102" i="45"/>
  <c r="CD102" i="45"/>
  <c r="CE102" i="45"/>
  <c r="CF102" i="45"/>
  <c r="CG102" i="45"/>
  <c r="CH102" i="45"/>
  <c r="CI102" i="45"/>
  <c r="CJ102" i="45"/>
  <c r="CK102" i="45"/>
  <c r="CL102" i="45"/>
  <c r="CM102" i="45"/>
  <c r="CN102" i="45"/>
  <c r="CO102" i="45"/>
  <c r="CP102" i="45"/>
  <c r="CQ102" i="45"/>
  <c r="CR102" i="45"/>
  <c r="CS102" i="45"/>
  <c r="CT102" i="45"/>
  <c r="CU102" i="45"/>
  <c r="CV102" i="45"/>
  <c r="CW102" i="45"/>
  <c r="CX102" i="45"/>
  <c r="CY102" i="45"/>
  <c r="CZ102" i="45"/>
  <c r="DA102" i="45"/>
  <c r="DB102" i="45"/>
  <c r="DC102" i="45"/>
  <c r="DD102" i="45"/>
  <c r="DE102" i="45"/>
  <c r="DF102" i="45"/>
  <c r="DG102" i="45"/>
  <c r="DH102" i="45"/>
  <c r="DI102" i="45"/>
  <c r="DJ102" i="45"/>
  <c r="DK102" i="45"/>
  <c r="DL102" i="45"/>
  <c r="DM102" i="45"/>
  <c r="DN102" i="45"/>
  <c r="E73" i="45"/>
  <c r="E74" i="45"/>
  <c r="E42" i="53"/>
  <c r="F42" i="53"/>
  <c r="G42" i="53"/>
  <c r="H42" i="53"/>
  <c r="I42" i="53"/>
  <c r="J42" i="53"/>
  <c r="K42" i="53"/>
  <c r="L42" i="53"/>
  <c r="M42" i="53"/>
  <c r="N42" i="53"/>
  <c r="O42" i="53"/>
  <c r="P42" i="53"/>
  <c r="Q42" i="53"/>
  <c r="R42" i="53"/>
  <c r="S42" i="53"/>
  <c r="T42" i="53"/>
  <c r="U42" i="53"/>
  <c r="V42" i="53"/>
  <c r="W42" i="53"/>
  <c r="X42" i="53"/>
  <c r="Y42" i="53"/>
  <c r="Z42" i="53"/>
  <c r="AA42" i="53"/>
  <c r="AB42" i="53"/>
  <c r="AB43" i="53" s="1"/>
  <c r="AC42" i="53"/>
  <c r="AD42" i="53"/>
  <c r="AE42" i="53"/>
  <c r="AF42" i="53"/>
  <c r="AG42" i="53"/>
  <c r="AH42" i="53"/>
  <c r="AI42" i="53"/>
  <c r="AJ42" i="53"/>
  <c r="AK42" i="53"/>
  <c r="AL42" i="53"/>
  <c r="AM42" i="53"/>
  <c r="AN42" i="53"/>
  <c r="AO42" i="53"/>
  <c r="AP42" i="53"/>
  <c r="AQ42" i="53"/>
  <c r="AR42" i="53"/>
  <c r="AS42" i="53"/>
  <c r="AT42" i="53"/>
  <c r="AU42" i="53"/>
  <c r="AV42" i="53"/>
  <c r="AW42" i="53"/>
  <c r="AX42" i="53"/>
  <c r="AY42" i="53"/>
  <c r="AZ42" i="53"/>
  <c r="BA42" i="53"/>
  <c r="BB42" i="53"/>
  <c r="BC42" i="53"/>
  <c r="BD42" i="53"/>
  <c r="BE42" i="53"/>
  <c r="BF42" i="53"/>
  <c r="BG42" i="53"/>
  <c r="BH42" i="53"/>
  <c r="BI42" i="53"/>
  <c r="BJ42" i="53"/>
  <c r="BK42" i="53"/>
  <c r="BL42" i="53"/>
  <c r="BM42" i="53"/>
  <c r="BN42" i="53"/>
  <c r="BO42" i="53"/>
  <c r="BP42" i="53"/>
  <c r="BQ42" i="53"/>
  <c r="BR42" i="53"/>
  <c r="BS42" i="53"/>
  <c r="BT42" i="53"/>
  <c r="BU42" i="53"/>
  <c r="BV42" i="53"/>
  <c r="BW42" i="53"/>
  <c r="BX42" i="53"/>
  <c r="BY42" i="53"/>
  <c r="BZ42" i="53"/>
  <c r="CA42" i="53"/>
  <c r="CB42" i="53"/>
  <c r="CC42" i="53"/>
  <c r="CD42" i="53"/>
  <c r="CE42" i="53"/>
  <c r="CF42" i="53"/>
  <c r="CG42" i="53"/>
  <c r="CH42" i="53"/>
  <c r="CI42" i="53"/>
  <c r="CJ42" i="53"/>
  <c r="CK42" i="53"/>
  <c r="CL42" i="53"/>
  <c r="CM42" i="53"/>
  <c r="CN42" i="53"/>
  <c r="CO42" i="53"/>
  <c r="CP42" i="53"/>
  <c r="CQ42" i="53"/>
  <c r="CR42" i="53"/>
  <c r="CS42" i="53"/>
  <c r="CT42" i="53"/>
  <c r="CU42" i="53"/>
  <c r="CV42" i="53"/>
  <c r="CW42" i="53"/>
  <c r="CX42" i="53"/>
  <c r="CY42" i="53"/>
  <c r="CZ42" i="53"/>
  <c r="DA42" i="53"/>
  <c r="DB42" i="53"/>
  <c r="DC42" i="53"/>
  <c r="DD42" i="53"/>
  <c r="DE42" i="53"/>
  <c r="DF42" i="53"/>
  <c r="DG42" i="53"/>
  <c r="DH42" i="53"/>
  <c r="E43" i="53"/>
  <c r="F43" i="53"/>
  <c r="G43" i="53"/>
  <c r="H43" i="53"/>
  <c r="I43" i="53"/>
  <c r="J43" i="53"/>
  <c r="K43" i="53"/>
  <c r="L43" i="53"/>
  <c r="M43" i="53"/>
  <c r="N43" i="53"/>
  <c r="O43" i="53"/>
  <c r="P43" i="53"/>
  <c r="Q43" i="53"/>
  <c r="R43" i="53"/>
  <c r="S43" i="53"/>
  <c r="T43" i="53"/>
  <c r="U43" i="53"/>
  <c r="V43" i="53"/>
  <c r="W43" i="53"/>
  <c r="X43" i="53"/>
  <c r="Y43" i="53"/>
  <c r="Z43" i="53"/>
  <c r="AA43" i="53"/>
  <c r="AC43" i="53"/>
  <c r="AD43" i="53"/>
  <c r="AE43" i="53"/>
  <c r="AF43" i="53"/>
  <c r="AG43" i="53"/>
  <c r="AH43" i="53"/>
  <c r="AI43" i="53"/>
  <c r="AJ43" i="53"/>
  <c r="AK43" i="53"/>
  <c r="AL43" i="53"/>
  <c r="AM43" i="53"/>
  <c r="AN43" i="53"/>
  <c r="AO43" i="53"/>
  <c r="AP43" i="53"/>
  <c r="AQ43" i="53"/>
  <c r="AR43" i="53"/>
  <c r="AS43" i="53"/>
  <c r="AT43" i="53"/>
  <c r="AU43" i="53"/>
  <c r="AV43" i="53"/>
  <c r="AW43" i="53"/>
  <c r="AX43" i="53"/>
  <c r="AY43" i="53"/>
  <c r="AZ43" i="53"/>
  <c r="BA43" i="53"/>
  <c r="BB43" i="53"/>
  <c r="BC43" i="53"/>
  <c r="BD43" i="53"/>
  <c r="BE43" i="53"/>
  <c r="BF43" i="53"/>
  <c r="BG43" i="53"/>
  <c r="BH43" i="53"/>
  <c r="BI43" i="53"/>
  <c r="BJ43" i="53"/>
  <c r="BK43" i="53"/>
  <c r="BL43" i="53"/>
  <c r="BM43" i="53"/>
  <c r="BN43" i="53"/>
  <c r="BO43" i="53"/>
  <c r="BP43" i="53"/>
  <c r="BQ43" i="53"/>
  <c r="BR43" i="53"/>
  <c r="BS43" i="53"/>
  <c r="BT43" i="53"/>
  <c r="BU43" i="53"/>
  <c r="BV43" i="53"/>
  <c r="BW43" i="53"/>
  <c r="BX43" i="53"/>
  <c r="BY43" i="53"/>
  <c r="BZ43" i="53"/>
  <c r="CA43" i="53"/>
  <c r="CB43" i="53"/>
  <c r="CC43" i="53"/>
  <c r="CD43" i="53"/>
  <c r="CE43" i="53"/>
  <c r="CF43" i="53"/>
  <c r="CG43" i="53"/>
  <c r="CH43" i="53"/>
  <c r="CI43" i="53"/>
  <c r="CJ43" i="53"/>
  <c r="CK43" i="53"/>
  <c r="CL43" i="53"/>
  <c r="CM43" i="53"/>
  <c r="CN43" i="53"/>
  <c r="CO43" i="53"/>
  <c r="CP43" i="53"/>
  <c r="CQ43" i="53"/>
  <c r="CR43" i="53"/>
  <c r="CS43" i="53"/>
  <c r="CT43" i="53"/>
  <c r="CU43" i="53"/>
  <c r="CV43" i="53"/>
  <c r="CW43" i="53"/>
  <c r="CX43" i="53"/>
  <c r="CY43" i="53"/>
  <c r="CZ43" i="53"/>
  <c r="DA43" i="53"/>
  <c r="DB43" i="53"/>
  <c r="DC43" i="53"/>
  <c r="DD43" i="53"/>
  <c r="DE43" i="53"/>
  <c r="DF43" i="53"/>
  <c r="DG43" i="53"/>
  <c r="DH43" i="53"/>
  <c r="DP38" i="50"/>
  <c r="R36" i="50"/>
  <c r="Q36" i="50"/>
  <c r="P36" i="50"/>
  <c r="O36" i="50"/>
  <c r="N36" i="50"/>
  <c r="M36" i="50"/>
  <c r="L36" i="50"/>
  <c r="K36" i="50"/>
  <c r="AB99" i="45" l="1"/>
  <c r="AC99" i="45" s="1"/>
  <c r="AD99" i="45" s="1"/>
  <c r="AE99" i="45" s="1"/>
  <c r="AF99" i="45" s="1"/>
  <c r="AG99" i="45" s="1"/>
  <c r="AH99" i="45" s="1"/>
  <c r="AI99" i="45" s="1"/>
  <c r="AJ99" i="45" s="1"/>
  <c r="AK99" i="45" s="1"/>
  <c r="DP99" i="45"/>
  <c r="AF62" i="75" l="1"/>
  <c r="AF63" i="75"/>
  <c r="V55" i="45"/>
  <c r="W55" i="45" s="1"/>
  <c r="DP29" i="50" l="1"/>
  <c r="G29" i="50"/>
  <c r="T63" i="75" l="1"/>
  <c r="U63" i="75"/>
  <c r="V63" i="75"/>
  <c r="W63" i="75"/>
  <c r="X63" i="75"/>
  <c r="Y63" i="75"/>
  <c r="Z63" i="75"/>
  <c r="AA63" i="75"/>
  <c r="AB63" i="75"/>
  <c r="AC63" i="75"/>
  <c r="AD63" i="75"/>
  <c r="S63" i="75"/>
  <c r="T61" i="75"/>
  <c r="T62" i="75" s="1"/>
  <c r="U61" i="75"/>
  <c r="U62" i="75" s="1"/>
  <c r="V61" i="75"/>
  <c r="V62" i="75" s="1"/>
  <c r="W61" i="75"/>
  <c r="W62" i="75" s="1"/>
  <c r="X61" i="75"/>
  <c r="Y61" i="75"/>
  <c r="Z61" i="75"/>
  <c r="AA61" i="75"/>
  <c r="AB61" i="75"/>
  <c r="AC61" i="75"/>
  <c r="AD61" i="75"/>
  <c r="S61" i="75"/>
  <c r="S62" i="75" s="1"/>
  <c r="J65" i="69"/>
  <c r="X33" i="45"/>
  <c r="Y33" i="45"/>
  <c r="Z33" i="45"/>
  <c r="AA33" i="45"/>
  <c r="AB33" i="45"/>
  <c r="AC33" i="45"/>
  <c r="AD33" i="45"/>
  <c r="AE33" i="45"/>
  <c r="AF33" i="45"/>
  <c r="AG33" i="45"/>
  <c r="AH33" i="45"/>
  <c r="W33" i="45"/>
  <c r="D7" i="99"/>
  <c r="D25" i="91"/>
  <c r="J64" i="69"/>
  <c r="J63" i="69"/>
  <c r="J34" i="69"/>
  <c r="J26" i="69"/>
  <c r="J22" i="69"/>
  <c r="I13" i="79"/>
  <c r="J13" i="79" s="1"/>
  <c r="N13" i="79" s="1"/>
  <c r="C21" i="75"/>
  <c r="C19" i="75"/>
  <c r="C30" i="75"/>
  <c r="E5" i="102"/>
  <c r="E7" i="102" s="1"/>
  <c r="AG30" i="47"/>
  <c r="AH30" i="47"/>
  <c r="AI30" i="47"/>
  <c r="AJ30" i="47"/>
  <c r="AK30" i="47"/>
  <c r="AL30" i="47"/>
  <c r="AM30" i="47"/>
  <c r="AN30" i="47"/>
  <c r="AO30" i="47"/>
  <c r="AP30" i="47"/>
  <c r="AQ30" i="47"/>
  <c r="AS30" i="47"/>
  <c r="AT30" i="47"/>
  <c r="AU30" i="47"/>
  <c r="AV30" i="47"/>
  <c r="AW30" i="47"/>
  <c r="AX30" i="47"/>
  <c r="AY30" i="47"/>
  <c r="AZ30" i="47"/>
  <c r="BA30" i="47"/>
  <c r="BB30" i="47"/>
  <c r="BC30" i="47"/>
  <c r="BE30" i="47"/>
  <c r="BF30" i="47"/>
  <c r="BG30" i="47"/>
  <c r="BH30" i="47"/>
  <c r="BI30" i="47"/>
  <c r="BJ30" i="47"/>
  <c r="BK30" i="47"/>
  <c r="BL30" i="47"/>
  <c r="BM30" i="47"/>
  <c r="BN30" i="47"/>
  <c r="BO30" i="47"/>
  <c r="BQ30" i="47"/>
  <c r="BR30" i="47"/>
  <c r="BS30" i="47"/>
  <c r="BT30" i="47"/>
  <c r="BU30" i="47"/>
  <c r="BV30" i="47"/>
  <c r="BW30" i="47"/>
  <c r="BX30" i="47"/>
  <c r="BY30" i="47"/>
  <c r="BZ30" i="47"/>
  <c r="CA30" i="47"/>
  <c r="CC30" i="47"/>
  <c r="CD30" i="47"/>
  <c r="CE30" i="47"/>
  <c r="CF30" i="47"/>
  <c r="CG30" i="47"/>
  <c r="CH30" i="47"/>
  <c r="CI30" i="47"/>
  <c r="CJ30" i="47"/>
  <c r="CK30" i="47"/>
  <c r="CL30" i="47"/>
  <c r="CM30" i="47"/>
  <c r="CO30" i="47"/>
  <c r="CP30" i="47"/>
  <c r="CQ30" i="47"/>
  <c r="CR30" i="47"/>
  <c r="CS30" i="47"/>
  <c r="CT30" i="47"/>
  <c r="CU30" i="47"/>
  <c r="CV30" i="47"/>
  <c r="CW30" i="47"/>
  <c r="CX30" i="47"/>
  <c r="CY30" i="47"/>
  <c r="DA30" i="47"/>
  <c r="DB30" i="47"/>
  <c r="DC30" i="47"/>
  <c r="DD30" i="47"/>
  <c r="DE30" i="47"/>
  <c r="DF30" i="47"/>
  <c r="DG30" i="47"/>
  <c r="DH30" i="47"/>
  <c r="DI30" i="47"/>
  <c r="DJ30" i="47"/>
  <c r="DK30" i="47"/>
  <c r="DL30" i="47"/>
  <c r="G11" i="46" l="1"/>
  <c r="H15" i="46"/>
  <c r="G17" i="26"/>
  <c r="AI119" i="45"/>
  <c r="AJ119" i="45"/>
  <c r="AK119" i="45"/>
  <c r="AL119" i="45"/>
  <c r="AM119" i="45"/>
  <c r="AN119" i="45"/>
  <c r="AO119" i="45"/>
  <c r="AP119" i="45"/>
  <c r="AQ119" i="45"/>
  <c r="AR119" i="45"/>
  <c r="AS119" i="45"/>
  <c r="AU119" i="45"/>
  <c r="AV119" i="45"/>
  <c r="AW119" i="45"/>
  <c r="AX119" i="45"/>
  <c r="AY119" i="45"/>
  <c r="AZ119" i="45"/>
  <c r="BA119" i="45"/>
  <c r="BB119" i="45"/>
  <c r="BC119" i="45"/>
  <c r="BD119" i="45"/>
  <c r="BE119" i="45"/>
  <c r="BG119" i="45"/>
  <c r="BH119" i="45"/>
  <c r="BI119" i="45"/>
  <c r="BJ119" i="45"/>
  <c r="BK119" i="45"/>
  <c r="BL119" i="45"/>
  <c r="BM119" i="45"/>
  <c r="BN119" i="45"/>
  <c r="BO119" i="45"/>
  <c r="BP119" i="45"/>
  <c r="BQ119" i="45"/>
  <c r="BS119" i="45"/>
  <c r="BT119" i="45"/>
  <c r="BU119" i="45"/>
  <c r="BV119" i="45"/>
  <c r="BW119" i="45"/>
  <c r="BX119" i="45"/>
  <c r="BY119" i="45"/>
  <c r="BZ119" i="45"/>
  <c r="CA119" i="45"/>
  <c r="CB119" i="45"/>
  <c r="CC119" i="45"/>
  <c r="CE119" i="45"/>
  <c r="CF119" i="45"/>
  <c r="CG119" i="45"/>
  <c r="CH119" i="45"/>
  <c r="CI119" i="45"/>
  <c r="CJ119" i="45"/>
  <c r="CK119" i="45"/>
  <c r="CL119" i="45"/>
  <c r="CM119" i="45"/>
  <c r="CN119" i="45"/>
  <c r="CO119" i="45"/>
  <c r="CQ119" i="45"/>
  <c r="CR119" i="45"/>
  <c r="CS119" i="45"/>
  <c r="CT119" i="45"/>
  <c r="CU119" i="45"/>
  <c r="CV119" i="45"/>
  <c r="CW119" i="45"/>
  <c r="CX119" i="45"/>
  <c r="CY119" i="45"/>
  <c r="CZ119" i="45"/>
  <c r="DA119" i="45"/>
  <c r="DC119" i="45"/>
  <c r="DD119" i="45"/>
  <c r="DE119" i="45"/>
  <c r="DF119" i="45"/>
  <c r="DG119" i="45"/>
  <c r="DH119" i="45"/>
  <c r="DI119" i="45"/>
  <c r="DJ119" i="45"/>
  <c r="DK119" i="45"/>
  <c r="DK89" i="45" s="1"/>
  <c r="DL119" i="45"/>
  <c r="DM119" i="45"/>
  <c r="DM89" i="45" s="1"/>
  <c r="DN119" i="45"/>
  <c r="DN89" i="45" s="1"/>
  <c r="E6" i="96"/>
  <c r="F6" i="96"/>
  <c r="G6" i="96"/>
  <c r="H6" i="96"/>
  <c r="I6" i="96"/>
  <c r="J6" i="96"/>
  <c r="K6" i="96"/>
  <c r="L6" i="96"/>
  <c r="M6" i="96"/>
  <c r="N6" i="96"/>
  <c r="O6" i="96"/>
  <c r="P6" i="96"/>
  <c r="Q6" i="96"/>
  <c r="R6" i="96"/>
  <c r="S6" i="96"/>
  <c r="T6" i="96"/>
  <c r="U6" i="96"/>
  <c r="V6" i="96"/>
  <c r="W6" i="96"/>
  <c r="X6" i="96"/>
  <c r="Y6" i="96"/>
  <c r="Z6" i="96"/>
  <c r="AA6" i="96"/>
  <c r="AB6" i="96"/>
  <c r="AC6" i="96"/>
  <c r="AD6" i="96"/>
  <c r="AE6" i="96"/>
  <c r="AF6" i="96"/>
  <c r="AG6" i="96"/>
  <c r="AH6" i="96"/>
  <c r="AI6" i="96"/>
  <c r="AJ6" i="96"/>
  <c r="AK6" i="96"/>
  <c r="AL6" i="96"/>
  <c r="AM6" i="96"/>
  <c r="AN6" i="96"/>
  <c r="AO6" i="96"/>
  <c r="AP6" i="96"/>
  <c r="AQ6" i="96"/>
  <c r="AR6" i="96"/>
  <c r="AS6" i="96"/>
  <c r="AT6" i="96"/>
  <c r="AU6" i="96"/>
  <c r="AV6" i="96"/>
  <c r="AW6" i="96"/>
  <c r="AX6" i="96"/>
  <c r="AY6" i="96"/>
  <c r="AZ6" i="96"/>
  <c r="BA6" i="96"/>
  <c r="BB6" i="96"/>
  <c r="BC6" i="96"/>
  <c r="BD6" i="96"/>
  <c r="BE6" i="96"/>
  <c r="BF6" i="96"/>
  <c r="BG6" i="96"/>
  <c r="BH6" i="96"/>
  <c r="BI6" i="96"/>
  <c r="BJ6" i="96"/>
  <c r="BK6" i="96"/>
  <c r="BL6" i="96"/>
  <c r="BM6" i="96"/>
  <c r="BN6" i="96"/>
  <c r="BO6" i="96"/>
  <c r="BP6" i="96"/>
  <c r="BQ6" i="96"/>
  <c r="BR6" i="96"/>
  <c r="BS6" i="96"/>
  <c r="BT6" i="96"/>
  <c r="BU6" i="96"/>
  <c r="BV6" i="96"/>
  <c r="BW6" i="96"/>
  <c r="BX6" i="96"/>
  <c r="BY6" i="96"/>
  <c r="BZ6" i="96"/>
  <c r="CA6" i="96"/>
  <c r="CB6" i="96"/>
  <c r="CC6" i="96"/>
  <c r="CD6" i="96"/>
  <c r="CE6" i="96"/>
  <c r="CF6" i="96"/>
  <c r="CG6" i="96"/>
  <c r="CH6" i="96"/>
  <c r="CI6" i="96"/>
  <c r="CJ6" i="96"/>
  <c r="D6" i="96"/>
  <c r="X39" i="45"/>
  <c r="Y39" i="45" s="1"/>
  <c r="Z39" i="45" s="1"/>
  <c r="AA39" i="45" s="1"/>
  <c r="AB39" i="45" s="1"/>
  <c r="AC39" i="45" s="1"/>
  <c r="AD39" i="45" s="1"/>
  <c r="AE39" i="45" s="1"/>
  <c r="AF39" i="45" s="1"/>
  <c r="AG39" i="45" s="1"/>
  <c r="AH39" i="45" s="1"/>
  <c r="X42" i="45"/>
  <c r="Y42" i="45" s="1"/>
  <c r="Z42" i="45" s="1"/>
  <c r="AA42" i="45" s="1"/>
  <c r="AB42" i="45" s="1"/>
  <c r="AC42" i="45" s="1"/>
  <c r="AD42" i="45" s="1"/>
  <c r="AE42" i="45" s="1"/>
  <c r="AF42" i="45" s="1"/>
  <c r="AG42" i="45" s="1"/>
  <c r="AH42" i="45" s="1"/>
  <c r="X40" i="45"/>
  <c r="Y40" i="45" s="1"/>
  <c r="Z40" i="45" s="1"/>
  <c r="AA40" i="45" s="1"/>
  <c r="AB40" i="45" s="1"/>
  <c r="AC40" i="45" s="1"/>
  <c r="AD40" i="45" s="1"/>
  <c r="AE40" i="45" s="1"/>
  <c r="AF40" i="45" s="1"/>
  <c r="AG40" i="45" s="1"/>
  <c r="AH40" i="45" s="1"/>
  <c r="J147" i="26"/>
  <c r="R127" i="26"/>
  <c r="Q127" i="26"/>
  <c r="P127" i="26"/>
  <c r="O127" i="26"/>
  <c r="N127" i="26"/>
  <c r="M127" i="26"/>
  <c r="L127" i="26"/>
  <c r="K127" i="26"/>
  <c r="J127" i="26"/>
  <c r="J102" i="26"/>
  <c r="R101" i="26"/>
  <c r="Q101" i="26"/>
  <c r="P101" i="26"/>
  <c r="O101" i="26"/>
  <c r="N101" i="26"/>
  <c r="M101" i="26"/>
  <c r="L101" i="26"/>
  <c r="K101" i="26"/>
  <c r="J101" i="26"/>
  <c r="J100" i="26"/>
  <c r="J98" i="26"/>
  <c r="J97" i="26"/>
  <c r="J96" i="26"/>
  <c r="J95" i="26"/>
  <c r="J94" i="26"/>
  <c r="J93" i="26"/>
  <c r="J92" i="26"/>
  <c r="J91" i="26"/>
  <c r="J90" i="26"/>
  <c r="J88" i="26"/>
  <c r="J87" i="26"/>
  <c r="J86" i="26"/>
  <c r="J85" i="26"/>
  <c r="J83" i="26"/>
  <c r="J81" i="26"/>
  <c r="J79" i="26"/>
  <c r="J78" i="26"/>
  <c r="J77" i="26"/>
  <c r="J76" i="26"/>
  <c r="J75" i="26"/>
  <c r="X63" i="45"/>
  <c r="Y63" i="45" s="1"/>
  <c r="Z63" i="45" s="1"/>
  <c r="AA63" i="45" s="1"/>
  <c r="AB63" i="45" s="1"/>
  <c r="AC63" i="45" s="1"/>
  <c r="AD63" i="45" s="1"/>
  <c r="AE63" i="45" s="1"/>
  <c r="AF63" i="45" s="1"/>
  <c r="AG63" i="45" s="1"/>
  <c r="AH63" i="45" s="1"/>
  <c r="X64" i="45"/>
  <c r="Y64" i="45" s="1"/>
  <c r="Z64" i="45" s="1"/>
  <c r="AA64" i="45" s="1"/>
  <c r="AB64" i="45" s="1"/>
  <c r="AC64" i="45" s="1"/>
  <c r="AD64" i="45" s="1"/>
  <c r="AE64" i="45" s="1"/>
  <c r="AF64" i="45" s="1"/>
  <c r="AG64" i="45" s="1"/>
  <c r="AH64" i="45" s="1"/>
  <c r="X65" i="45"/>
  <c r="Y65" i="45" s="1"/>
  <c r="Z65" i="45" s="1"/>
  <c r="X66" i="45"/>
  <c r="Y66" i="45" s="1"/>
  <c r="Z66" i="45" s="1"/>
  <c r="AA66" i="45" s="1"/>
  <c r="AB66" i="45" s="1"/>
  <c r="AC66" i="45" s="1"/>
  <c r="AD66" i="45" s="1"/>
  <c r="AE66" i="45" s="1"/>
  <c r="AF66" i="45" s="1"/>
  <c r="AG66" i="45" s="1"/>
  <c r="AH66" i="45" s="1"/>
  <c r="X67" i="45"/>
  <c r="Y67" i="45" s="1"/>
  <c r="Z67" i="45" s="1"/>
  <c r="X68" i="45"/>
  <c r="Y68" i="45" s="1"/>
  <c r="Z68" i="45" s="1"/>
  <c r="AA68" i="45" s="1"/>
  <c r="X69" i="45"/>
  <c r="Y69" i="45" s="1"/>
  <c r="Z69" i="45" s="1"/>
  <c r="X62" i="45"/>
  <c r="Y62" i="45" s="1"/>
  <c r="Z62" i="45" s="1"/>
  <c r="AA62" i="45" s="1"/>
  <c r="AB62" i="45" s="1"/>
  <c r="AC62" i="45" s="1"/>
  <c r="AD62" i="45" s="1"/>
  <c r="AE62" i="45" s="1"/>
  <c r="AF62" i="45" s="1"/>
  <c r="AG62" i="45" s="1"/>
  <c r="AH62" i="45" s="1"/>
  <c r="X58" i="45"/>
  <c r="Y58" i="45" s="1"/>
  <c r="Z58" i="45" s="1"/>
  <c r="AA58" i="45" s="1"/>
  <c r="AB58" i="45" s="1"/>
  <c r="AC58" i="45" s="1"/>
  <c r="AD58" i="45" s="1"/>
  <c r="AE58" i="45" s="1"/>
  <c r="AF58" i="45" s="1"/>
  <c r="AG58" i="45" s="1"/>
  <c r="AH58" i="45" s="1"/>
  <c r="X59" i="45"/>
  <c r="Y59" i="45" s="1"/>
  <c r="X60" i="45"/>
  <c r="Y60" i="45" s="1"/>
  <c r="Z60" i="45" s="1"/>
  <c r="AA60" i="45" s="1"/>
  <c r="AB60" i="45" s="1"/>
  <c r="AC60" i="45" s="1"/>
  <c r="AD60" i="45" s="1"/>
  <c r="AE60" i="45" s="1"/>
  <c r="AF60" i="45" s="1"/>
  <c r="AG60" i="45" s="1"/>
  <c r="AH60" i="45" s="1"/>
  <c r="X57" i="45"/>
  <c r="X55" i="45"/>
  <c r="DL89" i="45"/>
  <c r="DP73" i="45"/>
  <c r="L75" i="45"/>
  <c r="M75" i="45"/>
  <c r="N75" i="45"/>
  <c r="O75" i="45"/>
  <c r="P75" i="45"/>
  <c r="Q75" i="45"/>
  <c r="R75" i="45"/>
  <c r="S75" i="45"/>
  <c r="T75" i="45"/>
  <c r="U75" i="45"/>
  <c r="V75" i="45"/>
  <c r="K75" i="45"/>
  <c r="L43" i="45"/>
  <c r="L77" i="45" s="1"/>
  <c r="M43" i="45"/>
  <c r="N43" i="45"/>
  <c r="N77" i="45" s="1"/>
  <c r="O43" i="45"/>
  <c r="P43" i="45"/>
  <c r="P77" i="45" s="1"/>
  <c r="Q43" i="45"/>
  <c r="Q77" i="45" s="1"/>
  <c r="R43" i="45"/>
  <c r="R77" i="45" s="1"/>
  <c r="S43" i="45"/>
  <c r="S77" i="45" s="1"/>
  <c r="T43" i="45"/>
  <c r="U43" i="45"/>
  <c r="V43" i="45"/>
  <c r="K43" i="45"/>
  <c r="AG70" i="45"/>
  <c r="AH70" i="45" s="1"/>
  <c r="X70" i="45"/>
  <c r="Y70" i="45" s="1"/>
  <c r="Z70" i="45" s="1"/>
  <c r="AA70" i="45" s="1"/>
  <c r="AB70" i="45" s="1"/>
  <c r="AC70" i="45" s="1"/>
  <c r="AD70" i="45" s="1"/>
  <c r="V77" i="45" l="1"/>
  <c r="U77" i="45"/>
  <c r="O77" i="45"/>
  <c r="K86" i="26"/>
  <c r="M77" i="45"/>
  <c r="T77" i="45"/>
  <c r="K91" i="26"/>
  <c r="K92" i="26"/>
  <c r="AA65" i="45"/>
  <c r="AB65" i="45" s="1"/>
  <c r="AC65" i="45" s="1"/>
  <c r="AD65" i="45" s="1"/>
  <c r="AE65" i="45" s="1"/>
  <c r="AF65" i="45" s="1"/>
  <c r="AG65" i="45" s="1"/>
  <c r="AH65" i="45" s="1"/>
  <c r="K94" i="26"/>
  <c r="K88" i="26"/>
  <c r="K96" i="26"/>
  <c r="R147" i="26"/>
  <c r="Y57" i="45"/>
  <c r="Z57" i="45" s="1"/>
  <c r="AA57" i="45" s="1"/>
  <c r="AB57" i="45" s="1"/>
  <c r="AC57" i="45" s="1"/>
  <c r="AD57" i="45" s="1"/>
  <c r="AE57" i="45" s="1"/>
  <c r="AF57" i="45" s="1"/>
  <c r="AG57" i="45" s="1"/>
  <c r="AH57" i="45" s="1"/>
  <c r="K90" i="26"/>
  <c r="Y55" i="45"/>
  <c r="Z55" i="45" s="1"/>
  <c r="AA55" i="45" s="1"/>
  <c r="AB55" i="45" s="1"/>
  <c r="S101" i="26"/>
  <c r="AA67" i="45"/>
  <c r="AB67" i="45" s="1"/>
  <c r="AC67" i="45" s="1"/>
  <c r="AD67" i="45" s="1"/>
  <c r="AE67" i="45" s="1"/>
  <c r="AF67" i="45" s="1"/>
  <c r="AG67" i="45" s="1"/>
  <c r="AH67" i="45" s="1"/>
  <c r="AA69" i="45"/>
  <c r="AB69" i="45" s="1"/>
  <c r="AC69" i="45" s="1"/>
  <c r="AD69" i="45" s="1"/>
  <c r="AE69" i="45" s="1"/>
  <c r="AF69" i="45" s="1"/>
  <c r="AG69" i="45" s="1"/>
  <c r="AH69" i="45" s="1"/>
  <c r="AB68" i="45"/>
  <c r="AC68" i="45" s="1"/>
  <c r="AD68" i="45" s="1"/>
  <c r="AE68" i="45" s="1"/>
  <c r="AF68" i="45" s="1"/>
  <c r="AG68" i="45" s="1"/>
  <c r="AH68" i="45" s="1"/>
  <c r="Z59" i="45"/>
  <c r="AA59" i="45" s="1"/>
  <c r="AB59" i="45" s="1"/>
  <c r="AC59" i="45" s="1"/>
  <c r="AD59" i="45" s="1"/>
  <c r="AE59" i="45" s="1"/>
  <c r="AF59" i="45" s="1"/>
  <c r="AG59" i="45" s="1"/>
  <c r="AH59" i="45" s="1"/>
  <c r="K87" i="26" l="1"/>
  <c r="K85" i="26"/>
  <c r="K97" i="26"/>
  <c r="K93" i="26"/>
  <c r="K95" i="26"/>
  <c r="AC55" i="45"/>
  <c r="AD55" i="45" l="1"/>
  <c r="AE55" i="45" l="1"/>
  <c r="AF55" i="45" l="1"/>
  <c r="AG55" i="45" l="1"/>
  <c r="AH55" i="45" l="1"/>
  <c r="K83" i="26" s="1"/>
  <c r="X53" i="45" l="1"/>
  <c r="Y53" i="45" l="1"/>
  <c r="H48" i="45"/>
  <c r="H49" i="45"/>
  <c r="H50" i="45"/>
  <c r="H51" i="45"/>
  <c r="H47" i="45"/>
  <c r="H42" i="45"/>
  <c r="H40" i="45"/>
  <c r="H39" i="45"/>
  <c r="H36" i="45"/>
  <c r="H37" i="45"/>
  <c r="H35" i="45"/>
  <c r="H32" i="45"/>
  <c r="H33" i="45"/>
  <c r="H31" i="45"/>
  <c r="X50" i="45"/>
  <c r="X49" i="45"/>
  <c r="Y49" i="45" s="1"/>
  <c r="Z49" i="45" s="1"/>
  <c r="X48" i="45"/>
  <c r="Y48" i="45" s="1"/>
  <c r="Z48" i="45" s="1"/>
  <c r="AA48" i="45" s="1"/>
  <c r="AB48" i="45" s="1"/>
  <c r="AC48" i="45" s="1"/>
  <c r="AD48" i="45" s="1"/>
  <c r="AE48" i="45" s="1"/>
  <c r="AF48" i="45" s="1"/>
  <c r="AG48" i="45" s="1"/>
  <c r="AH48" i="45" s="1"/>
  <c r="X47" i="45"/>
  <c r="H17" i="101"/>
  <c r="H10" i="101"/>
  <c r="H11" i="101"/>
  <c r="K70" i="26"/>
  <c r="J70" i="26"/>
  <c r="K68" i="26"/>
  <c r="J68" i="26"/>
  <c r="K67" i="26"/>
  <c r="J67" i="26"/>
  <c r="J65" i="26"/>
  <c r="J64" i="26"/>
  <c r="J63" i="26"/>
  <c r="J60" i="26"/>
  <c r="J61" i="26"/>
  <c r="J59" i="26"/>
  <c r="K76" i="26" l="1"/>
  <c r="Y50" i="45"/>
  <c r="Z50" i="45" s="1"/>
  <c r="AA50" i="45" s="1"/>
  <c r="AB50" i="45" s="1"/>
  <c r="AC50" i="45" s="1"/>
  <c r="AD50" i="45" s="1"/>
  <c r="AE50" i="45" s="1"/>
  <c r="AF50" i="45" s="1"/>
  <c r="AG50" i="45" s="1"/>
  <c r="AH50" i="45" s="1"/>
  <c r="Z53" i="45"/>
  <c r="AA53" i="45" s="1"/>
  <c r="AB53" i="45" s="1"/>
  <c r="AC53" i="45" s="1"/>
  <c r="AD53" i="45" s="1"/>
  <c r="AE53" i="45" s="1"/>
  <c r="AF53" i="45" s="1"/>
  <c r="AG53" i="45" s="1"/>
  <c r="AH53" i="45" s="1"/>
  <c r="AA49" i="45"/>
  <c r="AB49" i="45" s="1"/>
  <c r="AC49" i="45" s="1"/>
  <c r="AD49" i="45" s="1"/>
  <c r="AE49" i="45" s="1"/>
  <c r="AF49" i="45" s="1"/>
  <c r="AG49" i="45" s="1"/>
  <c r="AH49" i="45" s="1"/>
  <c r="Y47" i="45"/>
  <c r="K7" i="26"/>
  <c r="G73" i="45"/>
  <c r="G74" i="45"/>
  <c r="AE74" i="45" s="1"/>
  <c r="G72" i="45"/>
  <c r="AE72" i="45" s="1"/>
  <c r="G70" i="45"/>
  <c r="AE70" i="45" s="1"/>
  <c r="G63" i="45"/>
  <c r="G64" i="45"/>
  <c r="G65" i="45"/>
  <c r="G66" i="45"/>
  <c r="G67" i="45"/>
  <c r="G68" i="45"/>
  <c r="G69" i="45"/>
  <c r="G62" i="45"/>
  <c r="G58" i="45"/>
  <c r="G59" i="45"/>
  <c r="G60" i="45"/>
  <c r="G57" i="45"/>
  <c r="G55" i="45"/>
  <c r="G53" i="45"/>
  <c r="G48" i="45"/>
  <c r="G49" i="45"/>
  <c r="G50" i="45"/>
  <c r="G51" i="45"/>
  <c r="G47" i="45"/>
  <c r="G42" i="45"/>
  <c r="G40" i="45"/>
  <c r="G39" i="45"/>
  <c r="G36" i="45"/>
  <c r="G37" i="45"/>
  <c r="G35" i="45"/>
  <c r="G31" i="45"/>
  <c r="G60" i="26"/>
  <c r="G32" i="45" s="1"/>
  <c r="D9" i="45"/>
  <c r="D8" i="45"/>
  <c r="DL40" i="45" l="1"/>
  <c r="CZ40" i="45"/>
  <c r="CN40" i="45"/>
  <c r="CB40" i="45"/>
  <c r="BP40" i="45"/>
  <c r="BD40" i="45"/>
  <c r="AR40" i="45"/>
  <c r="DK40" i="45"/>
  <c r="CY40" i="45"/>
  <c r="CM40" i="45"/>
  <c r="CA40" i="45"/>
  <c r="BO40" i="45"/>
  <c r="BC40" i="45"/>
  <c r="AQ40" i="45"/>
  <c r="DJ40" i="45"/>
  <c r="CX40" i="45"/>
  <c r="CL40" i="45"/>
  <c r="BZ40" i="45"/>
  <c r="BN40" i="45"/>
  <c r="BB40" i="45"/>
  <c r="AP40" i="45"/>
  <c r="DI40" i="45"/>
  <c r="CW40" i="45"/>
  <c r="CK40" i="45"/>
  <c r="BY40" i="45"/>
  <c r="BM40" i="45"/>
  <c r="BA40" i="45"/>
  <c r="AO40" i="45"/>
  <c r="DH40" i="45"/>
  <c r="CV40" i="45"/>
  <c r="CJ40" i="45"/>
  <c r="BX40" i="45"/>
  <c r="BL40" i="45"/>
  <c r="AZ40" i="45"/>
  <c r="AN40" i="45"/>
  <c r="DG40" i="45"/>
  <c r="CU40" i="45"/>
  <c r="CI40" i="45"/>
  <c r="BW40" i="45"/>
  <c r="BK40" i="45"/>
  <c r="AY40" i="45"/>
  <c r="AM40" i="45"/>
  <c r="DM40" i="45"/>
  <c r="DA40" i="45"/>
  <c r="CO40" i="45"/>
  <c r="CC40" i="45"/>
  <c r="BQ40" i="45"/>
  <c r="BE40" i="45"/>
  <c r="DF40" i="45"/>
  <c r="CT40" i="45"/>
  <c r="CH40" i="45"/>
  <c r="BV40" i="45"/>
  <c r="BJ40" i="45"/>
  <c r="AX40" i="45"/>
  <c r="AL40" i="45"/>
  <c r="DE40" i="45"/>
  <c r="CS40" i="45"/>
  <c r="CG40" i="45"/>
  <c r="BU40" i="45"/>
  <c r="BI40" i="45"/>
  <c r="AW40" i="45"/>
  <c r="AK40" i="45"/>
  <c r="DD40" i="45"/>
  <c r="CR40" i="45"/>
  <c r="CF40" i="45"/>
  <c r="BT40" i="45"/>
  <c r="BH40" i="45"/>
  <c r="AV40" i="45"/>
  <c r="AJ40" i="45"/>
  <c r="DC40" i="45"/>
  <c r="CQ40" i="45"/>
  <c r="CE40" i="45"/>
  <c r="BS40" i="45"/>
  <c r="BG40" i="45"/>
  <c r="AU40" i="45"/>
  <c r="AI40" i="45"/>
  <c r="DN40" i="45"/>
  <c r="DB40" i="45"/>
  <c r="CP40" i="45"/>
  <c r="CD40" i="45"/>
  <c r="BR40" i="45"/>
  <c r="BF40" i="45"/>
  <c r="AT40" i="45"/>
  <c r="AS40" i="45"/>
  <c r="DL42" i="45"/>
  <c r="CZ42" i="45"/>
  <c r="CN42" i="45"/>
  <c r="CB42" i="45"/>
  <c r="BP42" i="45"/>
  <c r="BD42" i="45"/>
  <c r="AR42" i="45"/>
  <c r="DK42" i="45"/>
  <c r="CY42" i="45"/>
  <c r="CM42" i="45"/>
  <c r="CA42" i="45"/>
  <c r="BO42" i="45"/>
  <c r="BC42" i="45"/>
  <c r="AQ42" i="45"/>
  <c r="DJ42" i="45"/>
  <c r="CX42" i="45"/>
  <c r="CL42" i="45"/>
  <c r="BZ42" i="45"/>
  <c r="BN42" i="45"/>
  <c r="BB42" i="45"/>
  <c r="AP42" i="45"/>
  <c r="DA42" i="45"/>
  <c r="DI42" i="45"/>
  <c r="CW42" i="45"/>
  <c r="CK42" i="45"/>
  <c r="BY42" i="45"/>
  <c r="BM42" i="45"/>
  <c r="BA42" i="45"/>
  <c r="AO42" i="45"/>
  <c r="CO42" i="45"/>
  <c r="DH42" i="45"/>
  <c r="CV42" i="45"/>
  <c r="CJ42" i="45"/>
  <c r="BX42" i="45"/>
  <c r="BL42" i="45"/>
  <c r="AZ42" i="45"/>
  <c r="AN42" i="45"/>
  <c r="DG42" i="45"/>
  <c r="CU42" i="45"/>
  <c r="CI42" i="45"/>
  <c r="BW42" i="45"/>
  <c r="BK42" i="45"/>
  <c r="AY42" i="45"/>
  <c r="AM42" i="45"/>
  <c r="DM42" i="45"/>
  <c r="BQ42" i="45"/>
  <c r="BE42" i="45"/>
  <c r="AS42" i="45"/>
  <c r="DF42" i="45"/>
  <c r="CT42" i="45"/>
  <c r="CH42" i="45"/>
  <c r="BV42" i="45"/>
  <c r="BJ42" i="45"/>
  <c r="AX42" i="45"/>
  <c r="AL42" i="45"/>
  <c r="DE42" i="45"/>
  <c r="CS42" i="45"/>
  <c r="CG42" i="45"/>
  <c r="BU42" i="45"/>
  <c r="BI42" i="45"/>
  <c r="AW42" i="45"/>
  <c r="AK42" i="45"/>
  <c r="DD42" i="45"/>
  <c r="CR42" i="45"/>
  <c r="CF42" i="45"/>
  <c r="BT42" i="45"/>
  <c r="BH42" i="45"/>
  <c r="AV42" i="45"/>
  <c r="AJ42" i="45"/>
  <c r="DC42" i="45"/>
  <c r="CQ42" i="45"/>
  <c r="CE42" i="45"/>
  <c r="BS42" i="45"/>
  <c r="BG42" i="45"/>
  <c r="AU42" i="45"/>
  <c r="AI42" i="45"/>
  <c r="CC42" i="45"/>
  <c r="DN42" i="45"/>
  <c r="DB42" i="45"/>
  <c r="CP42" i="45"/>
  <c r="CD42" i="45"/>
  <c r="BR42" i="45"/>
  <c r="BF42" i="45"/>
  <c r="AT42" i="45"/>
  <c r="DL39" i="45"/>
  <c r="CZ39" i="45"/>
  <c r="CN39" i="45"/>
  <c r="CB39" i="45"/>
  <c r="BP39" i="45"/>
  <c r="BD39" i="45"/>
  <c r="AR39" i="45"/>
  <c r="DK39" i="45"/>
  <c r="CY39" i="45"/>
  <c r="CM39" i="45"/>
  <c r="CA39" i="45"/>
  <c r="BO39" i="45"/>
  <c r="BC39" i="45"/>
  <c r="AQ39" i="45"/>
  <c r="DJ39" i="45"/>
  <c r="CX39" i="45"/>
  <c r="CL39" i="45"/>
  <c r="BZ39" i="45"/>
  <c r="BN39" i="45"/>
  <c r="BB39" i="45"/>
  <c r="AP39" i="45"/>
  <c r="DI39" i="45"/>
  <c r="CW39" i="45"/>
  <c r="CK39" i="45"/>
  <c r="BY39" i="45"/>
  <c r="BM39" i="45"/>
  <c r="BA39" i="45"/>
  <c r="AO39" i="45"/>
  <c r="DM39" i="45"/>
  <c r="BE39" i="45"/>
  <c r="DH39" i="45"/>
  <c r="CV39" i="45"/>
  <c r="CJ39" i="45"/>
  <c r="BX39" i="45"/>
  <c r="BL39" i="45"/>
  <c r="AZ39" i="45"/>
  <c r="AN39" i="45"/>
  <c r="DG39" i="45"/>
  <c r="CU39" i="45"/>
  <c r="CI39" i="45"/>
  <c r="BW39" i="45"/>
  <c r="BK39" i="45"/>
  <c r="AY39" i="45"/>
  <c r="AM39" i="45"/>
  <c r="DA39" i="45"/>
  <c r="CC39" i="45"/>
  <c r="BQ39" i="45"/>
  <c r="AS39" i="45"/>
  <c r="DF39" i="45"/>
  <c r="CT39" i="45"/>
  <c r="CH39" i="45"/>
  <c r="BV39" i="45"/>
  <c r="BJ39" i="45"/>
  <c r="AX39" i="45"/>
  <c r="AL39" i="45"/>
  <c r="CO39" i="45"/>
  <c r="DE39" i="45"/>
  <c r="CS39" i="45"/>
  <c r="CG39" i="45"/>
  <c r="BU39" i="45"/>
  <c r="BI39" i="45"/>
  <c r="AW39" i="45"/>
  <c r="AK39" i="45"/>
  <c r="DD39" i="45"/>
  <c r="CR39" i="45"/>
  <c r="CF39" i="45"/>
  <c r="BT39" i="45"/>
  <c r="BH39" i="45"/>
  <c r="AV39" i="45"/>
  <c r="AJ39" i="45"/>
  <c r="DC39" i="45"/>
  <c r="CQ39" i="45"/>
  <c r="CE39" i="45"/>
  <c r="BS39" i="45"/>
  <c r="BG39" i="45"/>
  <c r="AU39" i="45"/>
  <c r="AI39" i="45"/>
  <c r="DN39" i="45"/>
  <c r="DB39" i="45"/>
  <c r="CP39" i="45"/>
  <c r="CD39" i="45"/>
  <c r="BR39" i="45"/>
  <c r="BF39" i="45"/>
  <c r="AT39" i="45"/>
  <c r="K81" i="26"/>
  <c r="AQ70" i="45"/>
  <c r="K98" i="26"/>
  <c r="DH66" i="45"/>
  <c r="CV66" i="45"/>
  <c r="CJ66" i="45"/>
  <c r="BX66" i="45"/>
  <c r="BL66" i="45"/>
  <c r="AZ66" i="45"/>
  <c r="AN66" i="45"/>
  <c r="DG66" i="45"/>
  <c r="CU66" i="45"/>
  <c r="CI66" i="45"/>
  <c r="BW66" i="45"/>
  <c r="BK66" i="45"/>
  <c r="AY66" i="45"/>
  <c r="AM66" i="45"/>
  <c r="DF66" i="45"/>
  <c r="CT66" i="45"/>
  <c r="CH66" i="45"/>
  <c r="BV66" i="45"/>
  <c r="BJ66" i="45"/>
  <c r="AX66" i="45"/>
  <c r="AL66" i="45"/>
  <c r="DE66" i="45"/>
  <c r="CS66" i="45"/>
  <c r="CG66" i="45"/>
  <c r="BU66" i="45"/>
  <c r="BI66" i="45"/>
  <c r="AW66" i="45"/>
  <c r="AK66" i="45"/>
  <c r="DD66" i="45"/>
  <c r="CR66" i="45"/>
  <c r="CF66" i="45"/>
  <c r="BT66" i="45"/>
  <c r="BH66" i="45"/>
  <c r="AV66" i="45"/>
  <c r="AJ66" i="45"/>
  <c r="DC66" i="45"/>
  <c r="CQ66" i="45"/>
  <c r="CE66" i="45"/>
  <c r="BS66" i="45"/>
  <c r="BG66" i="45"/>
  <c r="AU66" i="45"/>
  <c r="AI66" i="45"/>
  <c r="DN66" i="45"/>
  <c r="DB66" i="45"/>
  <c r="CP66" i="45"/>
  <c r="CD66" i="45"/>
  <c r="BR66" i="45"/>
  <c r="BF66" i="45"/>
  <c r="AT66" i="45"/>
  <c r="DL66" i="45"/>
  <c r="CZ66" i="45"/>
  <c r="CN66" i="45"/>
  <c r="CB66" i="45"/>
  <c r="BP66" i="45"/>
  <c r="BD66" i="45"/>
  <c r="AR66" i="45"/>
  <c r="DK66" i="45"/>
  <c r="CY66" i="45"/>
  <c r="CM66" i="45"/>
  <c r="CA66" i="45"/>
  <c r="BO66" i="45"/>
  <c r="BC66" i="45"/>
  <c r="AQ66" i="45"/>
  <c r="CC66" i="45"/>
  <c r="BZ66" i="45"/>
  <c r="BY66" i="45"/>
  <c r="DM66" i="45"/>
  <c r="BQ66" i="45"/>
  <c r="DJ66" i="45"/>
  <c r="BN66" i="45"/>
  <c r="DI66" i="45"/>
  <c r="BM66" i="45"/>
  <c r="DA66" i="45"/>
  <c r="BE66" i="45"/>
  <c r="AP66" i="45"/>
  <c r="CX66" i="45"/>
  <c r="BB66" i="45"/>
  <c r="CO66" i="45"/>
  <c r="AS66" i="45"/>
  <c r="CL66" i="45"/>
  <c r="CK66" i="45"/>
  <c r="AO66" i="45"/>
  <c r="CW66" i="45"/>
  <c r="BA66" i="45"/>
  <c r="DI63" i="45"/>
  <c r="CW63" i="45"/>
  <c r="CK63" i="45"/>
  <c r="BY63" i="45"/>
  <c r="BM63" i="45"/>
  <c r="BA63" i="45"/>
  <c r="AO63" i="45"/>
  <c r="DH63" i="45"/>
  <c r="CV63" i="45"/>
  <c r="CJ63" i="45"/>
  <c r="BX63" i="45"/>
  <c r="BL63" i="45"/>
  <c r="AZ63" i="45"/>
  <c r="AN63" i="45"/>
  <c r="DG63" i="45"/>
  <c r="CU63" i="45"/>
  <c r="CI63" i="45"/>
  <c r="BW63" i="45"/>
  <c r="BK63" i="45"/>
  <c r="AY63" i="45"/>
  <c r="AM63" i="45"/>
  <c r="DF63" i="45"/>
  <c r="CT63" i="45"/>
  <c r="CH63" i="45"/>
  <c r="BV63" i="45"/>
  <c r="BJ63" i="45"/>
  <c r="AX63" i="45"/>
  <c r="AL63" i="45"/>
  <c r="DE63" i="45"/>
  <c r="CS63" i="45"/>
  <c r="CG63" i="45"/>
  <c r="BU63" i="45"/>
  <c r="BI63" i="45"/>
  <c r="AW63" i="45"/>
  <c r="AK63" i="45"/>
  <c r="DD63" i="45"/>
  <c r="CR63" i="45"/>
  <c r="CF63" i="45"/>
  <c r="BT63" i="45"/>
  <c r="BH63" i="45"/>
  <c r="AV63" i="45"/>
  <c r="AJ63" i="45"/>
  <c r="DC63" i="45"/>
  <c r="CQ63" i="45"/>
  <c r="CE63" i="45"/>
  <c r="BS63" i="45"/>
  <c r="BG63" i="45"/>
  <c r="AU63" i="45"/>
  <c r="AI63" i="45"/>
  <c r="DM63" i="45"/>
  <c r="DA63" i="45"/>
  <c r="CO63" i="45"/>
  <c r="CC63" i="45"/>
  <c r="BQ63" i="45"/>
  <c r="BE63" i="45"/>
  <c r="AS63" i="45"/>
  <c r="DL63" i="45"/>
  <c r="CZ63" i="45"/>
  <c r="CN63" i="45"/>
  <c r="CB63" i="45"/>
  <c r="BP63" i="45"/>
  <c r="BD63" i="45"/>
  <c r="AR63" i="45"/>
  <c r="CP63" i="45"/>
  <c r="AT63" i="45"/>
  <c r="CM63" i="45"/>
  <c r="AQ63" i="45"/>
  <c r="CL63" i="45"/>
  <c r="AP63" i="45"/>
  <c r="CD63" i="45"/>
  <c r="CA63" i="45"/>
  <c r="BF63" i="45"/>
  <c r="CX63" i="45"/>
  <c r="BZ63" i="45"/>
  <c r="DN63" i="45"/>
  <c r="BR63" i="45"/>
  <c r="DK63" i="45"/>
  <c r="BO63" i="45"/>
  <c r="BC63" i="45"/>
  <c r="DJ63" i="45"/>
  <c r="BN63" i="45"/>
  <c r="DB63" i="45"/>
  <c r="CY63" i="45"/>
  <c r="BB63" i="45"/>
  <c r="DF60" i="45"/>
  <c r="CT60" i="45"/>
  <c r="CH60" i="45"/>
  <c r="BV60" i="45"/>
  <c r="BJ60" i="45"/>
  <c r="AX60" i="45"/>
  <c r="AL60" i="45"/>
  <c r="DE60" i="45"/>
  <c r="CS60" i="45"/>
  <c r="CG60" i="45"/>
  <c r="BU60" i="45"/>
  <c r="BI60" i="45"/>
  <c r="AW60" i="45"/>
  <c r="AK60" i="45"/>
  <c r="DD60" i="45"/>
  <c r="CR60" i="45"/>
  <c r="CF60" i="45"/>
  <c r="BT60" i="45"/>
  <c r="BH60" i="45"/>
  <c r="AV60" i="45"/>
  <c r="AJ60" i="45"/>
  <c r="DC60" i="45"/>
  <c r="CQ60" i="45"/>
  <c r="CE60" i="45"/>
  <c r="BS60" i="45"/>
  <c r="BG60" i="45"/>
  <c r="AU60" i="45"/>
  <c r="AI60" i="45"/>
  <c r="DN60" i="45"/>
  <c r="DB60" i="45"/>
  <c r="CP60" i="45"/>
  <c r="CD60" i="45"/>
  <c r="BR60" i="45"/>
  <c r="BF60" i="45"/>
  <c r="AT60" i="45"/>
  <c r="DM60" i="45"/>
  <c r="DA60" i="45"/>
  <c r="CO60" i="45"/>
  <c r="CC60" i="45"/>
  <c r="BQ60" i="45"/>
  <c r="BE60" i="45"/>
  <c r="AS60" i="45"/>
  <c r="DL60" i="45"/>
  <c r="CZ60" i="45"/>
  <c r="CN60" i="45"/>
  <c r="CB60" i="45"/>
  <c r="BP60" i="45"/>
  <c r="BD60" i="45"/>
  <c r="AR60" i="45"/>
  <c r="DJ60" i="45"/>
  <c r="CX60" i="45"/>
  <c r="CL60" i="45"/>
  <c r="BZ60" i="45"/>
  <c r="BN60" i="45"/>
  <c r="BB60" i="45"/>
  <c r="AP60" i="45"/>
  <c r="DI60" i="45"/>
  <c r="CW60" i="45"/>
  <c r="CK60" i="45"/>
  <c r="BY60" i="45"/>
  <c r="BM60" i="45"/>
  <c r="BA60" i="45"/>
  <c r="AO60" i="45"/>
  <c r="DH60" i="45"/>
  <c r="BL60" i="45"/>
  <c r="DG60" i="45"/>
  <c r="BK60" i="45"/>
  <c r="CY60" i="45"/>
  <c r="BC60" i="45"/>
  <c r="CV60" i="45"/>
  <c r="AZ60" i="45"/>
  <c r="CU60" i="45"/>
  <c r="AY60" i="45"/>
  <c r="BW60" i="45"/>
  <c r="CM60" i="45"/>
  <c r="AQ60" i="45"/>
  <c r="CJ60" i="45"/>
  <c r="AN60" i="45"/>
  <c r="BX60" i="45"/>
  <c r="CI60" i="45"/>
  <c r="AM60" i="45"/>
  <c r="CA60" i="45"/>
  <c r="DK60" i="45"/>
  <c r="BO60" i="45"/>
  <c r="K100" i="26"/>
  <c r="AQ72" i="45"/>
  <c r="Z47" i="45"/>
  <c r="DI65" i="45"/>
  <c r="CW65" i="45"/>
  <c r="CK65" i="45"/>
  <c r="BY65" i="45"/>
  <c r="BM65" i="45"/>
  <c r="BA65" i="45"/>
  <c r="AO65" i="45"/>
  <c r="DH65" i="45"/>
  <c r="CV65" i="45"/>
  <c r="CJ65" i="45"/>
  <c r="BX65" i="45"/>
  <c r="BL65" i="45"/>
  <c r="AZ65" i="45"/>
  <c r="AN65" i="45"/>
  <c r="DG65" i="45"/>
  <c r="CU65" i="45"/>
  <c r="CI65" i="45"/>
  <c r="BW65" i="45"/>
  <c r="BK65" i="45"/>
  <c r="AY65" i="45"/>
  <c r="AM65" i="45"/>
  <c r="DF65" i="45"/>
  <c r="CT65" i="45"/>
  <c r="CH65" i="45"/>
  <c r="BV65" i="45"/>
  <c r="BJ65" i="45"/>
  <c r="AX65" i="45"/>
  <c r="AL65" i="45"/>
  <c r="DE65" i="45"/>
  <c r="CS65" i="45"/>
  <c r="CG65" i="45"/>
  <c r="BU65" i="45"/>
  <c r="BI65" i="45"/>
  <c r="AW65" i="45"/>
  <c r="AK65" i="45"/>
  <c r="DD65" i="45"/>
  <c r="CR65" i="45"/>
  <c r="CF65" i="45"/>
  <c r="BT65" i="45"/>
  <c r="BH65" i="45"/>
  <c r="AV65" i="45"/>
  <c r="AJ65" i="45"/>
  <c r="DC65" i="45"/>
  <c r="CQ65" i="45"/>
  <c r="CE65" i="45"/>
  <c r="BS65" i="45"/>
  <c r="BG65" i="45"/>
  <c r="AU65" i="45"/>
  <c r="AI65" i="45"/>
  <c r="DM65" i="45"/>
  <c r="DA65" i="45"/>
  <c r="CO65" i="45"/>
  <c r="CC65" i="45"/>
  <c r="BQ65" i="45"/>
  <c r="BE65" i="45"/>
  <c r="AS65" i="45"/>
  <c r="DL65" i="45"/>
  <c r="CZ65" i="45"/>
  <c r="CN65" i="45"/>
  <c r="CB65" i="45"/>
  <c r="BP65" i="45"/>
  <c r="BD65" i="45"/>
  <c r="AR65" i="45"/>
  <c r="DN65" i="45"/>
  <c r="BR65" i="45"/>
  <c r="DK65" i="45"/>
  <c r="BO65" i="45"/>
  <c r="DJ65" i="45"/>
  <c r="BN65" i="45"/>
  <c r="DB65" i="45"/>
  <c r="BF65" i="45"/>
  <c r="CY65" i="45"/>
  <c r="BC65" i="45"/>
  <c r="CX65" i="45"/>
  <c r="BB65" i="45"/>
  <c r="CP65" i="45"/>
  <c r="AT65" i="45"/>
  <c r="CM65" i="45"/>
  <c r="AQ65" i="45"/>
  <c r="CD65" i="45"/>
  <c r="CA65" i="45"/>
  <c r="CL65" i="45"/>
  <c r="AP65" i="45"/>
  <c r="BZ65" i="45"/>
  <c r="K102" i="26"/>
  <c r="AQ74" i="45"/>
  <c r="DI58" i="45"/>
  <c r="CW58" i="45"/>
  <c r="CK58" i="45"/>
  <c r="DH58" i="45"/>
  <c r="CV58" i="45"/>
  <c r="DG58" i="45"/>
  <c r="CU58" i="45"/>
  <c r="CI58" i="45"/>
  <c r="DF58" i="45"/>
  <c r="CT58" i="45"/>
  <c r="DE58" i="45"/>
  <c r="CS58" i="45"/>
  <c r="DD58" i="45"/>
  <c r="CR58" i="45"/>
  <c r="CF58" i="45"/>
  <c r="DC58" i="45"/>
  <c r="CQ58" i="45"/>
  <c r="DM58" i="45"/>
  <c r="DA58" i="45"/>
  <c r="CO58" i="45"/>
  <c r="DL58" i="45"/>
  <c r="CZ58" i="45"/>
  <c r="CN58" i="45"/>
  <c r="CM58" i="45"/>
  <c r="BX58" i="45"/>
  <c r="BL58" i="45"/>
  <c r="AZ58" i="45"/>
  <c r="AN58" i="45"/>
  <c r="CL58" i="45"/>
  <c r="BW58" i="45"/>
  <c r="BK58" i="45"/>
  <c r="AY58" i="45"/>
  <c r="AM58" i="45"/>
  <c r="CJ58" i="45"/>
  <c r="BV58" i="45"/>
  <c r="BJ58" i="45"/>
  <c r="AX58" i="45"/>
  <c r="AL58" i="45"/>
  <c r="CH58" i="45"/>
  <c r="BU58" i="45"/>
  <c r="BI58" i="45"/>
  <c r="AW58" i="45"/>
  <c r="AK58" i="45"/>
  <c r="CG58" i="45"/>
  <c r="BT58" i="45"/>
  <c r="BH58" i="45"/>
  <c r="AV58" i="45"/>
  <c r="AJ58" i="45"/>
  <c r="CY58" i="45"/>
  <c r="AQ58" i="45"/>
  <c r="BN58" i="45"/>
  <c r="AP58" i="45"/>
  <c r="DN58" i="45"/>
  <c r="CE58" i="45"/>
  <c r="BS58" i="45"/>
  <c r="BG58" i="45"/>
  <c r="AU58" i="45"/>
  <c r="AI58" i="45"/>
  <c r="CX58" i="45"/>
  <c r="DK58" i="45"/>
  <c r="CD58" i="45"/>
  <c r="BR58" i="45"/>
  <c r="BF58" i="45"/>
  <c r="AT58" i="45"/>
  <c r="CA58" i="45"/>
  <c r="BZ58" i="45"/>
  <c r="DJ58" i="45"/>
  <c r="CC58" i="45"/>
  <c r="BQ58" i="45"/>
  <c r="BE58" i="45"/>
  <c r="AS58" i="45"/>
  <c r="BO58" i="45"/>
  <c r="BB58" i="45"/>
  <c r="DB58" i="45"/>
  <c r="CB58" i="45"/>
  <c r="BP58" i="45"/>
  <c r="BD58" i="45"/>
  <c r="AR58" i="45"/>
  <c r="BC58" i="45"/>
  <c r="CP58" i="45"/>
  <c r="BY58" i="45"/>
  <c r="BM58" i="45"/>
  <c r="BA58" i="45"/>
  <c r="AO58" i="45"/>
  <c r="DN67" i="45"/>
  <c r="DB67" i="45"/>
  <c r="CP67" i="45"/>
  <c r="CD67" i="45"/>
  <c r="BR67" i="45"/>
  <c r="BF67" i="45"/>
  <c r="AT67" i="45"/>
  <c r="DM67" i="45"/>
  <c r="DA67" i="45"/>
  <c r="CO67" i="45"/>
  <c r="CC67" i="45"/>
  <c r="BQ67" i="45"/>
  <c r="BE67" i="45"/>
  <c r="AS67" i="45"/>
  <c r="DL67" i="45"/>
  <c r="CZ67" i="45"/>
  <c r="CN67" i="45"/>
  <c r="CB67" i="45"/>
  <c r="BP67" i="45"/>
  <c r="BD67" i="45"/>
  <c r="AR67" i="45"/>
  <c r="DK67" i="45"/>
  <c r="CY67" i="45"/>
  <c r="CM67" i="45"/>
  <c r="CA67" i="45"/>
  <c r="BO67" i="45"/>
  <c r="BC67" i="45"/>
  <c r="AQ67" i="45"/>
  <c r="DJ67" i="45"/>
  <c r="CX67" i="45"/>
  <c r="CL67" i="45"/>
  <c r="BZ67" i="45"/>
  <c r="BN67" i="45"/>
  <c r="BB67" i="45"/>
  <c r="AP67" i="45"/>
  <c r="DI67" i="45"/>
  <c r="CW67" i="45"/>
  <c r="CK67" i="45"/>
  <c r="BY67" i="45"/>
  <c r="BM67" i="45"/>
  <c r="BA67" i="45"/>
  <c r="AO67" i="45"/>
  <c r="DH67" i="45"/>
  <c r="CV67" i="45"/>
  <c r="CJ67" i="45"/>
  <c r="BX67" i="45"/>
  <c r="BL67" i="45"/>
  <c r="AZ67" i="45"/>
  <c r="AN67" i="45"/>
  <c r="DF67" i="45"/>
  <c r="CT67" i="45"/>
  <c r="CH67" i="45"/>
  <c r="BV67" i="45"/>
  <c r="BJ67" i="45"/>
  <c r="AX67" i="45"/>
  <c r="AL67" i="45"/>
  <c r="DE67" i="45"/>
  <c r="CS67" i="45"/>
  <c r="CG67" i="45"/>
  <c r="BU67" i="45"/>
  <c r="BI67" i="45"/>
  <c r="AW67" i="45"/>
  <c r="AK67" i="45"/>
  <c r="CI67" i="45"/>
  <c r="AM67" i="45"/>
  <c r="CF67" i="45"/>
  <c r="AJ67" i="45"/>
  <c r="CE67" i="45"/>
  <c r="AI67" i="45"/>
  <c r="BW67" i="45"/>
  <c r="BT67" i="45"/>
  <c r="AU67" i="45"/>
  <c r="BS67" i="45"/>
  <c r="AY67" i="45"/>
  <c r="DG67" i="45"/>
  <c r="BK67" i="45"/>
  <c r="CR67" i="45"/>
  <c r="DD67" i="45"/>
  <c r="BH67" i="45"/>
  <c r="AV67" i="45"/>
  <c r="CQ67" i="45"/>
  <c r="DC67" i="45"/>
  <c r="BG67" i="45"/>
  <c r="CU67" i="45"/>
  <c r="DI62" i="45"/>
  <c r="CW62" i="45"/>
  <c r="CK62" i="45"/>
  <c r="BY62" i="45"/>
  <c r="BM62" i="45"/>
  <c r="BA62" i="45"/>
  <c r="AO62" i="45"/>
  <c r="DH62" i="45"/>
  <c r="CV62" i="45"/>
  <c r="CJ62" i="45"/>
  <c r="BX62" i="45"/>
  <c r="BL62" i="45"/>
  <c r="AZ62" i="45"/>
  <c r="AN62" i="45"/>
  <c r="DG62" i="45"/>
  <c r="CU62" i="45"/>
  <c r="CI62" i="45"/>
  <c r="BW62" i="45"/>
  <c r="BK62" i="45"/>
  <c r="AY62" i="45"/>
  <c r="AM62" i="45"/>
  <c r="DF62" i="45"/>
  <c r="CT62" i="45"/>
  <c r="CH62" i="45"/>
  <c r="BV62" i="45"/>
  <c r="BJ62" i="45"/>
  <c r="AX62" i="45"/>
  <c r="AL62" i="45"/>
  <c r="DE62" i="45"/>
  <c r="CS62" i="45"/>
  <c r="CG62" i="45"/>
  <c r="BU62" i="45"/>
  <c r="BI62" i="45"/>
  <c r="AW62" i="45"/>
  <c r="AK62" i="45"/>
  <c r="DD62" i="45"/>
  <c r="CR62" i="45"/>
  <c r="CF62" i="45"/>
  <c r="BT62" i="45"/>
  <c r="BH62" i="45"/>
  <c r="AV62" i="45"/>
  <c r="AJ62" i="45"/>
  <c r="DC62" i="45"/>
  <c r="CQ62" i="45"/>
  <c r="CE62" i="45"/>
  <c r="BS62" i="45"/>
  <c r="BG62" i="45"/>
  <c r="AU62" i="45"/>
  <c r="AI62" i="45"/>
  <c r="DM62" i="45"/>
  <c r="DA62" i="45"/>
  <c r="CO62" i="45"/>
  <c r="CC62" i="45"/>
  <c r="BQ62" i="45"/>
  <c r="BE62" i="45"/>
  <c r="AS62" i="45"/>
  <c r="DL62" i="45"/>
  <c r="CZ62" i="45"/>
  <c r="CN62" i="45"/>
  <c r="CB62" i="45"/>
  <c r="BP62" i="45"/>
  <c r="BD62" i="45"/>
  <c r="AR62" i="45"/>
  <c r="CD62" i="45"/>
  <c r="CA62" i="45"/>
  <c r="BZ62" i="45"/>
  <c r="DN62" i="45"/>
  <c r="BR62" i="45"/>
  <c r="DK62" i="45"/>
  <c r="BO62" i="45"/>
  <c r="CM62" i="45"/>
  <c r="DJ62" i="45"/>
  <c r="BN62" i="45"/>
  <c r="DB62" i="45"/>
  <c r="BF62" i="45"/>
  <c r="AQ62" i="45"/>
  <c r="CY62" i="45"/>
  <c r="BC62" i="45"/>
  <c r="CP62" i="45"/>
  <c r="CX62" i="45"/>
  <c r="BB62" i="45"/>
  <c r="AT62" i="45"/>
  <c r="CL62" i="45"/>
  <c r="AP62" i="45"/>
  <c r="DN69" i="45"/>
  <c r="DB69" i="45"/>
  <c r="CP69" i="45"/>
  <c r="CD69" i="45"/>
  <c r="BR69" i="45"/>
  <c r="BF69" i="45"/>
  <c r="AT69" i="45"/>
  <c r="DM69" i="45"/>
  <c r="DA69" i="45"/>
  <c r="CO69" i="45"/>
  <c r="CC69" i="45"/>
  <c r="BQ69" i="45"/>
  <c r="BE69" i="45"/>
  <c r="AS69" i="45"/>
  <c r="DL69" i="45"/>
  <c r="CZ69" i="45"/>
  <c r="CN69" i="45"/>
  <c r="CB69" i="45"/>
  <c r="BP69" i="45"/>
  <c r="BD69" i="45"/>
  <c r="AR69" i="45"/>
  <c r="DK69" i="45"/>
  <c r="CY69" i="45"/>
  <c r="CM69" i="45"/>
  <c r="CA69" i="45"/>
  <c r="BO69" i="45"/>
  <c r="BC69" i="45"/>
  <c r="AQ69" i="45"/>
  <c r="DJ69" i="45"/>
  <c r="CX69" i="45"/>
  <c r="CL69" i="45"/>
  <c r="BZ69" i="45"/>
  <c r="BN69" i="45"/>
  <c r="BB69" i="45"/>
  <c r="AP69" i="45"/>
  <c r="DI69" i="45"/>
  <c r="CW69" i="45"/>
  <c r="CK69" i="45"/>
  <c r="BY69" i="45"/>
  <c r="BM69" i="45"/>
  <c r="BA69" i="45"/>
  <c r="AO69" i="45"/>
  <c r="DH69" i="45"/>
  <c r="CV69" i="45"/>
  <c r="CJ69" i="45"/>
  <c r="BX69" i="45"/>
  <c r="BL69" i="45"/>
  <c r="AZ69" i="45"/>
  <c r="AN69" i="45"/>
  <c r="DF69" i="45"/>
  <c r="CT69" i="45"/>
  <c r="CH69" i="45"/>
  <c r="BV69" i="45"/>
  <c r="BJ69" i="45"/>
  <c r="AX69" i="45"/>
  <c r="AL69" i="45"/>
  <c r="DE69" i="45"/>
  <c r="CS69" i="45"/>
  <c r="CG69" i="45"/>
  <c r="BU69" i="45"/>
  <c r="BI69" i="45"/>
  <c r="AW69" i="45"/>
  <c r="AK69" i="45"/>
  <c r="DG69" i="45"/>
  <c r="BK69" i="45"/>
  <c r="DD69" i="45"/>
  <c r="BH69" i="45"/>
  <c r="DC69" i="45"/>
  <c r="BG69" i="45"/>
  <c r="CU69" i="45"/>
  <c r="AY69" i="45"/>
  <c r="CR69" i="45"/>
  <c r="AV69" i="45"/>
  <c r="CQ69" i="45"/>
  <c r="AU69" i="45"/>
  <c r="BT69" i="45"/>
  <c r="CI69" i="45"/>
  <c r="AM69" i="45"/>
  <c r="BW69" i="45"/>
  <c r="CF69" i="45"/>
  <c r="AJ69" i="45"/>
  <c r="CE69" i="45"/>
  <c r="AI69" i="45"/>
  <c r="BS69" i="45"/>
  <c r="K78" i="26"/>
  <c r="DI64" i="45"/>
  <c r="CW64" i="45"/>
  <c r="CK64" i="45"/>
  <c r="BY64" i="45"/>
  <c r="BM64" i="45"/>
  <c r="BA64" i="45"/>
  <c r="AO64" i="45"/>
  <c r="DH64" i="45"/>
  <c r="CV64" i="45"/>
  <c r="CJ64" i="45"/>
  <c r="BX64" i="45"/>
  <c r="BL64" i="45"/>
  <c r="AZ64" i="45"/>
  <c r="AN64" i="45"/>
  <c r="DG64" i="45"/>
  <c r="CU64" i="45"/>
  <c r="CI64" i="45"/>
  <c r="BW64" i="45"/>
  <c r="BK64" i="45"/>
  <c r="AY64" i="45"/>
  <c r="AM64" i="45"/>
  <c r="DF64" i="45"/>
  <c r="CT64" i="45"/>
  <c r="CH64" i="45"/>
  <c r="BV64" i="45"/>
  <c r="BJ64" i="45"/>
  <c r="AX64" i="45"/>
  <c r="AL64" i="45"/>
  <c r="DE64" i="45"/>
  <c r="CS64" i="45"/>
  <c r="CG64" i="45"/>
  <c r="BU64" i="45"/>
  <c r="BI64" i="45"/>
  <c r="AW64" i="45"/>
  <c r="AK64" i="45"/>
  <c r="DD64" i="45"/>
  <c r="CR64" i="45"/>
  <c r="CF64" i="45"/>
  <c r="BT64" i="45"/>
  <c r="BH64" i="45"/>
  <c r="AV64" i="45"/>
  <c r="AJ64" i="45"/>
  <c r="DC64" i="45"/>
  <c r="CQ64" i="45"/>
  <c r="CE64" i="45"/>
  <c r="BS64" i="45"/>
  <c r="BG64" i="45"/>
  <c r="AU64" i="45"/>
  <c r="AI64" i="45"/>
  <c r="DM64" i="45"/>
  <c r="DA64" i="45"/>
  <c r="CO64" i="45"/>
  <c r="CC64" i="45"/>
  <c r="BQ64" i="45"/>
  <c r="BE64" i="45"/>
  <c r="AS64" i="45"/>
  <c r="DL64" i="45"/>
  <c r="CZ64" i="45"/>
  <c r="CN64" i="45"/>
  <c r="CB64" i="45"/>
  <c r="BP64" i="45"/>
  <c r="BD64" i="45"/>
  <c r="AR64" i="45"/>
  <c r="DB64" i="45"/>
  <c r="BF64" i="45"/>
  <c r="CY64" i="45"/>
  <c r="BC64" i="45"/>
  <c r="CX64" i="45"/>
  <c r="BB64" i="45"/>
  <c r="CP64" i="45"/>
  <c r="AT64" i="45"/>
  <c r="CM64" i="45"/>
  <c r="AQ64" i="45"/>
  <c r="CL64" i="45"/>
  <c r="AP64" i="45"/>
  <c r="DN64" i="45"/>
  <c r="DK64" i="45"/>
  <c r="DJ64" i="45"/>
  <c r="CD64" i="45"/>
  <c r="BO64" i="45"/>
  <c r="CA64" i="45"/>
  <c r="BR64" i="45"/>
  <c r="BN64" i="45"/>
  <c r="BZ64" i="45"/>
  <c r="DJ55" i="45"/>
  <c r="CX55" i="45"/>
  <c r="CL55" i="45"/>
  <c r="BZ55" i="45"/>
  <c r="BN55" i="45"/>
  <c r="BB55" i="45"/>
  <c r="AP55" i="45"/>
  <c r="DI55" i="45"/>
  <c r="CW55" i="45"/>
  <c r="CK55" i="45"/>
  <c r="BY55" i="45"/>
  <c r="BM55" i="45"/>
  <c r="BA55" i="45"/>
  <c r="AO55" i="45"/>
  <c r="DH55" i="45"/>
  <c r="CJ55" i="45"/>
  <c r="BX55" i="45"/>
  <c r="AZ55" i="45"/>
  <c r="AN55" i="45"/>
  <c r="BK55" i="45"/>
  <c r="CV55" i="45"/>
  <c r="BL55" i="45"/>
  <c r="DG55" i="45"/>
  <c r="CI55" i="45"/>
  <c r="BW55" i="45"/>
  <c r="AM55" i="45"/>
  <c r="CU55" i="45"/>
  <c r="AY55" i="45"/>
  <c r="DF55" i="45"/>
  <c r="CT55" i="45"/>
  <c r="CH55" i="45"/>
  <c r="BV55" i="45"/>
  <c r="BJ55" i="45"/>
  <c r="AX55" i="45"/>
  <c r="AL55" i="45"/>
  <c r="DM55" i="45"/>
  <c r="BQ55" i="45"/>
  <c r="DL55" i="45"/>
  <c r="BP55" i="45"/>
  <c r="DE55" i="45"/>
  <c r="CS55" i="45"/>
  <c r="CG55" i="45"/>
  <c r="BU55" i="45"/>
  <c r="BI55" i="45"/>
  <c r="AW55" i="45"/>
  <c r="AK55" i="45"/>
  <c r="BE55" i="45"/>
  <c r="BD55" i="45"/>
  <c r="DD55" i="45"/>
  <c r="CR55" i="45"/>
  <c r="CF55" i="45"/>
  <c r="BT55" i="45"/>
  <c r="BH55" i="45"/>
  <c r="AV55" i="45"/>
  <c r="AJ55" i="45"/>
  <c r="CC55" i="45"/>
  <c r="CZ55" i="45"/>
  <c r="AR55" i="45"/>
  <c r="DC55" i="45"/>
  <c r="CQ55" i="45"/>
  <c r="CE55" i="45"/>
  <c r="BS55" i="45"/>
  <c r="BG55" i="45"/>
  <c r="AU55" i="45"/>
  <c r="AI55" i="45"/>
  <c r="CO55" i="45"/>
  <c r="AS55" i="45"/>
  <c r="CN55" i="45"/>
  <c r="DN55" i="45"/>
  <c r="DB55" i="45"/>
  <c r="CP55" i="45"/>
  <c r="CD55" i="45"/>
  <c r="BR55" i="45"/>
  <c r="BF55" i="45"/>
  <c r="AT55" i="45"/>
  <c r="DA55" i="45"/>
  <c r="CB55" i="45"/>
  <c r="DK55" i="45"/>
  <c r="CY55" i="45"/>
  <c r="CM55" i="45"/>
  <c r="CA55" i="45"/>
  <c r="BO55" i="45"/>
  <c r="BC55" i="45"/>
  <c r="AQ55" i="45"/>
  <c r="DJ57" i="45"/>
  <c r="CX57" i="45"/>
  <c r="CL57" i="45"/>
  <c r="BZ57" i="45"/>
  <c r="BN57" i="45"/>
  <c r="BB57" i="45"/>
  <c r="AP57" i="45"/>
  <c r="DI57" i="45"/>
  <c r="CW57" i="45"/>
  <c r="CK57" i="45"/>
  <c r="BY57" i="45"/>
  <c r="BM57" i="45"/>
  <c r="BA57" i="45"/>
  <c r="AO57" i="45"/>
  <c r="DH57" i="45"/>
  <c r="CV57" i="45"/>
  <c r="CJ57" i="45"/>
  <c r="BL57" i="45"/>
  <c r="AZ57" i="45"/>
  <c r="AN57" i="45"/>
  <c r="BX57" i="45"/>
  <c r="CU57" i="45"/>
  <c r="CI57" i="45"/>
  <c r="BK57" i="45"/>
  <c r="AY57" i="45"/>
  <c r="DG57" i="45"/>
  <c r="BW57" i="45"/>
  <c r="AM57" i="45"/>
  <c r="DF57" i="45"/>
  <c r="CT57" i="45"/>
  <c r="CH57" i="45"/>
  <c r="BV57" i="45"/>
  <c r="BJ57" i="45"/>
  <c r="AX57" i="45"/>
  <c r="AL57" i="45"/>
  <c r="CO57" i="45"/>
  <c r="BE57" i="45"/>
  <c r="CN57" i="45"/>
  <c r="BP57" i="45"/>
  <c r="DE57" i="45"/>
  <c r="CS57" i="45"/>
  <c r="CG57" i="45"/>
  <c r="BU57" i="45"/>
  <c r="BI57" i="45"/>
  <c r="AW57" i="45"/>
  <c r="AK57" i="45"/>
  <c r="DA57" i="45"/>
  <c r="AR57" i="45"/>
  <c r="DD57" i="45"/>
  <c r="CR57" i="45"/>
  <c r="CF57" i="45"/>
  <c r="BT57" i="45"/>
  <c r="BH57" i="45"/>
  <c r="AV57" i="45"/>
  <c r="AJ57" i="45"/>
  <c r="DM57" i="45"/>
  <c r="CC57" i="45"/>
  <c r="AS57" i="45"/>
  <c r="DL57" i="45"/>
  <c r="CB57" i="45"/>
  <c r="DC57" i="45"/>
  <c r="CQ57" i="45"/>
  <c r="CE57" i="45"/>
  <c r="BS57" i="45"/>
  <c r="BG57" i="45"/>
  <c r="AU57" i="45"/>
  <c r="AI57" i="45"/>
  <c r="BQ57" i="45"/>
  <c r="BD57" i="45"/>
  <c r="DN57" i="45"/>
  <c r="DB57" i="45"/>
  <c r="CP57" i="45"/>
  <c r="CD57" i="45"/>
  <c r="BR57" i="45"/>
  <c r="BF57" i="45"/>
  <c r="AT57" i="45"/>
  <c r="CZ57" i="45"/>
  <c r="BC57" i="45"/>
  <c r="CY57" i="45"/>
  <c r="CA57" i="45"/>
  <c r="AQ57" i="45"/>
  <c r="CM57" i="45"/>
  <c r="BO57" i="45"/>
  <c r="DK57" i="45"/>
  <c r="DH59" i="45"/>
  <c r="CV59" i="45"/>
  <c r="CJ59" i="45"/>
  <c r="BX59" i="45"/>
  <c r="BL59" i="45"/>
  <c r="AZ59" i="45"/>
  <c r="AN59" i="45"/>
  <c r="DG59" i="45"/>
  <c r="CU59" i="45"/>
  <c r="CI59" i="45"/>
  <c r="BW59" i="45"/>
  <c r="BK59" i="45"/>
  <c r="AY59" i="45"/>
  <c r="AM59" i="45"/>
  <c r="DF59" i="45"/>
  <c r="CT59" i="45"/>
  <c r="CH59" i="45"/>
  <c r="BV59" i="45"/>
  <c r="BJ59" i="45"/>
  <c r="AX59" i="45"/>
  <c r="AL59" i="45"/>
  <c r="DE59" i="45"/>
  <c r="CS59" i="45"/>
  <c r="CG59" i="45"/>
  <c r="BU59" i="45"/>
  <c r="BI59" i="45"/>
  <c r="AW59" i="45"/>
  <c r="AK59" i="45"/>
  <c r="DD59" i="45"/>
  <c r="CR59" i="45"/>
  <c r="CF59" i="45"/>
  <c r="BT59" i="45"/>
  <c r="BH59" i="45"/>
  <c r="AV59" i="45"/>
  <c r="AJ59" i="45"/>
  <c r="DC59" i="45"/>
  <c r="CQ59" i="45"/>
  <c r="CE59" i="45"/>
  <c r="BS59" i="45"/>
  <c r="BG59" i="45"/>
  <c r="AU59" i="45"/>
  <c r="AI59" i="45"/>
  <c r="DN59" i="45"/>
  <c r="DB59" i="45"/>
  <c r="CP59" i="45"/>
  <c r="CD59" i="45"/>
  <c r="BR59" i="45"/>
  <c r="BF59" i="45"/>
  <c r="AT59" i="45"/>
  <c r="DL59" i="45"/>
  <c r="CZ59" i="45"/>
  <c r="CN59" i="45"/>
  <c r="CB59" i="45"/>
  <c r="BP59" i="45"/>
  <c r="BD59" i="45"/>
  <c r="AR59" i="45"/>
  <c r="DK59" i="45"/>
  <c r="CY59" i="45"/>
  <c r="CM59" i="45"/>
  <c r="CA59" i="45"/>
  <c r="BO59" i="45"/>
  <c r="BC59" i="45"/>
  <c r="AQ59" i="45"/>
  <c r="CX59" i="45"/>
  <c r="BB59" i="45"/>
  <c r="CW59" i="45"/>
  <c r="BA59" i="45"/>
  <c r="CO59" i="45"/>
  <c r="AS59" i="45"/>
  <c r="AP59" i="45"/>
  <c r="CL59" i="45"/>
  <c r="CK59" i="45"/>
  <c r="AO59" i="45"/>
  <c r="DJ59" i="45"/>
  <c r="BM59" i="45"/>
  <c r="CC59" i="45"/>
  <c r="BZ59" i="45"/>
  <c r="BN59" i="45"/>
  <c r="DI59" i="45"/>
  <c r="BY59" i="45"/>
  <c r="DM59" i="45"/>
  <c r="BQ59" i="45"/>
  <c r="DA59" i="45"/>
  <c r="BE59" i="45"/>
  <c r="DN68" i="45"/>
  <c r="DB68" i="45"/>
  <c r="CP68" i="45"/>
  <c r="CD68" i="45"/>
  <c r="BR68" i="45"/>
  <c r="BF68" i="45"/>
  <c r="AT68" i="45"/>
  <c r="DM68" i="45"/>
  <c r="DA68" i="45"/>
  <c r="CO68" i="45"/>
  <c r="CC68" i="45"/>
  <c r="BQ68" i="45"/>
  <c r="BE68" i="45"/>
  <c r="AS68" i="45"/>
  <c r="DL68" i="45"/>
  <c r="CZ68" i="45"/>
  <c r="CN68" i="45"/>
  <c r="CB68" i="45"/>
  <c r="BP68" i="45"/>
  <c r="BD68" i="45"/>
  <c r="AR68" i="45"/>
  <c r="DK68" i="45"/>
  <c r="CY68" i="45"/>
  <c r="CM68" i="45"/>
  <c r="CA68" i="45"/>
  <c r="BO68" i="45"/>
  <c r="BC68" i="45"/>
  <c r="AQ68" i="45"/>
  <c r="DJ68" i="45"/>
  <c r="CX68" i="45"/>
  <c r="CL68" i="45"/>
  <c r="BZ68" i="45"/>
  <c r="BN68" i="45"/>
  <c r="BB68" i="45"/>
  <c r="AP68" i="45"/>
  <c r="DI68" i="45"/>
  <c r="CW68" i="45"/>
  <c r="CK68" i="45"/>
  <c r="BY68" i="45"/>
  <c r="BM68" i="45"/>
  <c r="BA68" i="45"/>
  <c r="AO68" i="45"/>
  <c r="DH68" i="45"/>
  <c r="CV68" i="45"/>
  <c r="CJ68" i="45"/>
  <c r="BX68" i="45"/>
  <c r="BL68" i="45"/>
  <c r="AZ68" i="45"/>
  <c r="AN68" i="45"/>
  <c r="DF68" i="45"/>
  <c r="CT68" i="45"/>
  <c r="CH68" i="45"/>
  <c r="BV68" i="45"/>
  <c r="BJ68" i="45"/>
  <c r="AX68" i="45"/>
  <c r="AL68" i="45"/>
  <c r="DE68" i="45"/>
  <c r="CS68" i="45"/>
  <c r="CG68" i="45"/>
  <c r="BU68" i="45"/>
  <c r="BI68" i="45"/>
  <c r="AW68" i="45"/>
  <c r="AK68" i="45"/>
  <c r="CU68" i="45"/>
  <c r="AY68" i="45"/>
  <c r="CR68" i="45"/>
  <c r="AV68" i="45"/>
  <c r="CQ68" i="45"/>
  <c r="AU68" i="45"/>
  <c r="CI68" i="45"/>
  <c r="AM68" i="45"/>
  <c r="CF68" i="45"/>
  <c r="AJ68" i="45"/>
  <c r="BK68" i="45"/>
  <c r="BH68" i="45"/>
  <c r="CE68" i="45"/>
  <c r="AI68" i="45"/>
  <c r="DC68" i="45"/>
  <c r="BW68" i="45"/>
  <c r="BT68" i="45"/>
  <c r="DG68" i="45"/>
  <c r="BS68" i="45"/>
  <c r="DD68" i="45"/>
  <c r="BG68" i="45"/>
  <c r="K77" i="26"/>
  <c r="DC47" i="45"/>
  <c r="CQ47" i="45"/>
  <c r="CE47" i="45"/>
  <c r="BS47" i="45"/>
  <c r="BG47" i="45"/>
  <c r="AU47" i="45"/>
  <c r="AI47" i="45"/>
  <c r="CR47" i="45"/>
  <c r="BT47" i="45"/>
  <c r="AV47" i="45"/>
  <c r="DD47" i="45"/>
  <c r="CF47" i="45"/>
  <c r="BH47" i="45"/>
  <c r="AJ47" i="45"/>
  <c r="BI47" i="45"/>
  <c r="DE47" i="45"/>
  <c r="CS47" i="45"/>
  <c r="CG47" i="45"/>
  <c r="BU47" i="45"/>
  <c r="AK47" i="45"/>
  <c r="DF47" i="45"/>
  <c r="CT47" i="45"/>
  <c r="CH47" i="45"/>
  <c r="BV47" i="45"/>
  <c r="BJ47" i="45"/>
  <c r="AX47" i="45"/>
  <c r="AL47" i="45"/>
  <c r="DG47" i="45"/>
  <c r="CU47" i="45"/>
  <c r="CI47" i="45"/>
  <c r="BW47" i="45"/>
  <c r="BK47" i="45"/>
  <c r="AY47" i="45"/>
  <c r="AM47" i="45"/>
  <c r="DH47" i="45"/>
  <c r="CV47" i="45"/>
  <c r="CJ47" i="45"/>
  <c r="BX47" i="45"/>
  <c r="BL47" i="45"/>
  <c r="AZ47" i="45"/>
  <c r="AN47" i="45"/>
  <c r="DI47" i="45"/>
  <c r="CW47" i="45"/>
  <c r="CK47" i="45"/>
  <c r="BY47" i="45"/>
  <c r="BM47" i="45"/>
  <c r="BA47" i="45"/>
  <c r="AO47" i="45"/>
  <c r="DL47" i="45"/>
  <c r="CB47" i="45"/>
  <c r="BD47" i="45"/>
  <c r="BR47" i="45"/>
  <c r="DJ47" i="45"/>
  <c r="CX47" i="45"/>
  <c r="CL47" i="45"/>
  <c r="BZ47" i="45"/>
  <c r="BN47" i="45"/>
  <c r="BB47" i="45"/>
  <c r="AP47" i="45"/>
  <c r="CZ47" i="45"/>
  <c r="BP47" i="45"/>
  <c r="AR47" i="45"/>
  <c r="CP47" i="45"/>
  <c r="DK47" i="45"/>
  <c r="CY47" i="45"/>
  <c r="CM47" i="45"/>
  <c r="CA47" i="45"/>
  <c r="BO47" i="45"/>
  <c r="BC47" i="45"/>
  <c r="AQ47" i="45"/>
  <c r="CD47" i="45"/>
  <c r="CN47" i="45"/>
  <c r="AW47" i="45"/>
  <c r="DM47" i="45"/>
  <c r="DA47" i="45"/>
  <c r="CO47" i="45"/>
  <c r="CC47" i="45"/>
  <c r="BQ47" i="45"/>
  <c r="BE47" i="45"/>
  <c r="AS47" i="45"/>
  <c r="DN47" i="45"/>
  <c r="DB47" i="45"/>
  <c r="BF47" i="45"/>
  <c r="AT47" i="45"/>
  <c r="DI49" i="45"/>
  <c r="CW49" i="45"/>
  <c r="CK49" i="45"/>
  <c r="BY49" i="45"/>
  <c r="BM49" i="45"/>
  <c r="BA49" i="45"/>
  <c r="AO49" i="45"/>
  <c r="CS49" i="45"/>
  <c r="BI49" i="45"/>
  <c r="CL49" i="45"/>
  <c r="DH49" i="45"/>
  <c r="CV49" i="45"/>
  <c r="CJ49" i="45"/>
  <c r="BX49" i="45"/>
  <c r="BL49" i="45"/>
  <c r="AZ49" i="45"/>
  <c r="AN49" i="45"/>
  <c r="CG49" i="45"/>
  <c r="AK49" i="45"/>
  <c r="DG49" i="45"/>
  <c r="CU49" i="45"/>
  <c r="CI49" i="45"/>
  <c r="BW49" i="45"/>
  <c r="BK49" i="45"/>
  <c r="AY49" i="45"/>
  <c r="AM49" i="45"/>
  <c r="DF49" i="45"/>
  <c r="CT49" i="45"/>
  <c r="CH49" i="45"/>
  <c r="BV49" i="45"/>
  <c r="BJ49" i="45"/>
  <c r="AX49" i="45"/>
  <c r="AL49" i="45"/>
  <c r="DE49" i="45"/>
  <c r="AW49" i="45"/>
  <c r="AP49" i="45"/>
  <c r="BU49" i="45"/>
  <c r="BB49" i="45"/>
  <c r="DD49" i="45"/>
  <c r="CR49" i="45"/>
  <c r="CF49" i="45"/>
  <c r="BT49" i="45"/>
  <c r="BH49" i="45"/>
  <c r="AV49" i="45"/>
  <c r="AJ49" i="45"/>
  <c r="DC49" i="45"/>
  <c r="CQ49" i="45"/>
  <c r="CE49" i="45"/>
  <c r="BS49" i="45"/>
  <c r="BG49" i="45"/>
  <c r="AU49" i="45"/>
  <c r="AI49" i="45"/>
  <c r="BN49" i="45"/>
  <c r="DN49" i="45"/>
  <c r="DB49" i="45"/>
  <c r="CP49" i="45"/>
  <c r="CD49" i="45"/>
  <c r="BR49" i="45"/>
  <c r="BF49" i="45"/>
  <c r="AT49" i="45"/>
  <c r="DJ49" i="45"/>
  <c r="DM49" i="45"/>
  <c r="DA49" i="45"/>
  <c r="CO49" i="45"/>
  <c r="CC49" i="45"/>
  <c r="BQ49" i="45"/>
  <c r="BE49" i="45"/>
  <c r="AS49" i="45"/>
  <c r="BZ49" i="45"/>
  <c r="DL49" i="45"/>
  <c r="CZ49" i="45"/>
  <c r="CN49" i="45"/>
  <c r="CB49" i="45"/>
  <c r="BP49" i="45"/>
  <c r="BD49" i="45"/>
  <c r="AR49" i="45"/>
  <c r="DK49" i="45"/>
  <c r="CY49" i="45"/>
  <c r="CM49" i="45"/>
  <c r="CA49" i="45"/>
  <c r="BO49" i="45"/>
  <c r="BC49" i="45"/>
  <c r="AQ49" i="45"/>
  <c r="CX49" i="45"/>
  <c r="DN53" i="45"/>
  <c r="DB53" i="45"/>
  <c r="CP53" i="45"/>
  <c r="CD53" i="45"/>
  <c r="BR53" i="45"/>
  <c r="BF53" i="45"/>
  <c r="AT53" i="45"/>
  <c r="DM53" i="45"/>
  <c r="DA53" i="45"/>
  <c r="CO53" i="45"/>
  <c r="CC53" i="45"/>
  <c r="BQ53" i="45"/>
  <c r="BE53" i="45"/>
  <c r="AS53" i="45"/>
  <c r="DL53" i="45"/>
  <c r="CZ53" i="45"/>
  <c r="CN53" i="45"/>
  <c r="CB53" i="45"/>
  <c r="BP53" i="45"/>
  <c r="BD53" i="45"/>
  <c r="AR53" i="45"/>
  <c r="DK53" i="45"/>
  <c r="CY53" i="45"/>
  <c r="CM53" i="45"/>
  <c r="CA53" i="45"/>
  <c r="BO53" i="45"/>
  <c r="BC53" i="45"/>
  <c r="AQ53" i="45"/>
  <c r="DJ53" i="45"/>
  <c r="CX53" i="45"/>
  <c r="CL53" i="45"/>
  <c r="BZ53" i="45"/>
  <c r="BN53" i="45"/>
  <c r="BB53" i="45"/>
  <c r="AP53" i="45"/>
  <c r="DI53" i="45"/>
  <c r="CW53" i="45"/>
  <c r="CK53" i="45"/>
  <c r="BY53" i="45"/>
  <c r="BM53" i="45"/>
  <c r="BA53" i="45"/>
  <c r="AO53" i="45"/>
  <c r="AU53" i="45"/>
  <c r="DH53" i="45"/>
  <c r="CV53" i="45"/>
  <c r="CJ53" i="45"/>
  <c r="BX53" i="45"/>
  <c r="BL53" i="45"/>
  <c r="AZ53" i="45"/>
  <c r="AN53" i="45"/>
  <c r="CE53" i="45"/>
  <c r="DG53" i="45"/>
  <c r="CU53" i="45"/>
  <c r="CI53" i="45"/>
  <c r="BW53" i="45"/>
  <c r="BK53" i="45"/>
  <c r="AY53" i="45"/>
  <c r="AM53" i="45"/>
  <c r="BS53" i="45"/>
  <c r="DF53" i="45"/>
  <c r="CT53" i="45"/>
  <c r="CH53" i="45"/>
  <c r="BV53" i="45"/>
  <c r="BJ53" i="45"/>
  <c r="AX53" i="45"/>
  <c r="AL53" i="45"/>
  <c r="BG53" i="45"/>
  <c r="DE53" i="45"/>
  <c r="CS53" i="45"/>
  <c r="CG53" i="45"/>
  <c r="BU53" i="45"/>
  <c r="BI53" i="45"/>
  <c r="AW53" i="45"/>
  <c r="AK53" i="45"/>
  <c r="CQ53" i="45"/>
  <c r="DD53" i="45"/>
  <c r="CR53" i="45"/>
  <c r="CF53" i="45"/>
  <c r="BT53" i="45"/>
  <c r="BH53" i="45"/>
  <c r="AV53" i="45"/>
  <c r="AJ53" i="45"/>
  <c r="DC53" i="45"/>
  <c r="AI53" i="45"/>
  <c r="DI50" i="45"/>
  <c r="CW50" i="45"/>
  <c r="CK50" i="45"/>
  <c r="BY50" i="45"/>
  <c r="BM50" i="45"/>
  <c r="BA50" i="45"/>
  <c r="AO50" i="45"/>
  <c r="BI50" i="45"/>
  <c r="DH50" i="45"/>
  <c r="CV50" i="45"/>
  <c r="CJ50" i="45"/>
  <c r="BX50" i="45"/>
  <c r="BL50" i="45"/>
  <c r="AZ50" i="45"/>
  <c r="AN50" i="45"/>
  <c r="CG50" i="45"/>
  <c r="DG50" i="45"/>
  <c r="CU50" i="45"/>
  <c r="CI50" i="45"/>
  <c r="BW50" i="45"/>
  <c r="BK50" i="45"/>
  <c r="AY50" i="45"/>
  <c r="AM50" i="45"/>
  <c r="DE50" i="45"/>
  <c r="AW50" i="45"/>
  <c r="DF50" i="45"/>
  <c r="CT50" i="45"/>
  <c r="CH50" i="45"/>
  <c r="BV50" i="45"/>
  <c r="BJ50" i="45"/>
  <c r="AX50" i="45"/>
  <c r="AL50" i="45"/>
  <c r="BU50" i="45"/>
  <c r="CS50" i="45"/>
  <c r="AK50" i="45"/>
  <c r="DD50" i="45"/>
  <c r="CR50" i="45"/>
  <c r="CF50" i="45"/>
  <c r="BT50" i="45"/>
  <c r="BH50" i="45"/>
  <c r="AV50" i="45"/>
  <c r="AJ50" i="45"/>
  <c r="AP50" i="45"/>
  <c r="DC50" i="45"/>
  <c r="CQ50" i="45"/>
  <c r="CE50" i="45"/>
  <c r="BS50" i="45"/>
  <c r="BG50" i="45"/>
  <c r="AU50" i="45"/>
  <c r="AI50" i="45"/>
  <c r="CL50" i="45"/>
  <c r="DN50" i="45"/>
  <c r="DB50" i="45"/>
  <c r="CP50" i="45"/>
  <c r="CD50" i="45"/>
  <c r="BR50" i="45"/>
  <c r="BF50" i="45"/>
  <c r="AT50" i="45"/>
  <c r="DJ50" i="45"/>
  <c r="BZ50" i="45"/>
  <c r="DM50" i="45"/>
  <c r="DA50" i="45"/>
  <c r="CO50" i="45"/>
  <c r="CC50" i="45"/>
  <c r="BQ50" i="45"/>
  <c r="BE50" i="45"/>
  <c r="AS50" i="45"/>
  <c r="BN50" i="45"/>
  <c r="DL50" i="45"/>
  <c r="CZ50" i="45"/>
  <c r="CN50" i="45"/>
  <c r="CB50" i="45"/>
  <c r="BP50" i="45"/>
  <c r="BD50" i="45"/>
  <c r="AR50" i="45"/>
  <c r="BB50" i="45"/>
  <c r="DK50" i="45"/>
  <c r="CY50" i="45"/>
  <c r="CM50" i="45"/>
  <c r="CA50" i="45"/>
  <c r="BO50" i="45"/>
  <c r="BC50" i="45"/>
  <c r="AQ50" i="45"/>
  <c r="CX50" i="45"/>
  <c r="AO48" i="45"/>
  <c r="DI48" i="45"/>
  <c r="CW48" i="45"/>
  <c r="CK48" i="45"/>
  <c r="BY48" i="45"/>
  <c r="BM48" i="45"/>
  <c r="BA48" i="45"/>
  <c r="CJ48" i="45"/>
  <c r="AN48" i="45"/>
  <c r="DH48" i="45"/>
  <c r="CV48" i="45"/>
  <c r="BX48" i="45"/>
  <c r="BL48" i="45"/>
  <c r="AZ48" i="45"/>
  <c r="AM48" i="45"/>
  <c r="DG48" i="45"/>
  <c r="CU48" i="45"/>
  <c r="CI48" i="45"/>
  <c r="BW48" i="45"/>
  <c r="BK48" i="45"/>
  <c r="AY48" i="45"/>
  <c r="AL48" i="45"/>
  <c r="DF48" i="45"/>
  <c r="CT48" i="45"/>
  <c r="CH48" i="45"/>
  <c r="BV48" i="45"/>
  <c r="BJ48" i="45"/>
  <c r="AX48" i="45"/>
  <c r="AK48" i="45"/>
  <c r="DE48" i="45"/>
  <c r="CS48" i="45"/>
  <c r="CG48" i="45"/>
  <c r="BU48" i="45"/>
  <c r="BI48" i="45"/>
  <c r="AW48" i="45"/>
  <c r="AJ48" i="45"/>
  <c r="DD48" i="45"/>
  <c r="CR48" i="45"/>
  <c r="CF48" i="45"/>
  <c r="BT48" i="45"/>
  <c r="BH48" i="45"/>
  <c r="AV48" i="45"/>
  <c r="AI48" i="45"/>
  <c r="DC48" i="45"/>
  <c r="CQ48" i="45"/>
  <c r="CE48" i="45"/>
  <c r="BS48" i="45"/>
  <c r="BG48" i="45"/>
  <c r="AU48" i="45"/>
  <c r="DL48" i="45"/>
  <c r="AP48" i="45"/>
  <c r="BN48" i="45"/>
  <c r="AT48" i="45"/>
  <c r="DN48" i="45"/>
  <c r="DB48" i="45"/>
  <c r="CP48" i="45"/>
  <c r="CD48" i="45"/>
  <c r="BR48" i="45"/>
  <c r="BF48" i="45"/>
  <c r="AR48" i="45"/>
  <c r="BP48" i="45"/>
  <c r="DJ48" i="45"/>
  <c r="AS48" i="45"/>
  <c r="DM48" i="45"/>
  <c r="DA48" i="45"/>
  <c r="CO48" i="45"/>
  <c r="CC48" i="45"/>
  <c r="BQ48" i="45"/>
  <c r="BE48" i="45"/>
  <c r="CN48" i="45"/>
  <c r="CL48" i="45"/>
  <c r="CZ48" i="45"/>
  <c r="CB48" i="45"/>
  <c r="BD48" i="45"/>
  <c r="AQ48" i="45"/>
  <c r="DK48" i="45"/>
  <c r="CY48" i="45"/>
  <c r="CM48" i="45"/>
  <c r="CA48" i="45"/>
  <c r="BO48" i="45"/>
  <c r="BC48" i="45"/>
  <c r="CX48" i="45"/>
  <c r="BZ48" i="45"/>
  <c r="BB48" i="45"/>
  <c r="G61" i="26"/>
  <c r="G33" i="45" s="1"/>
  <c r="Q68" i="26" l="1"/>
  <c r="Q67" i="26"/>
  <c r="P70" i="26"/>
  <c r="P68" i="26"/>
  <c r="R67" i="26"/>
  <c r="R70" i="26"/>
  <c r="Q70" i="26"/>
  <c r="DD33" i="45"/>
  <c r="CR33" i="45"/>
  <c r="CF33" i="45"/>
  <c r="BT33" i="45"/>
  <c r="BH33" i="45"/>
  <c r="AV33" i="45"/>
  <c r="AJ33" i="45"/>
  <c r="AZ33" i="45"/>
  <c r="DE33" i="45"/>
  <c r="CS33" i="45"/>
  <c r="CG33" i="45"/>
  <c r="BU33" i="45"/>
  <c r="BI33" i="45"/>
  <c r="AW33" i="45"/>
  <c r="AK33" i="45"/>
  <c r="AN33" i="45"/>
  <c r="DF33" i="45"/>
  <c r="CT33" i="45"/>
  <c r="CH33" i="45"/>
  <c r="BV33" i="45"/>
  <c r="BJ33" i="45"/>
  <c r="AX33" i="45"/>
  <c r="AL33" i="45"/>
  <c r="DG33" i="45"/>
  <c r="CU33" i="45"/>
  <c r="CI33" i="45"/>
  <c r="BW33" i="45"/>
  <c r="BK33" i="45"/>
  <c r="AY33" i="45"/>
  <c r="AM33" i="45"/>
  <c r="CV33" i="45"/>
  <c r="DH33" i="45"/>
  <c r="DI33" i="45"/>
  <c r="CW33" i="45"/>
  <c r="CK33" i="45"/>
  <c r="BY33" i="45"/>
  <c r="BM33" i="45"/>
  <c r="BA33" i="45"/>
  <c r="AO33" i="45"/>
  <c r="DJ33" i="45"/>
  <c r="CX33" i="45"/>
  <c r="CL33" i="45"/>
  <c r="BZ33" i="45"/>
  <c r="BN33" i="45"/>
  <c r="BB33" i="45"/>
  <c r="AP33" i="45"/>
  <c r="BL33" i="45"/>
  <c r="DK33" i="45"/>
  <c r="CY33" i="45"/>
  <c r="CM33" i="45"/>
  <c r="CA33" i="45"/>
  <c r="BO33" i="45"/>
  <c r="BC33" i="45"/>
  <c r="AQ33" i="45"/>
  <c r="CJ33" i="45"/>
  <c r="DL33" i="45"/>
  <c r="CZ33" i="45"/>
  <c r="CN33" i="45"/>
  <c r="CB33" i="45"/>
  <c r="BP33" i="45"/>
  <c r="BD33" i="45"/>
  <c r="AR33" i="45"/>
  <c r="BX33" i="45"/>
  <c r="DM33" i="45"/>
  <c r="DA33" i="45"/>
  <c r="CO33" i="45"/>
  <c r="CC33" i="45"/>
  <c r="BQ33" i="45"/>
  <c r="BE33" i="45"/>
  <c r="AS33" i="45"/>
  <c r="DN33" i="45"/>
  <c r="DB33" i="45"/>
  <c r="CP33" i="45"/>
  <c r="CD33" i="45"/>
  <c r="BR33" i="45"/>
  <c r="BF33" i="45"/>
  <c r="AT33" i="45"/>
  <c r="DC33" i="45"/>
  <c r="CQ33" i="45"/>
  <c r="CE33" i="45"/>
  <c r="BS33" i="45"/>
  <c r="BG33" i="45"/>
  <c r="AU33" i="45"/>
  <c r="AI33" i="45"/>
  <c r="R91" i="26"/>
  <c r="R68" i="26"/>
  <c r="O90" i="26"/>
  <c r="R95" i="26"/>
  <c r="DP39" i="45"/>
  <c r="L67" i="26"/>
  <c r="R92" i="26"/>
  <c r="R97" i="26"/>
  <c r="M67" i="26"/>
  <c r="DP42" i="45"/>
  <c r="L70" i="26"/>
  <c r="DP40" i="45"/>
  <c r="L68" i="26"/>
  <c r="N67" i="26"/>
  <c r="M70" i="26"/>
  <c r="M68" i="26"/>
  <c r="O67" i="26"/>
  <c r="N70" i="26"/>
  <c r="N68" i="26"/>
  <c r="P67" i="26"/>
  <c r="O70" i="26"/>
  <c r="O68" i="26"/>
  <c r="M77" i="26"/>
  <c r="R90" i="26"/>
  <c r="AA47" i="45"/>
  <c r="N94" i="26"/>
  <c r="L78" i="26"/>
  <c r="N77" i="26"/>
  <c r="Q75" i="26"/>
  <c r="O87" i="26"/>
  <c r="P85" i="26"/>
  <c r="N83" i="26"/>
  <c r="O86" i="26"/>
  <c r="O93" i="26"/>
  <c r="M88" i="26"/>
  <c r="O94" i="26"/>
  <c r="R96" i="26"/>
  <c r="L93" i="26"/>
  <c r="DP65" i="45"/>
  <c r="P95" i="26"/>
  <c r="P81" i="26"/>
  <c r="M76" i="26"/>
  <c r="M78" i="26"/>
  <c r="O77" i="26"/>
  <c r="R75" i="26"/>
  <c r="P87" i="26"/>
  <c r="Q85" i="26"/>
  <c r="O83" i="26"/>
  <c r="M97" i="26"/>
  <c r="P86" i="26"/>
  <c r="P93" i="26"/>
  <c r="L100" i="26"/>
  <c r="BC72" i="45"/>
  <c r="N88" i="26"/>
  <c r="P94" i="26"/>
  <c r="M75" i="26"/>
  <c r="L85" i="26"/>
  <c r="DP57" i="45"/>
  <c r="N75" i="26"/>
  <c r="L86" i="26"/>
  <c r="DP58" i="45"/>
  <c r="DP49" i="45"/>
  <c r="L77" i="26"/>
  <c r="L96" i="26"/>
  <c r="DP68" i="45"/>
  <c r="M86" i="26"/>
  <c r="Q81" i="26"/>
  <c r="N86" i="26"/>
  <c r="L81" i="26"/>
  <c r="P77" i="26"/>
  <c r="Q87" i="26"/>
  <c r="R85" i="26"/>
  <c r="P83" i="26"/>
  <c r="L92" i="26"/>
  <c r="DP64" i="45"/>
  <c r="Q97" i="26"/>
  <c r="Q86" i="26"/>
  <c r="Q93" i="26"/>
  <c r="O88" i="26"/>
  <c r="L91" i="26"/>
  <c r="DP63" i="45"/>
  <c r="Q94" i="26"/>
  <c r="L95" i="26"/>
  <c r="DP67" i="45"/>
  <c r="M87" i="26"/>
  <c r="N76" i="26"/>
  <c r="N78" i="26"/>
  <c r="O76" i="26"/>
  <c r="O78" i="26"/>
  <c r="R81" i="26"/>
  <c r="O81" i="26"/>
  <c r="Q77" i="26"/>
  <c r="N96" i="26"/>
  <c r="R87" i="26"/>
  <c r="Q83" i="26"/>
  <c r="M92" i="26"/>
  <c r="R86" i="26"/>
  <c r="R93" i="26"/>
  <c r="P88" i="26"/>
  <c r="M91" i="26"/>
  <c r="R94" i="26"/>
  <c r="L87" i="26"/>
  <c r="DP59" i="45"/>
  <c r="M93" i="26"/>
  <c r="N87" i="26"/>
  <c r="N93" i="26"/>
  <c r="L88" i="26"/>
  <c r="DP60" i="45"/>
  <c r="P76" i="26"/>
  <c r="P78" i="26"/>
  <c r="R77" i="26"/>
  <c r="R83" i="26"/>
  <c r="N92" i="26"/>
  <c r="O97" i="26"/>
  <c r="Q88" i="26"/>
  <c r="N91" i="26"/>
  <c r="M85" i="26"/>
  <c r="L94" i="26"/>
  <c r="DP66" i="45"/>
  <c r="Q90" i="26"/>
  <c r="P75" i="26"/>
  <c r="O85" i="26"/>
  <c r="Q76" i="26"/>
  <c r="Q78" i="26"/>
  <c r="O96" i="26"/>
  <c r="O92" i="26"/>
  <c r="L97" i="26"/>
  <c r="DP69" i="45"/>
  <c r="DP50" i="45"/>
  <c r="L90" i="26"/>
  <c r="DP62" i="45"/>
  <c r="O95" i="26"/>
  <c r="R88" i="26"/>
  <c r="O91" i="26"/>
  <c r="BC70" i="45"/>
  <c r="L98" i="26"/>
  <c r="L102" i="26"/>
  <c r="BC74" i="45"/>
  <c r="Q95" i="26"/>
  <c r="O75" i="26"/>
  <c r="N85" i="26"/>
  <c r="L83" i="26"/>
  <c r="DP55" i="45"/>
  <c r="M94" i="26"/>
  <c r="R76" i="26"/>
  <c r="R78" i="26"/>
  <c r="M96" i="26"/>
  <c r="P92" i="26"/>
  <c r="P97" i="26"/>
  <c r="M90" i="26"/>
  <c r="M95" i="26"/>
  <c r="P91" i="26"/>
  <c r="DP53" i="45"/>
  <c r="P90" i="26"/>
  <c r="P96" i="26"/>
  <c r="M83" i="26"/>
  <c r="L76" i="26"/>
  <c r="N81" i="26"/>
  <c r="M81" i="26"/>
  <c r="L75" i="26"/>
  <c r="Q96" i="26"/>
  <c r="Q92" i="26"/>
  <c r="N97" i="26"/>
  <c r="N90" i="26"/>
  <c r="N95" i="26"/>
  <c r="Q91" i="26"/>
  <c r="DP48" i="45"/>
  <c r="S70" i="26" l="1"/>
  <c r="S81" i="26"/>
  <c r="S85" i="26"/>
  <c r="S67" i="26"/>
  <c r="S96" i="26"/>
  <c r="S77" i="26"/>
  <c r="S78" i="26"/>
  <c r="S68" i="26"/>
  <c r="S88" i="26"/>
  <c r="S95" i="26"/>
  <c r="S90" i="26"/>
  <c r="S94" i="26"/>
  <c r="S92" i="26"/>
  <c r="S93" i="26"/>
  <c r="M102" i="26"/>
  <c r="BO74" i="45"/>
  <c r="S97" i="26"/>
  <c r="S86" i="26"/>
  <c r="S76" i="26"/>
  <c r="M100" i="26"/>
  <c r="BO72" i="45"/>
  <c r="BO70" i="45"/>
  <c r="M98" i="26"/>
  <c r="AB47" i="45"/>
  <c r="S83" i="26"/>
  <c r="S87" i="26"/>
  <c r="S91" i="26"/>
  <c r="N102" i="26" l="1"/>
  <c r="CA74" i="45"/>
  <c r="CA70" i="45"/>
  <c r="N98" i="26"/>
  <c r="N100" i="26"/>
  <c r="CA72" i="45"/>
  <c r="AC47" i="45"/>
  <c r="AD47" i="45" l="1"/>
  <c r="O100" i="26"/>
  <c r="CM72" i="45"/>
  <c r="O102" i="26"/>
  <c r="CM74" i="45"/>
  <c r="CM70" i="45"/>
  <c r="O98" i="26"/>
  <c r="P102" i="26" l="1"/>
  <c r="CY74" i="45"/>
  <c r="P100" i="26"/>
  <c r="CY72" i="45"/>
  <c r="AE47" i="45"/>
  <c r="CY70" i="45"/>
  <c r="P98" i="26"/>
  <c r="G23" i="45"/>
  <c r="E3" i="97"/>
  <c r="F3" i="97"/>
  <c r="G3" i="97"/>
  <c r="H3" i="97"/>
  <c r="I3" i="97"/>
  <c r="J3" i="97"/>
  <c r="K3" i="97"/>
  <c r="L3" i="97"/>
  <c r="M3" i="97"/>
  <c r="N3" i="97"/>
  <c r="O3" i="97"/>
  <c r="P3" i="97"/>
  <c r="Q3" i="97"/>
  <c r="R3" i="97"/>
  <c r="S3" i="97"/>
  <c r="T3" i="97"/>
  <c r="U3" i="97"/>
  <c r="V3" i="97"/>
  <c r="W3" i="97"/>
  <c r="X3" i="97"/>
  <c r="Y3" i="97"/>
  <c r="Z3" i="97"/>
  <c r="AA3" i="97"/>
  <c r="AB3" i="97"/>
  <c r="AC3" i="97"/>
  <c r="AD3" i="97"/>
  <c r="AE3" i="97"/>
  <c r="AF3" i="97"/>
  <c r="AG3" i="97"/>
  <c r="AH3" i="97"/>
  <c r="AI3" i="97"/>
  <c r="AJ3" i="97"/>
  <c r="AK3" i="97"/>
  <c r="AL3" i="97"/>
  <c r="AM3" i="97"/>
  <c r="AN3" i="97"/>
  <c r="AO3" i="97"/>
  <c r="AP3" i="97"/>
  <c r="AQ3" i="97"/>
  <c r="AR3" i="97"/>
  <c r="AS3" i="97"/>
  <c r="AT3" i="97"/>
  <c r="AU3" i="97"/>
  <c r="AV3" i="97"/>
  <c r="AW3" i="97"/>
  <c r="AX3" i="97"/>
  <c r="AY3" i="97"/>
  <c r="AZ3" i="97"/>
  <c r="BA3" i="97"/>
  <c r="BB3" i="97"/>
  <c r="BC3" i="97"/>
  <c r="BD3" i="97"/>
  <c r="BE3" i="97"/>
  <c r="BF3" i="97"/>
  <c r="BG3" i="97"/>
  <c r="BH3" i="97"/>
  <c r="BI3" i="97"/>
  <c r="BJ3" i="97"/>
  <c r="BK3" i="97"/>
  <c r="BL3" i="97"/>
  <c r="BM3" i="97"/>
  <c r="BN3" i="97"/>
  <c r="BO3" i="97"/>
  <c r="BP3" i="97"/>
  <c r="BQ3" i="97"/>
  <c r="BR3" i="97"/>
  <c r="BS3" i="97"/>
  <c r="BT3" i="97"/>
  <c r="BU3" i="97"/>
  <c r="BV3" i="97"/>
  <c r="BW3" i="97"/>
  <c r="BX3" i="97"/>
  <c r="BY3" i="97"/>
  <c r="BZ3" i="97"/>
  <c r="CA3" i="97"/>
  <c r="CB3" i="97"/>
  <c r="CC3" i="97"/>
  <c r="CD3" i="97"/>
  <c r="CE3" i="97"/>
  <c r="CF3" i="97"/>
  <c r="CG3" i="97"/>
  <c r="CH3" i="97"/>
  <c r="CI3" i="97"/>
  <c r="CJ3" i="97"/>
  <c r="CK3" i="97"/>
  <c r="CL3" i="97"/>
  <c r="CM3" i="97"/>
  <c r="CN3" i="97"/>
  <c r="CO3" i="97"/>
  <c r="CP3" i="97"/>
  <c r="CQ3" i="97"/>
  <c r="CR3" i="97"/>
  <c r="CS3" i="97"/>
  <c r="CT3" i="97"/>
  <c r="CU3" i="97"/>
  <c r="CV3" i="97"/>
  <c r="CW3" i="97"/>
  <c r="CX3" i="97"/>
  <c r="CY3" i="97"/>
  <c r="CZ3" i="97"/>
  <c r="DA3" i="97"/>
  <c r="DB3" i="97"/>
  <c r="DC3" i="97"/>
  <c r="DD3" i="97"/>
  <c r="DE3" i="97"/>
  <c r="DF3" i="97"/>
  <c r="DG3" i="97"/>
  <c r="D3" i="97"/>
  <c r="J112" i="47"/>
  <c r="K112" i="47"/>
  <c r="L112" i="47"/>
  <c r="M112" i="47"/>
  <c r="N112" i="47"/>
  <c r="O112" i="47"/>
  <c r="P112" i="47"/>
  <c r="Q112" i="47"/>
  <c r="R112" i="47"/>
  <c r="S112" i="47"/>
  <c r="T112" i="47"/>
  <c r="U112" i="47"/>
  <c r="V112" i="47"/>
  <c r="W112" i="47"/>
  <c r="X112" i="47"/>
  <c r="Y112" i="47"/>
  <c r="Z112" i="47"/>
  <c r="AA112" i="47"/>
  <c r="AB112" i="47"/>
  <c r="AC112" i="47"/>
  <c r="AD112" i="47"/>
  <c r="AE112" i="47"/>
  <c r="AF112" i="47"/>
  <c r="AG112" i="47"/>
  <c r="AH112" i="47"/>
  <c r="AI112" i="47"/>
  <c r="AJ112" i="47"/>
  <c r="AK112" i="47"/>
  <c r="AL112" i="47"/>
  <c r="AM112" i="47"/>
  <c r="AN112" i="47"/>
  <c r="AO112" i="47"/>
  <c r="AP112" i="47"/>
  <c r="AQ112" i="47"/>
  <c r="AR112" i="47"/>
  <c r="AS112" i="47"/>
  <c r="AT112" i="47"/>
  <c r="AU112" i="47"/>
  <c r="AV112" i="47"/>
  <c r="AW112" i="47"/>
  <c r="AX112" i="47"/>
  <c r="AY112" i="47"/>
  <c r="AZ112" i="47"/>
  <c r="BA112" i="47"/>
  <c r="BB112" i="47"/>
  <c r="BC112" i="47"/>
  <c r="BD112" i="47"/>
  <c r="BE112" i="47"/>
  <c r="BF112" i="47"/>
  <c r="BG112" i="47"/>
  <c r="BH112" i="47"/>
  <c r="BI112" i="47"/>
  <c r="BJ112" i="47"/>
  <c r="BK112" i="47"/>
  <c r="BL112" i="47"/>
  <c r="BM112" i="47"/>
  <c r="BN112" i="47"/>
  <c r="BO112" i="47"/>
  <c r="BP112" i="47"/>
  <c r="BQ112" i="47"/>
  <c r="BR112" i="47"/>
  <c r="BS112" i="47"/>
  <c r="BT112" i="47"/>
  <c r="BU112" i="47"/>
  <c r="BV112" i="47"/>
  <c r="BW112" i="47"/>
  <c r="BX112" i="47"/>
  <c r="BY112" i="47"/>
  <c r="BZ112" i="47"/>
  <c r="CA112" i="47"/>
  <c r="CB112" i="47"/>
  <c r="CC112" i="47"/>
  <c r="CD112" i="47"/>
  <c r="CE112" i="47"/>
  <c r="CF112" i="47"/>
  <c r="CG112" i="47"/>
  <c r="CH112" i="47"/>
  <c r="CI112" i="47"/>
  <c r="CJ112" i="47"/>
  <c r="CK112" i="47"/>
  <c r="CL112" i="47"/>
  <c r="CM112" i="47"/>
  <c r="CN112" i="47"/>
  <c r="CO112" i="47"/>
  <c r="CP112" i="47"/>
  <c r="CQ112" i="47"/>
  <c r="CR112" i="47"/>
  <c r="CS112" i="47"/>
  <c r="CT112" i="47"/>
  <c r="CU112" i="47"/>
  <c r="CV112" i="47"/>
  <c r="CW112" i="47"/>
  <c r="CX112" i="47"/>
  <c r="CY112" i="47"/>
  <c r="CZ112" i="47"/>
  <c r="DA112" i="47"/>
  <c r="DB112" i="47"/>
  <c r="DC112" i="47"/>
  <c r="DD112" i="47"/>
  <c r="DE112" i="47"/>
  <c r="DF112" i="47"/>
  <c r="DG112" i="47"/>
  <c r="DH112" i="47"/>
  <c r="DI112" i="47"/>
  <c r="DJ112" i="47"/>
  <c r="DK112" i="47"/>
  <c r="DL112" i="47"/>
  <c r="I112" i="47"/>
  <c r="DA2" i="71"/>
  <c r="CO2" i="71"/>
  <c r="CC2" i="71"/>
  <c r="BQ2" i="71"/>
  <c r="BE2" i="71"/>
  <c r="J3" i="71"/>
  <c r="K3" i="71"/>
  <c r="L3" i="71"/>
  <c r="M3" i="71"/>
  <c r="N3" i="71"/>
  <c r="O3" i="71"/>
  <c r="P3" i="71"/>
  <c r="Q3" i="71"/>
  <c r="R3" i="71"/>
  <c r="S3" i="71"/>
  <c r="T3" i="71"/>
  <c r="U3" i="71"/>
  <c r="V3" i="71"/>
  <c r="W3" i="71"/>
  <c r="X3" i="71"/>
  <c r="Y3" i="71"/>
  <c r="Z3" i="71"/>
  <c r="AA3" i="71"/>
  <c r="AB3" i="71"/>
  <c r="AC3" i="71"/>
  <c r="AD3" i="71"/>
  <c r="AE3" i="71"/>
  <c r="AF3" i="71"/>
  <c r="AG3" i="71"/>
  <c r="AH3" i="71"/>
  <c r="AI3" i="71"/>
  <c r="AJ3" i="71"/>
  <c r="AK3" i="71"/>
  <c r="AL3" i="71"/>
  <c r="AM3" i="71"/>
  <c r="AN3" i="71"/>
  <c r="AO3" i="71"/>
  <c r="AP3" i="71"/>
  <c r="AQ3" i="71"/>
  <c r="AR3" i="71"/>
  <c r="AS3" i="71"/>
  <c r="AT3" i="71"/>
  <c r="AU3" i="71"/>
  <c r="AV3" i="71"/>
  <c r="AW3" i="71"/>
  <c r="AX3" i="71"/>
  <c r="AY3" i="71"/>
  <c r="AZ3" i="71"/>
  <c r="BA3" i="71"/>
  <c r="BB3" i="71"/>
  <c r="BC3" i="71"/>
  <c r="BD3" i="71"/>
  <c r="BE3" i="71"/>
  <c r="BF3" i="71"/>
  <c r="BG3" i="71"/>
  <c r="BH3" i="71"/>
  <c r="BI3" i="71"/>
  <c r="BJ3" i="71"/>
  <c r="BK3" i="71"/>
  <c r="BL3" i="71"/>
  <c r="BM3" i="71"/>
  <c r="BN3" i="71"/>
  <c r="BO3" i="71"/>
  <c r="BP3" i="71"/>
  <c r="BQ3" i="71"/>
  <c r="BR3" i="71"/>
  <c r="BS3" i="71"/>
  <c r="BT3" i="71"/>
  <c r="BU3" i="71"/>
  <c r="BV3" i="71"/>
  <c r="BW3" i="71"/>
  <c r="BX3" i="71"/>
  <c r="BY3" i="71"/>
  <c r="BZ3" i="71"/>
  <c r="CA3" i="71"/>
  <c r="CB3" i="71"/>
  <c r="CC3" i="71"/>
  <c r="CD3" i="71"/>
  <c r="CE3" i="71"/>
  <c r="CF3" i="71"/>
  <c r="CG3" i="71"/>
  <c r="CH3" i="71"/>
  <c r="CI3" i="71"/>
  <c r="CJ3" i="71"/>
  <c r="CK3" i="71"/>
  <c r="CL3" i="71"/>
  <c r="CM3" i="71"/>
  <c r="CN3" i="71"/>
  <c r="CO3" i="71"/>
  <c r="CP3" i="71"/>
  <c r="CQ3" i="71"/>
  <c r="CR3" i="71"/>
  <c r="CS3" i="71"/>
  <c r="CT3" i="71"/>
  <c r="CU3" i="71"/>
  <c r="CV3" i="71"/>
  <c r="CW3" i="71"/>
  <c r="CX3" i="71"/>
  <c r="CY3" i="71"/>
  <c r="CZ3" i="71"/>
  <c r="DA3" i="71"/>
  <c r="DB3" i="71"/>
  <c r="DC3" i="71"/>
  <c r="DD3" i="71"/>
  <c r="DE3" i="71"/>
  <c r="DF3" i="71"/>
  <c r="DG3" i="71"/>
  <c r="DH3" i="71"/>
  <c r="DI3" i="71"/>
  <c r="DJ3" i="71"/>
  <c r="DK3" i="71"/>
  <c r="DL3" i="71"/>
  <c r="I3" i="71"/>
  <c r="AS2" i="71"/>
  <c r="AG2" i="71"/>
  <c r="U2" i="71"/>
  <c r="I2" i="71"/>
  <c r="J56" i="47"/>
  <c r="J58" i="47" s="1"/>
  <c r="K56" i="47"/>
  <c r="K58" i="47" s="1"/>
  <c r="L56" i="47"/>
  <c r="L58" i="47" s="1"/>
  <c r="M56" i="47"/>
  <c r="M58" i="47" s="1"/>
  <c r="N56" i="47"/>
  <c r="N58" i="47" s="1"/>
  <c r="O56" i="47"/>
  <c r="O58" i="47" s="1"/>
  <c r="P56" i="47"/>
  <c r="P58" i="47" s="1"/>
  <c r="Q56" i="47"/>
  <c r="Q58" i="47" s="1"/>
  <c r="R56" i="47"/>
  <c r="S56" i="47"/>
  <c r="S58" i="47" s="1"/>
  <c r="T56" i="47"/>
  <c r="T58" i="47" s="1"/>
  <c r="U56" i="47"/>
  <c r="U58" i="47" s="1"/>
  <c r="V56" i="47"/>
  <c r="V58" i="47" s="1"/>
  <c r="W56" i="47"/>
  <c r="W58" i="47" s="1"/>
  <c r="X56" i="47"/>
  <c r="X58" i="47" s="1"/>
  <c r="Y56" i="47"/>
  <c r="Y58" i="47" s="1"/>
  <c r="Z56" i="47"/>
  <c r="Z58" i="47" s="1"/>
  <c r="AA56" i="47"/>
  <c r="AA58" i="47" s="1"/>
  <c r="AB56" i="47"/>
  <c r="AB58" i="47" s="1"/>
  <c r="AC56" i="47"/>
  <c r="AC58" i="47" s="1"/>
  <c r="AD56" i="47"/>
  <c r="AE56" i="47"/>
  <c r="AE58" i="47" s="1"/>
  <c r="AF56" i="47"/>
  <c r="AF58" i="47" s="1"/>
  <c r="AG56" i="47"/>
  <c r="AG58" i="47" s="1"/>
  <c r="AH56" i="47"/>
  <c r="AH58" i="47" s="1"/>
  <c r="AI56" i="47"/>
  <c r="AI58" i="47" s="1"/>
  <c r="AJ56" i="47"/>
  <c r="AJ58" i="47" s="1"/>
  <c r="AK56" i="47"/>
  <c r="AK58" i="47" s="1"/>
  <c r="AL56" i="47"/>
  <c r="AL58" i="47" s="1"/>
  <c r="AM56" i="47"/>
  <c r="AM58" i="47" s="1"/>
  <c r="AN56" i="47"/>
  <c r="AN58" i="47" s="1"/>
  <c r="AO56" i="47"/>
  <c r="AO58" i="47" s="1"/>
  <c r="AP56" i="47"/>
  <c r="AQ56" i="47"/>
  <c r="AQ58" i="47" s="1"/>
  <c r="AR56" i="47"/>
  <c r="AR58" i="47" s="1"/>
  <c r="AS56" i="47"/>
  <c r="AS58" i="47" s="1"/>
  <c r="AT56" i="47"/>
  <c r="AT58" i="47" s="1"/>
  <c r="AU56" i="47"/>
  <c r="AU58" i="47" s="1"/>
  <c r="AV56" i="47"/>
  <c r="AV58" i="47" s="1"/>
  <c r="AW56" i="47"/>
  <c r="AW58" i="47" s="1"/>
  <c r="AX56" i="47"/>
  <c r="AX58" i="47" s="1"/>
  <c r="AY56" i="47"/>
  <c r="AY58" i="47" s="1"/>
  <c r="AZ56" i="47"/>
  <c r="AZ58" i="47" s="1"/>
  <c r="BA56" i="47"/>
  <c r="BA58" i="47" s="1"/>
  <c r="BB56" i="47"/>
  <c r="BC56" i="47"/>
  <c r="BC58" i="47" s="1"/>
  <c r="BD56" i="47"/>
  <c r="BD58" i="47" s="1"/>
  <c r="BE56" i="47"/>
  <c r="BE58" i="47" s="1"/>
  <c r="BF56" i="47"/>
  <c r="BF58" i="47" s="1"/>
  <c r="BG56" i="47"/>
  <c r="BG58" i="47" s="1"/>
  <c r="BH56" i="47"/>
  <c r="BH58" i="47" s="1"/>
  <c r="BI56" i="47"/>
  <c r="BI58" i="47" s="1"/>
  <c r="BJ56" i="47"/>
  <c r="BJ58" i="47" s="1"/>
  <c r="BK56" i="47"/>
  <c r="BK58" i="47" s="1"/>
  <c r="BL56" i="47"/>
  <c r="BL58" i="47" s="1"/>
  <c r="BM56" i="47"/>
  <c r="BM58" i="47" s="1"/>
  <c r="BN56" i="47"/>
  <c r="BO56" i="47"/>
  <c r="BO58" i="47" s="1"/>
  <c r="BP56" i="47"/>
  <c r="BP58" i="47" s="1"/>
  <c r="BQ56" i="47"/>
  <c r="BQ58" i="47" s="1"/>
  <c r="BR56" i="47"/>
  <c r="BR58" i="47" s="1"/>
  <c r="BS56" i="47"/>
  <c r="BT56" i="47"/>
  <c r="BT58" i="47" s="1"/>
  <c r="BU56" i="47"/>
  <c r="BU58" i="47" s="1"/>
  <c r="BV56" i="47"/>
  <c r="BV58" i="47" s="1"/>
  <c r="BW56" i="47"/>
  <c r="BW58" i="47" s="1"/>
  <c r="BX56" i="47"/>
  <c r="BX58" i="47" s="1"/>
  <c r="BY56" i="47"/>
  <c r="BY58" i="47" s="1"/>
  <c r="BZ56" i="47"/>
  <c r="CA56" i="47"/>
  <c r="CA58" i="47" s="1"/>
  <c r="CB56" i="47"/>
  <c r="CB58" i="47" s="1"/>
  <c r="CC56" i="47"/>
  <c r="CC58" i="47" s="1"/>
  <c r="CD56" i="47"/>
  <c r="CD58" i="47" s="1"/>
  <c r="CE56" i="47"/>
  <c r="CE58" i="47" s="1"/>
  <c r="CF56" i="47"/>
  <c r="CF58" i="47" s="1"/>
  <c r="CG56" i="47"/>
  <c r="CG58" i="47" s="1"/>
  <c r="CH56" i="47"/>
  <c r="CH58" i="47" s="1"/>
  <c r="CI56" i="47"/>
  <c r="CI58" i="47" s="1"/>
  <c r="CJ56" i="47"/>
  <c r="CJ58" i="47" s="1"/>
  <c r="CK56" i="47"/>
  <c r="CK58" i="47" s="1"/>
  <c r="CL56" i="47"/>
  <c r="CM56" i="47"/>
  <c r="CM58" i="47" s="1"/>
  <c r="CN56" i="47"/>
  <c r="CN58" i="47" s="1"/>
  <c r="CO56" i="47"/>
  <c r="CO58" i="47" s="1"/>
  <c r="CP56" i="47"/>
  <c r="CP58" i="47" s="1"/>
  <c r="CQ56" i="47"/>
  <c r="CQ58" i="47" s="1"/>
  <c r="CR56" i="47"/>
  <c r="CR58" i="47" s="1"/>
  <c r="CS56" i="47"/>
  <c r="CS58" i="47" s="1"/>
  <c r="CT56" i="47"/>
  <c r="CT58" i="47" s="1"/>
  <c r="CU56" i="47"/>
  <c r="CU58" i="47" s="1"/>
  <c r="CV56" i="47"/>
  <c r="CV58" i="47" s="1"/>
  <c r="CW56" i="47"/>
  <c r="CW58" i="47" s="1"/>
  <c r="CX56" i="47"/>
  <c r="CY56" i="47"/>
  <c r="CY58" i="47" s="1"/>
  <c r="CZ56" i="47"/>
  <c r="CZ58" i="47" s="1"/>
  <c r="DA56" i="47"/>
  <c r="DA58" i="47" s="1"/>
  <c r="DB56" i="47"/>
  <c r="DB58" i="47" s="1"/>
  <c r="DC56" i="47"/>
  <c r="DC58" i="47" s="1"/>
  <c r="DD56" i="47"/>
  <c r="DD58" i="47" s="1"/>
  <c r="DE56" i="47"/>
  <c r="DE58" i="47" s="1"/>
  <c r="DF56" i="47"/>
  <c r="DF58" i="47" s="1"/>
  <c r="DG56" i="47"/>
  <c r="DG58" i="47" s="1"/>
  <c r="DH56" i="47"/>
  <c r="DH58" i="47" s="1"/>
  <c r="DI56" i="47"/>
  <c r="DI58" i="47" s="1"/>
  <c r="DJ56" i="47"/>
  <c r="DK56" i="47"/>
  <c r="DL56" i="47"/>
  <c r="DL58" i="47" s="1"/>
  <c r="R58" i="47"/>
  <c r="AD58" i="47"/>
  <c r="AP58" i="47"/>
  <c r="BB58" i="47"/>
  <c r="BN58" i="47"/>
  <c r="BS58" i="47"/>
  <c r="BZ58" i="47"/>
  <c r="CL58" i="47"/>
  <c r="CX58" i="47"/>
  <c r="DJ58" i="47"/>
  <c r="DK58" i="47"/>
  <c r="I56" i="47"/>
  <c r="L127" i="45"/>
  <c r="F12" i="53" s="1"/>
  <c r="M127" i="45"/>
  <c r="G12" i="53" s="1"/>
  <c r="N127" i="45"/>
  <c r="H12" i="53" s="1"/>
  <c r="O127" i="45"/>
  <c r="I12" i="53" s="1"/>
  <c r="P127" i="45"/>
  <c r="J12" i="53" s="1"/>
  <c r="Q127" i="45"/>
  <c r="K12" i="53" s="1"/>
  <c r="R127" i="45"/>
  <c r="L12" i="53" s="1"/>
  <c r="S127" i="45"/>
  <c r="M12" i="53" s="1"/>
  <c r="T127" i="45"/>
  <c r="N12" i="53" s="1"/>
  <c r="U127" i="45"/>
  <c r="O12" i="53" s="1"/>
  <c r="V127" i="45"/>
  <c r="P12" i="53" s="1"/>
  <c r="W127" i="45"/>
  <c r="X127" i="45"/>
  <c r="R12" i="53" s="1"/>
  <c r="Y127" i="45"/>
  <c r="S12" i="53" s="1"/>
  <c r="Z127" i="45"/>
  <c r="T12" i="53" s="1"/>
  <c r="AA127" i="45"/>
  <c r="U12" i="53" s="1"/>
  <c r="AB127" i="45"/>
  <c r="V12" i="53" s="1"/>
  <c r="AC127" i="45"/>
  <c r="W12" i="53" s="1"/>
  <c r="AD127" i="45"/>
  <c r="X12" i="53" s="1"/>
  <c r="AE127" i="45"/>
  <c r="Y12" i="53" s="1"/>
  <c r="AF127" i="45"/>
  <c r="Z12" i="53" s="1"/>
  <c r="AG127" i="45"/>
  <c r="AA12" i="53" s="1"/>
  <c r="AH127" i="45"/>
  <c r="AB12" i="53" s="1"/>
  <c r="AI127" i="45"/>
  <c r="AJ127" i="45"/>
  <c r="AD12" i="53" s="1"/>
  <c r="AK127" i="45"/>
  <c r="AE12" i="53" s="1"/>
  <c r="AL127" i="45"/>
  <c r="AF12" i="53" s="1"/>
  <c r="AM127" i="45"/>
  <c r="AG12" i="53" s="1"/>
  <c r="AN127" i="45"/>
  <c r="AH12" i="53" s="1"/>
  <c r="AO127" i="45"/>
  <c r="AI12" i="53" s="1"/>
  <c r="AP127" i="45"/>
  <c r="AJ12" i="53" s="1"/>
  <c r="AQ127" i="45"/>
  <c r="AK12" i="53" s="1"/>
  <c r="AR127" i="45"/>
  <c r="AL12" i="53" s="1"/>
  <c r="AS127" i="45"/>
  <c r="AM12" i="53" s="1"/>
  <c r="AT127" i="45"/>
  <c r="AN12" i="53" s="1"/>
  <c r="AU127" i="45"/>
  <c r="AV127" i="45"/>
  <c r="AP12" i="53" s="1"/>
  <c r="AW127" i="45"/>
  <c r="AQ12" i="53" s="1"/>
  <c r="AX127" i="45"/>
  <c r="AR12" i="53" s="1"/>
  <c r="AY127" i="45"/>
  <c r="AS12" i="53" s="1"/>
  <c r="AZ127" i="45"/>
  <c r="AT12" i="53" s="1"/>
  <c r="BA127" i="45"/>
  <c r="AU12" i="53" s="1"/>
  <c r="BB127" i="45"/>
  <c r="AV12" i="53" s="1"/>
  <c r="BC127" i="45"/>
  <c r="AW12" i="53" s="1"/>
  <c r="BD127" i="45"/>
  <c r="AX12" i="53" s="1"/>
  <c r="BE127" i="45"/>
  <c r="AY12" i="53" s="1"/>
  <c r="BF127" i="45"/>
  <c r="AZ12" i="53" s="1"/>
  <c r="BG127" i="45"/>
  <c r="BH127" i="45"/>
  <c r="BB12" i="53" s="1"/>
  <c r="BI127" i="45"/>
  <c r="BC12" i="53" s="1"/>
  <c r="BJ127" i="45"/>
  <c r="BD12" i="53" s="1"/>
  <c r="BK127" i="45"/>
  <c r="BE12" i="53" s="1"/>
  <c r="BL127" i="45"/>
  <c r="BF12" i="53" s="1"/>
  <c r="BM127" i="45"/>
  <c r="BG12" i="53" s="1"/>
  <c r="BN127" i="45"/>
  <c r="BH12" i="53" s="1"/>
  <c r="BO127" i="45"/>
  <c r="BI12" i="53" s="1"/>
  <c r="BP127" i="45"/>
  <c r="BJ12" i="53" s="1"/>
  <c r="BQ127" i="45"/>
  <c r="BK12" i="53" s="1"/>
  <c r="BR127" i="45"/>
  <c r="BL12" i="53" s="1"/>
  <c r="BS127" i="45"/>
  <c r="BT127" i="45"/>
  <c r="BN12" i="53" s="1"/>
  <c r="BU127" i="45"/>
  <c r="BO12" i="53" s="1"/>
  <c r="BV127" i="45"/>
  <c r="BP12" i="53" s="1"/>
  <c r="BW127" i="45"/>
  <c r="BQ12" i="53" s="1"/>
  <c r="BX127" i="45"/>
  <c r="BR12" i="53" s="1"/>
  <c r="BY127" i="45"/>
  <c r="BS12" i="53" s="1"/>
  <c r="BZ127" i="45"/>
  <c r="BT12" i="53" s="1"/>
  <c r="CA127" i="45"/>
  <c r="BU12" i="53" s="1"/>
  <c r="CB127" i="45"/>
  <c r="BV12" i="53" s="1"/>
  <c r="CC127" i="45"/>
  <c r="BW12" i="53" s="1"/>
  <c r="CD127" i="45"/>
  <c r="BX12" i="53" s="1"/>
  <c r="CE127" i="45"/>
  <c r="CF127" i="45"/>
  <c r="BZ12" i="53" s="1"/>
  <c r="CG127" i="45"/>
  <c r="CA12" i="53" s="1"/>
  <c r="CH127" i="45"/>
  <c r="CB12" i="53" s="1"/>
  <c r="CI127" i="45"/>
  <c r="CC12" i="53" s="1"/>
  <c r="CJ127" i="45"/>
  <c r="CD12" i="53" s="1"/>
  <c r="CK127" i="45"/>
  <c r="CE12" i="53" s="1"/>
  <c r="CL127" i="45"/>
  <c r="CF12" i="53" s="1"/>
  <c r="CM127" i="45"/>
  <c r="CG12" i="53" s="1"/>
  <c r="CN127" i="45"/>
  <c r="CH12" i="53" s="1"/>
  <c r="CO127" i="45"/>
  <c r="CI12" i="53" s="1"/>
  <c r="CP127" i="45"/>
  <c r="CJ12" i="53" s="1"/>
  <c r="CQ127" i="45"/>
  <c r="CR127" i="45"/>
  <c r="CL12" i="53" s="1"/>
  <c r="CS127" i="45"/>
  <c r="CM12" i="53" s="1"/>
  <c r="CT127" i="45"/>
  <c r="CN12" i="53" s="1"/>
  <c r="CU127" i="45"/>
  <c r="CO12" i="53" s="1"/>
  <c r="CV127" i="45"/>
  <c r="CP12" i="53" s="1"/>
  <c r="CW127" i="45"/>
  <c r="CQ12" i="53" s="1"/>
  <c r="CX127" i="45"/>
  <c r="CR12" i="53" s="1"/>
  <c r="CY127" i="45"/>
  <c r="CW17" i="47" s="1"/>
  <c r="CZ127" i="45"/>
  <c r="CX17" i="47" s="1"/>
  <c r="DA127" i="45"/>
  <c r="CY17" i="47" s="1"/>
  <c r="DB127" i="45"/>
  <c r="CZ17" i="47" s="1"/>
  <c r="DC127" i="45"/>
  <c r="DD127" i="45"/>
  <c r="CX12" i="53" s="1"/>
  <c r="DE127" i="45"/>
  <c r="DC17" i="47" s="1"/>
  <c r="DF127" i="45"/>
  <c r="DG127" i="45"/>
  <c r="DE17" i="47" s="1"/>
  <c r="DH127" i="45"/>
  <c r="DI127" i="45"/>
  <c r="DG17" i="47" s="1"/>
  <c r="DJ127" i="45"/>
  <c r="DH17" i="47" s="1"/>
  <c r="DK127" i="45"/>
  <c r="DI17" i="47" s="1"/>
  <c r="DL127" i="45"/>
  <c r="DJ17" i="47" s="1"/>
  <c r="DM127" i="45"/>
  <c r="DK17" i="47" s="1"/>
  <c r="DN127" i="45"/>
  <c r="DL17" i="47" s="1"/>
  <c r="BF101" i="45"/>
  <c r="BG101" i="45"/>
  <c r="BH101" i="45"/>
  <c r="BI101" i="45"/>
  <c r="BJ101" i="45"/>
  <c r="BK101" i="45"/>
  <c r="BL101" i="45"/>
  <c r="BM101" i="45"/>
  <c r="BN101" i="45"/>
  <c r="BO101" i="45"/>
  <c r="BP101" i="45"/>
  <c r="BQ101" i="45"/>
  <c r="BR101" i="45"/>
  <c r="BS101" i="45"/>
  <c r="BT101" i="45"/>
  <c r="BU101" i="45"/>
  <c r="BV101" i="45"/>
  <c r="BW101" i="45"/>
  <c r="BX101" i="45"/>
  <c r="BY101" i="45"/>
  <c r="BZ101" i="45"/>
  <c r="CA101" i="45"/>
  <c r="CB101" i="45"/>
  <c r="CC101" i="45"/>
  <c r="CD101" i="45"/>
  <c r="CE101" i="45"/>
  <c r="CF101" i="45"/>
  <c r="CG101" i="45"/>
  <c r="CH101" i="45"/>
  <c r="CI101" i="45"/>
  <c r="CJ101" i="45"/>
  <c r="CK101" i="45"/>
  <c r="CL101" i="45"/>
  <c r="CM101" i="45"/>
  <c r="CN101" i="45"/>
  <c r="CO101" i="45"/>
  <c r="CP101" i="45"/>
  <c r="CQ101" i="45"/>
  <c r="CR101" i="45"/>
  <c r="CS101" i="45"/>
  <c r="CT101" i="45"/>
  <c r="CU101" i="45"/>
  <c r="CV101" i="45"/>
  <c r="CW101" i="45"/>
  <c r="CX101" i="45"/>
  <c r="CY101" i="45"/>
  <c r="CZ101" i="45"/>
  <c r="DA101" i="45"/>
  <c r="DB101" i="45"/>
  <c r="DC101" i="45"/>
  <c r="DD101" i="45"/>
  <c r="DE101" i="45"/>
  <c r="DF101" i="45"/>
  <c r="DG101" i="45"/>
  <c r="DH101" i="45"/>
  <c r="DI101" i="45"/>
  <c r="DJ101" i="45"/>
  <c r="DK101" i="45"/>
  <c r="DL101" i="45"/>
  <c r="DM101" i="45"/>
  <c r="DN101" i="45"/>
  <c r="BF97" i="45"/>
  <c r="BG97" i="45"/>
  <c r="BH97" i="45"/>
  <c r="BI97" i="45"/>
  <c r="BJ97" i="45"/>
  <c r="BK97" i="45"/>
  <c r="BL97" i="45"/>
  <c r="BM97" i="45"/>
  <c r="BN97" i="45"/>
  <c r="BO97" i="45"/>
  <c r="BP97" i="45"/>
  <c r="BQ97" i="45"/>
  <c r="BR97" i="45"/>
  <c r="BS97" i="45"/>
  <c r="BT97" i="45"/>
  <c r="BU97" i="45"/>
  <c r="BV97" i="45"/>
  <c r="BW97" i="45"/>
  <c r="BX97" i="45"/>
  <c r="BY97" i="45"/>
  <c r="BZ97" i="45"/>
  <c r="CA97" i="45"/>
  <c r="CB97" i="45"/>
  <c r="CC97" i="45"/>
  <c r="CD97" i="45"/>
  <c r="CE97" i="45"/>
  <c r="CF97" i="45"/>
  <c r="CG97" i="45"/>
  <c r="CH97" i="45"/>
  <c r="CI97" i="45"/>
  <c r="CJ97" i="45"/>
  <c r="CK97" i="45"/>
  <c r="CL97" i="45"/>
  <c r="CM97" i="45"/>
  <c r="CN97" i="45"/>
  <c r="CO97" i="45"/>
  <c r="CP97" i="45"/>
  <c r="CQ97" i="45"/>
  <c r="CR97" i="45"/>
  <c r="CS97" i="45"/>
  <c r="CT97" i="45"/>
  <c r="CU97" i="45"/>
  <c r="CV97" i="45"/>
  <c r="CW97" i="45"/>
  <c r="CX97" i="45"/>
  <c r="CY97" i="45"/>
  <c r="CZ97" i="45"/>
  <c r="DA97" i="45"/>
  <c r="DB97" i="45"/>
  <c r="DC97" i="45"/>
  <c r="DD97" i="45"/>
  <c r="DE97" i="45"/>
  <c r="DF97" i="45"/>
  <c r="DG97" i="45"/>
  <c r="DH97" i="45"/>
  <c r="DI97" i="45"/>
  <c r="DJ97" i="45"/>
  <c r="DK97" i="45"/>
  <c r="DL97" i="45"/>
  <c r="DM97" i="45"/>
  <c r="DN97" i="45"/>
  <c r="P125" i="26" l="1"/>
  <c r="O125" i="26"/>
  <c r="N125" i="26"/>
  <c r="CW12" i="53"/>
  <c r="R155" i="26"/>
  <c r="Q129" i="26"/>
  <c r="O129" i="26"/>
  <c r="R129" i="26"/>
  <c r="P129" i="26"/>
  <c r="N129" i="26"/>
  <c r="Q125" i="26"/>
  <c r="R125" i="26"/>
  <c r="CK12" i="53"/>
  <c r="Q155" i="26"/>
  <c r="BY12" i="53"/>
  <c r="P155" i="26"/>
  <c r="BM12" i="53"/>
  <c r="O155" i="26"/>
  <c r="BA12" i="53"/>
  <c r="N155" i="26"/>
  <c r="AO12" i="53"/>
  <c r="M155" i="26"/>
  <c r="AC12" i="53"/>
  <c r="L155" i="26"/>
  <c r="Q12" i="53"/>
  <c r="K155" i="26"/>
  <c r="DK70" i="45"/>
  <c r="Q98" i="26"/>
  <c r="AF47" i="45"/>
  <c r="Q100" i="26"/>
  <c r="DK72" i="45"/>
  <c r="Q102" i="26"/>
  <c r="DK74" i="45"/>
  <c r="DB12" i="53"/>
  <c r="DF17" i="47"/>
  <c r="DD17" i="47"/>
  <c r="CZ12" i="53"/>
  <c r="DE12" i="53"/>
  <c r="CS12" i="53"/>
  <c r="DH12" i="53"/>
  <c r="CV12" i="53"/>
  <c r="DB17" i="47"/>
  <c r="DG12" i="53"/>
  <c r="CU12" i="53"/>
  <c r="DA17" i="47"/>
  <c r="DF12" i="53"/>
  <c r="CT12" i="53"/>
  <c r="DD12" i="53"/>
  <c r="DC12" i="53"/>
  <c r="DA12" i="53"/>
  <c r="CY12" i="53"/>
  <c r="BQ17" i="47"/>
  <c r="T17" i="47"/>
  <c r="BP17" i="47"/>
  <c r="BG17" i="47"/>
  <c r="L17" i="47"/>
  <c r="BE17" i="47"/>
  <c r="K17" i="47"/>
  <c r="BD17" i="47"/>
  <c r="CQ17" i="47"/>
  <c r="AU17" i="47"/>
  <c r="R17" i="47"/>
  <c r="CO17" i="47"/>
  <c r="AS17" i="47"/>
  <c r="CN17" i="47"/>
  <c r="AR17" i="47"/>
  <c r="CE17" i="47"/>
  <c r="AI17" i="47"/>
  <c r="CC17" i="47"/>
  <c r="AF17" i="47"/>
  <c r="CB17" i="47"/>
  <c r="W17" i="47"/>
  <c r="BS17" i="47"/>
  <c r="U17" i="47"/>
  <c r="CM17" i="47"/>
  <c r="CA17" i="47"/>
  <c r="BO17" i="47"/>
  <c r="BC17" i="47"/>
  <c r="AQ17" i="47"/>
  <c r="AE17" i="47"/>
  <c r="S17" i="47"/>
  <c r="AG17" i="47"/>
  <c r="CL17" i="47"/>
  <c r="BZ17" i="47"/>
  <c r="BN17" i="47"/>
  <c r="BB17" i="47"/>
  <c r="AP17" i="47"/>
  <c r="AD17" i="47"/>
  <c r="CK17" i="47"/>
  <c r="BY17" i="47"/>
  <c r="BM17" i="47"/>
  <c r="BA17" i="47"/>
  <c r="AO17" i="47"/>
  <c r="AC17" i="47"/>
  <c r="Q17" i="47"/>
  <c r="CV17" i="47"/>
  <c r="CJ17" i="47"/>
  <c r="BX17" i="47"/>
  <c r="BL17" i="47"/>
  <c r="AZ17" i="47"/>
  <c r="AN17" i="47"/>
  <c r="AB17" i="47"/>
  <c r="P17" i="47"/>
  <c r="CU17" i="47"/>
  <c r="CI17" i="47"/>
  <c r="BW17" i="47"/>
  <c r="BK17" i="47"/>
  <c r="AY17" i="47"/>
  <c r="AM17" i="47"/>
  <c r="AA17" i="47"/>
  <c r="O17" i="47"/>
  <c r="CT17" i="47"/>
  <c r="CH17" i="47"/>
  <c r="BV17" i="47"/>
  <c r="BJ17" i="47"/>
  <c r="AX17" i="47"/>
  <c r="AL17" i="47"/>
  <c r="Z17" i="47"/>
  <c r="N17" i="47"/>
  <c r="CS17" i="47"/>
  <c r="CG17" i="47"/>
  <c r="BU17" i="47"/>
  <c r="BI17" i="47"/>
  <c r="AW17" i="47"/>
  <c r="AK17" i="47"/>
  <c r="Y17" i="47"/>
  <c r="M17" i="47"/>
  <c r="CR17" i="47"/>
  <c r="CF17" i="47"/>
  <c r="BT17" i="47"/>
  <c r="BH17" i="47"/>
  <c r="AV17" i="47"/>
  <c r="AJ17" i="47"/>
  <c r="X17" i="47"/>
  <c r="CP17" i="47"/>
  <c r="CD17" i="47"/>
  <c r="BR17" i="47"/>
  <c r="BF17" i="47"/>
  <c r="AT17" i="47"/>
  <c r="AH17" i="47"/>
  <c r="V17" i="47"/>
  <c r="J17" i="47"/>
  <c r="AG47" i="45" l="1"/>
  <c r="R102" i="26"/>
  <c r="S102" i="26" s="1"/>
  <c r="DP74" i="45"/>
  <c r="R98" i="26"/>
  <c r="S98" i="26" s="1"/>
  <c r="DP70" i="45"/>
  <c r="R100" i="26"/>
  <c r="S100" i="26" s="1"/>
  <c r="DP72" i="45"/>
  <c r="AH47" i="45" l="1"/>
  <c r="CW2" i="53"/>
  <c r="CK2" i="53"/>
  <c r="BY2" i="53"/>
  <c r="BM2" i="53"/>
  <c r="BA2" i="53"/>
  <c r="AO2" i="53"/>
  <c r="AC2" i="53"/>
  <c r="Q2" i="53"/>
  <c r="E2" i="53"/>
  <c r="F3" i="53"/>
  <c r="G3" i="53"/>
  <c r="H3" i="53"/>
  <c r="I3" i="53"/>
  <c r="J3" i="53"/>
  <c r="K3" i="53"/>
  <c r="L3" i="53"/>
  <c r="M3" i="53"/>
  <c r="N3" i="53"/>
  <c r="O3" i="53"/>
  <c r="P3" i="53"/>
  <c r="Q3" i="53"/>
  <c r="R3" i="53"/>
  <c r="S3" i="53"/>
  <c r="T3" i="53"/>
  <c r="U3" i="53"/>
  <c r="V3" i="53"/>
  <c r="W3" i="53"/>
  <c r="X3" i="53"/>
  <c r="Y3" i="53"/>
  <c r="Z3" i="53"/>
  <c r="AA3" i="53"/>
  <c r="AB3" i="53"/>
  <c r="AC3" i="53"/>
  <c r="AD3" i="53"/>
  <c r="AE3" i="53"/>
  <c r="AF3" i="53"/>
  <c r="AG3" i="53"/>
  <c r="AH3" i="53"/>
  <c r="AI3" i="53"/>
  <c r="AJ3" i="53"/>
  <c r="AK3" i="53"/>
  <c r="AL3" i="53"/>
  <c r="AM3" i="53"/>
  <c r="AN3" i="53"/>
  <c r="AO3" i="53"/>
  <c r="AP3" i="53"/>
  <c r="AQ3" i="53"/>
  <c r="AR3" i="53"/>
  <c r="AS3" i="53"/>
  <c r="AT3" i="53"/>
  <c r="AU3" i="53"/>
  <c r="AV3" i="53"/>
  <c r="AW3" i="53"/>
  <c r="AX3" i="53"/>
  <c r="AY3" i="53"/>
  <c r="AZ3" i="53"/>
  <c r="BA3" i="53"/>
  <c r="BB3" i="53"/>
  <c r="BC3" i="53"/>
  <c r="BD3" i="53"/>
  <c r="BE3" i="53"/>
  <c r="BF3" i="53"/>
  <c r="BG3" i="53"/>
  <c r="BH3" i="53"/>
  <c r="BI3" i="53"/>
  <c r="BJ3" i="53"/>
  <c r="BK3" i="53"/>
  <c r="BL3" i="53"/>
  <c r="BM3" i="53"/>
  <c r="BN3" i="53"/>
  <c r="BO3" i="53"/>
  <c r="BP3" i="53"/>
  <c r="BQ3" i="53"/>
  <c r="BR3" i="53"/>
  <c r="BS3" i="53"/>
  <c r="BT3" i="53"/>
  <c r="BU3" i="53"/>
  <c r="BV3" i="53"/>
  <c r="BW3" i="53"/>
  <c r="BX3" i="53"/>
  <c r="BY3" i="53"/>
  <c r="BZ3" i="53"/>
  <c r="CA3" i="53"/>
  <c r="CB3" i="53"/>
  <c r="CC3" i="53"/>
  <c r="CD3" i="53"/>
  <c r="CE3" i="53"/>
  <c r="CF3" i="53"/>
  <c r="CG3" i="53"/>
  <c r="CH3" i="53"/>
  <c r="CI3" i="53"/>
  <c r="CJ3" i="53"/>
  <c r="CK3" i="53"/>
  <c r="CL3" i="53"/>
  <c r="CM3" i="53"/>
  <c r="CN3" i="53"/>
  <c r="CO3" i="53"/>
  <c r="CP3" i="53"/>
  <c r="CQ3" i="53"/>
  <c r="CR3" i="53"/>
  <c r="CS3" i="53"/>
  <c r="CT3" i="53"/>
  <c r="CU3" i="53"/>
  <c r="CV3" i="53"/>
  <c r="CW3" i="53"/>
  <c r="CX3" i="53"/>
  <c r="CY3" i="53"/>
  <c r="CZ3" i="53"/>
  <c r="DA3" i="53"/>
  <c r="DB3" i="53"/>
  <c r="DC3" i="53"/>
  <c r="DD3" i="53"/>
  <c r="DE3" i="53"/>
  <c r="DF3" i="53"/>
  <c r="DG3" i="53"/>
  <c r="DH3" i="53"/>
  <c r="E3" i="53"/>
  <c r="L86" i="45"/>
  <c r="M86" i="45"/>
  <c r="N86" i="45"/>
  <c r="O86" i="45"/>
  <c r="P86" i="45"/>
  <c r="Q86" i="45"/>
  <c r="R86" i="45"/>
  <c r="S86" i="45"/>
  <c r="T86" i="45"/>
  <c r="U86" i="45"/>
  <c r="V86" i="45"/>
  <c r="W86" i="45"/>
  <c r="X86" i="45"/>
  <c r="Y86" i="45"/>
  <c r="Z86" i="45"/>
  <c r="AA86" i="45"/>
  <c r="AB86" i="45"/>
  <c r="AC86" i="45"/>
  <c r="AD86" i="45"/>
  <c r="AE86" i="45"/>
  <c r="AF86" i="45"/>
  <c r="AG86" i="45"/>
  <c r="AH86" i="45"/>
  <c r="K86" i="45"/>
  <c r="K77" i="45"/>
  <c r="J3" i="47"/>
  <c r="K3" i="47"/>
  <c r="L3" i="47"/>
  <c r="M3" i="47"/>
  <c r="N3" i="47"/>
  <c r="O3" i="47"/>
  <c r="P3" i="47"/>
  <c r="Q3" i="47"/>
  <c r="R3" i="47"/>
  <c r="S3" i="47"/>
  <c r="T3" i="47"/>
  <c r="U3" i="47"/>
  <c r="V3" i="47"/>
  <c r="W3" i="47"/>
  <c r="X3" i="47"/>
  <c r="Y3" i="47"/>
  <c r="Z3" i="47"/>
  <c r="AA3" i="47"/>
  <c r="AB3" i="47"/>
  <c r="AC3" i="47"/>
  <c r="AD3" i="47"/>
  <c r="AE3" i="47"/>
  <c r="AF3" i="47"/>
  <c r="AG3" i="47"/>
  <c r="AH3" i="47"/>
  <c r="AI3" i="47"/>
  <c r="AJ3" i="47"/>
  <c r="AK3" i="47"/>
  <c r="AL3" i="47"/>
  <c r="AM3" i="47"/>
  <c r="AN3" i="47"/>
  <c r="AO3" i="47"/>
  <c r="AP3" i="47"/>
  <c r="AQ3" i="47"/>
  <c r="AR3" i="47"/>
  <c r="AS3" i="47"/>
  <c r="AT3" i="47"/>
  <c r="AU3" i="47"/>
  <c r="AV3" i="47"/>
  <c r="AW3" i="47"/>
  <c r="AX3" i="47"/>
  <c r="AY3" i="47"/>
  <c r="AZ3" i="47"/>
  <c r="BA3" i="47"/>
  <c r="BB3" i="47"/>
  <c r="BC3" i="47"/>
  <c r="BD3" i="47"/>
  <c r="BE3" i="47"/>
  <c r="BF3" i="47"/>
  <c r="BG3" i="47"/>
  <c r="BH3" i="47"/>
  <c r="BI3" i="47"/>
  <c r="BJ3" i="47"/>
  <c r="BK3" i="47"/>
  <c r="BL3" i="47"/>
  <c r="BM3" i="47"/>
  <c r="BN3" i="47"/>
  <c r="BO3" i="47"/>
  <c r="BP3" i="47"/>
  <c r="BQ3" i="47"/>
  <c r="BR3" i="47"/>
  <c r="BS3" i="47"/>
  <c r="BT3" i="47"/>
  <c r="BU3" i="47"/>
  <c r="BV3" i="47"/>
  <c r="BW3" i="47"/>
  <c r="BX3" i="47"/>
  <c r="BY3" i="47"/>
  <c r="BZ3" i="47"/>
  <c r="CA3" i="47"/>
  <c r="CB3" i="47"/>
  <c r="CC3" i="47"/>
  <c r="CD3" i="47"/>
  <c r="CE3" i="47"/>
  <c r="CF3" i="47"/>
  <c r="CG3" i="47"/>
  <c r="CH3" i="47"/>
  <c r="CI3" i="47"/>
  <c r="CJ3" i="47"/>
  <c r="CK3" i="47"/>
  <c r="CL3" i="47"/>
  <c r="CM3" i="47"/>
  <c r="CN3" i="47"/>
  <c r="CO3" i="47"/>
  <c r="CP3" i="47"/>
  <c r="CQ3" i="47"/>
  <c r="CR3" i="47"/>
  <c r="CS3" i="47"/>
  <c r="CT3" i="47"/>
  <c r="CU3" i="47"/>
  <c r="CV3" i="47"/>
  <c r="CW3" i="47"/>
  <c r="CX3" i="47"/>
  <c r="CY3" i="47"/>
  <c r="CZ3" i="47"/>
  <c r="DA3" i="47"/>
  <c r="DB3" i="47"/>
  <c r="DC3" i="47"/>
  <c r="DD3" i="47"/>
  <c r="DE3" i="47"/>
  <c r="DF3" i="47"/>
  <c r="DG3" i="47"/>
  <c r="DH3" i="47"/>
  <c r="DI3" i="47"/>
  <c r="DJ3" i="47"/>
  <c r="DK3" i="47"/>
  <c r="DL3" i="47"/>
  <c r="I3" i="47"/>
  <c r="CA15" i="53" l="1"/>
  <c r="CA39" i="53"/>
  <c r="CX15" i="53"/>
  <c r="CX39" i="53"/>
  <c r="CL15" i="53"/>
  <c r="CL39" i="53"/>
  <c r="BZ15" i="53"/>
  <c r="BZ39" i="53"/>
  <c r="BN15" i="53"/>
  <c r="BN39" i="53"/>
  <c r="BB15" i="53"/>
  <c r="BB39" i="53"/>
  <c r="AP15" i="53"/>
  <c r="AP39" i="53"/>
  <c r="AD15" i="53"/>
  <c r="AD39" i="53"/>
  <c r="R15" i="53"/>
  <c r="R39" i="53"/>
  <c r="F15" i="53"/>
  <c r="F39" i="53"/>
  <c r="G15" i="53"/>
  <c r="G39" i="53"/>
  <c r="E15" i="53"/>
  <c r="E39" i="53"/>
  <c r="CW15" i="53"/>
  <c r="CW39" i="53"/>
  <c r="CK15" i="53"/>
  <c r="CK39" i="53"/>
  <c r="BY15" i="53"/>
  <c r="BY39" i="53"/>
  <c r="BM15" i="53"/>
  <c r="BM39" i="53"/>
  <c r="BA15" i="53"/>
  <c r="BA39" i="53"/>
  <c r="AO15" i="53"/>
  <c r="AO39" i="53"/>
  <c r="AC15" i="53"/>
  <c r="AC39" i="53"/>
  <c r="Q15" i="53"/>
  <c r="Q39" i="53"/>
  <c r="BC15" i="53"/>
  <c r="BC39" i="53"/>
  <c r="DH15" i="53"/>
  <c r="DH39" i="53"/>
  <c r="CV15" i="53"/>
  <c r="CV39" i="53"/>
  <c r="CJ15" i="53"/>
  <c r="CJ39" i="53"/>
  <c r="BX15" i="53"/>
  <c r="BX39" i="53"/>
  <c r="BL15" i="53"/>
  <c r="BL39" i="53"/>
  <c r="AZ15" i="53"/>
  <c r="AZ39" i="53"/>
  <c r="AN15" i="53"/>
  <c r="AN39" i="53"/>
  <c r="AB15" i="53"/>
  <c r="AB39" i="53"/>
  <c r="P15" i="53"/>
  <c r="P39" i="53"/>
  <c r="AQ15" i="53"/>
  <c r="AQ39" i="53"/>
  <c r="DG15" i="53"/>
  <c r="DG39" i="53"/>
  <c r="CU15" i="53"/>
  <c r="CU39" i="53"/>
  <c r="CI15" i="53"/>
  <c r="CI39" i="53"/>
  <c r="BW15" i="53"/>
  <c r="BW39" i="53"/>
  <c r="BK15" i="53"/>
  <c r="BK39" i="53"/>
  <c r="AY15" i="53"/>
  <c r="AY39" i="53"/>
  <c r="AM15" i="53"/>
  <c r="AM39" i="53"/>
  <c r="AA15" i="53"/>
  <c r="AA39" i="53"/>
  <c r="O15" i="53"/>
  <c r="O39" i="53"/>
  <c r="AE15" i="53"/>
  <c r="AE39" i="53"/>
  <c r="DF15" i="53"/>
  <c r="DF39" i="53"/>
  <c r="CT15" i="53"/>
  <c r="CT39" i="53"/>
  <c r="CH15" i="53"/>
  <c r="CH39" i="53"/>
  <c r="BV15" i="53"/>
  <c r="BV39" i="53"/>
  <c r="BJ15" i="53"/>
  <c r="BJ39" i="53"/>
  <c r="AX15" i="53"/>
  <c r="AX39" i="53"/>
  <c r="AL15" i="53"/>
  <c r="AL39" i="53"/>
  <c r="Z15" i="53"/>
  <c r="Z39" i="53"/>
  <c r="N15" i="53"/>
  <c r="N39" i="53"/>
  <c r="BO15" i="53"/>
  <c r="BO39" i="53"/>
  <c r="DE15" i="53"/>
  <c r="DE39" i="53"/>
  <c r="CS15" i="53"/>
  <c r="CS39" i="53"/>
  <c r="CG15" i="53"/>
  <c r="CG39" i="53"/>
  <c r="BU15" i="53"/>
  <c r="BU39" i="53"/>
  <c r="BI15" i="53"/>
  <c r="BI39" i="53"/>
  <c r="AW15" i="53"/>
  <c r="AW39" i="53"/>
  <c r="AK15" i="53"/>
  <c r="AK39" i="53"/>
  <c r="Y15" i="53"/>
  <c r="Y39" i="53"/>
  <c r="M15" i="53"/>
  <c r="M39" i="53"/>
  <c r="S15" i="53"/>
  <c r="S39" i="53"/>
  <c r="DD15" i="53"/>
  <c r="DD39" i="53"/>
  <c r="CR15" i="53"/>
  <c r="CR39" i="53"/>
  <c r="CF15" i="53"/>
  <c r="CF39" i="53"/>
  <c r="BT15" i="53"/>
  <c r="BT39" i="53"/>
  <c r="BH15" i="53"/>
  <c r="BH39" i="53"/>
  <c r="AV15" i="53"/>
  <c r="AV39" i="53"/>
  <c r="AJ15" i="53"/>
  <c r="AJ39" i="53"/>
  <c r="X15" i="53"/>
  <c r="X39" i="53"/>
  <c r="L15" i="53"/>
  <c r="L39" i="53"/>
  <c r="CM15" i="53"/>
  <c r="CM39" i="53"/>
  <c r="DC15" i="53"/>
  <c r="DC39" i="53"/>
  <c r="CQ15" i="53"/>
  <c r="CQ39" i="53"/>
  <c r="CE15" i="53"/>
  <c r="CE39" i="53"/>
  <c r="BS15" i="53"/>
  <c r="BS39" i="53"/>
  <c r="BG15" i="53"/>
  <c r="BG39" i="53"/>
  <c r="AU15" i="53"/>
  <c r="AU39" i="53"/>
  <c r="AI15" i="53"/>
  <c r="AI39" i="53"/>
  <c r="W15" i="53"/>
  <c r="W39" i="53"/>
  <c r="K15" i="53"/>
  <c r="K39" i="53"/>
  <c r="CY15" i="53"/>
  <c r="CY39" i="53"/>
  <c r="DB15" i="53"/>
  <c r="DB39" i="53"/>
  <c r="CP15" i="53"/>
  <c r="CP39" i="53"/>
  <c r="CD15" i="53"/>
  <c r="CD39" i="53"/>
  <c r="BR15" i="53"/>
  <c r="BR39" i="53"/>
  <c r="BF15" i="53"/>
  <c r="BF39" i="53"/>
  <c r="AT15" i="53"/>
  <c r="AT39" i="53"/>
  <c r="AH15" i="53"/>
  <c r="AH39" i="53"/>
  <c r="V15" i="53"/>
  <c r="V39" i="53"/>
  <c r="J15" i="53"/>
  <c r="J39" i="53"/>
  <c r="DA15" i="53"/>
  <c r="DA39" i="53"/>
  <c r="CO15" i="53"/>
  <c r="CO39" i="53"/>
  <c r="CC15" i="53"/>
  <c r="CC39" i="53"/>
  <c r="BQ15" i="53"/>
  <c r="BQ39" i="53"/>
  <c r="BE15" i="53"/>
  <c r="BE39" i="53"/>
  <c r="AS15" i="53"/>
  <c r="AS39" i="53"/>
  <c r="AG15" i="53"/>
  <c r="AG39" i="53"/>
  <c r="U15" i="53"/>
  <c r="U39" i="53"/>
  <c r="I15" i="53"/>
  <c r="I39" i="53"/>
  <c r="CZ15" i="53"/>
  <c r="CZ39" i="53"/>
  <c r="CN15" i="53"/>
  <c r="CN39" i="53"/>
  <c r="CB15" i="53"/>
  <c r="CB39" i="53"/>
  <c r="BP15" i="53"/>
  <c r="BP39" i="53"/>
  <c r="BD15" i="53"/>
  <c r="BD39" i="53"/>
  <c r="AR15" i="53"/>
  <c r="AR39" i="53"/>
  <c r="AF15" i="53"/>
  <c r="AF39" i="53"/>
  <c r="T15" i="53"/>
  <c r="T39" i="53"/>
  <c r="H15" i="53"/>
  <c r="H39" i="53"/>
  <c r="J114" i="26"/>
  <c r="K114" i="26"/>
  <c r="K75" i="26"/>
  <c r="S75" i="26" s="1"/>
  <c r="DP47" i="45"/>
  <c r="DC2" i="50"/>
  <c r="CQ2" i="50"/>
  <c r="CE2" i="50"/>
  <c r="BS2" i="50"/>
  <c r="BG2" i="50"/>
  <c r="AU2" i="50"/>
  <c r="AI2" i="50"/>
  <c r="W2" i="50"/>
  <c r="G7" i="50"/>
  <c r="DP7" i="50"/>
  <c r="DP21" i="50"/>
  <c r="DP20" i="50"/>
  <c r="DP14" i="50"/>
  <c r="DP35" i="50"/>
  <c r="G35" i="50"/>
  <c r="G21" i="50"/>
  <c r="G20" i="50"/>
  <c r="G14" i="50"/>
  <c r="K11" i="50"/>
  <c r="K97" i="45" s="1"/>
  <c r="L11" i="50"/>
  <c r="L97" i="45" s="1"/>
  <c r="M11" i="50"/>
  <c r="M97" i="45" s="1"/>
  <c r="N11" i="50"/>
  <c r="N97" i="45" s="1"/>
  <c r="O11" i="50"/>
  <c r="O97" i="45" s="1"/>
  <c r="P11" i="50"/>
  <c r="P97" i="45" s="1"/>
  <c r="Q11" i="50"/>
  <c r="Q97" i="45" s="1"/>
  <c r="R11" i="50"/>
  <c r="R97" i="45" s="1"/>
  <c r="K2" i="50"/>
  <c r="L3" i="50"/>
  <c r="M3" i="50"/>
  <c r="N3" i="50"/>
  <c r="O3" i="50"/>
  <c r="P3" i="50"/>
  <c r="Q3" i="50"/>
  <c r="R3" i="50"/>
  <c r="S3" i="50"/>
  <c r="T3" i="50"/>
  <c r="U3" i="50"/>
  <c r="V3" i="50"/>
  <c r="W3" i="50"/>
  <c r="X3" i="50"/>
  <c r="Y3" i="50"/>
  <c r="Z3" i="50"/>
  <c r="AA3" i="50"/>
  <c r="AB3" i="50"/>
  <c r="AC3" i="50"/>
  <c r="AD3" i="50"/>
  <c r="AE3" i="50"/>
  <c r="AF3" i="50"/>
  <c r="AG3" i="50"/>
  <c r="AH3" i="50"/>
  <c r="AI3" i="50"/>
  <c r="AJ3" i="50"/>
  <c r="AK3" i="50"/>
  <c r="AL3" i="50"/>
  <c r="AM3" i="50"/>
  <c r="AN3" i="50"/>
  <c r="AO3" i="50"/>
  <c r="AP3" i="50"/>
  <c r="AQ3" i="50"/>
  <c r="AR3" i="50"/>
  <c r="AS3" i="50"/>
  <c r="AT3" i="50"/>
  <c r="AU3" i="50"/>
  <c r="AV3" i="50"/>
  <c r="AW3" i="50"/>
  <c r="AX3" i="50"/>
  <c r="AY3" i="50"/>
  <c r="AZ3" i="50"/>
  <c r="BA3" i="50"/>
  <c r="BB3" i="50"/>
  <c r="BC3" i="50"/>
  <c r="BD3" i="50"/>
  <c r="BE3" i="50"/>
  <c r="BF3" i="50"/>
  <c r="BG3" i="50"/>
  <c r="BH3" i="50"/>
  <c r="BI3" i="50"/>
  <c r="BJ3" i="50"/>
  <c r="BK3" i="50"/>
  <c r="BL3" i="50"/>
  <c r="BM3" i="50"/>
  <c r="BN3" i="50"/>
  <c r="BO3" i="50"/>
  <c r="BP3" i="50"/>
  <c r="BQ3" i="50"/>
  <c r="BR3" i="50"/>
  <c r="BS3" i="50"/>
  <c r="BT3" i="50"/>
  <c r="BU3" i="50"/>
  <c r="BV3" i="50"/>
  <c r="BW3" i="50"/>
  <c r="BX3" i="50"/>
  <c r="BY3" i="50"/>
  <c r="BZ3" i="50"/>
  <c r="CA3" i="50"/>
  <c r="CB3" i="50"/>
  <c r="CC3" i="50"/>
  <c r="CD3" i="50"/>
  <c r="CE3" i="50"/>
  <c r="CF3" i="50"/>
  <c r="CG3" i="50"/>
  <c r="CH3" i="50"/>
  <c r="CI3" i="50"/>
  <c r="CJ3" i="50"/>
  <c r="CK3" i="50"/>
  <c r="CL3" i="50"/>
  <c r="CM3" i="50"/>
  <c r="CN3" i="50"/>
  <c r="CO3" i="50"/>
  <c r="CP3" i="50"/>
  <c r="CQ3" i="50"/>
  <c r="CR3" i="50"/>
  <c r="CS3" i="50"/>
  <c r="CT3" i="50"/>
  <c r="CU3" i="50"/>
  <c r="CV3" i="50"/>
  <c r="CW3" i="50"/>
  <c r="CX3" i="50"/>
  <c r="CY3" i="50"/>
  <c r="CZ3" i="50"/>
  <c r="DA3" i="50"/>
  <c r="DB3" i="50"/>
  <c r="DC3" i="50"/>
  <c r="DD3" i="50"/>
  <c r="DE3" i="50"/>
  <c r="DF3" i="50"/>
  <c r="DG3" i="50"/>
  <c r="DH3" i="50"/>
  <c r="DI3" i="50"/>
  <c r="DJ3" i="50"/>
  <c r="DK3" i="50"/>
  <c r="DL3" i="50"/>
  <c r="DM3" i="50"/>
  <c r="DN3" i="50"/>
  <c r="K3" i="50"/>
  <c r="J3" i="50"/>
  <c r="R38" i="101" l="1"/>
  <c r="M38" i="101"/>
  <c r="H38" i="101"/>
  <c r="C38" i="101"/>
  <c r="W7" i="101"/>
  <c r="R7" i="101"/>
  <c r="M7" i="101"/>
  <c r="H7" i="101"/>
  <c r="C7" i="101"/>
  <c r="C49" i="101" l="1"/>
  <c r="H49" i="101" s="1"/>
  <c r="M49" i="101" s="1"/>
  <c r="R49" i="101" s="1"/>
  <c r="C50" i="101"/>
  <c r="H50" i="101" s="1"/>
  <c r="M50" i="101" s="1"/>
  <c r="R50" i="101" s="1"/>
  <c r="C51" i="101"/>
  <c r="H51" i="101" s="1"/>
  <c r="M51" i="101" s="1"/>
  <c r="R51" i="101" s="1"/>
  <c r="C52" i="101"/>
  <c r="H52" i="101" s="1"/>
  <c r="M52" i="101" s="1"/>
  <c r="R52" i="101" s="1"/>
  <c r="C53" i="101"/>
  <c r="H53" i="101" s="1"/>
  <c r="M53" i="101" s="1"/>
  <c r="R53" i="101" s="1"/>
  <c r="C54" i="101"/>
  <c r="H54" i="101" s="1"/>
  <c r="M54" i="101" s="1"/>
  <c r="R54" i="101" s="1"/>
  <c r="C55" i="101"/>
  <c r="H55" i="101" s="1"/>
  <c r="M55" i="101" s="1"/>
  <c r="R55" i="101" s="1"/>
  <c r="C56" i="101"/>
  <c r="H56" i="101" s="1"/>
  <c r="M56" i="101" s="1"/>
  <c r="R56" i="101" s="1"/>
  <c r="C57" i="101"/>
  <c r="H57" i="101" s="1"/>
  <c r="M57" i="101" s="1"/>
  <c r="R57" i="101" s="1"/>
  <c r="C58" i="101"/>
  <c r="H58" i="101" s="1"/>
  <c r="M58" i="101" s="1"/>
  <c r="R58" i="101" s="1"/>
  <c r="C59" i="101"/>
  <c r="H59" i="101" s="1"/>
  <c r="M59" i="101" s="1"/>
  <c r="R59" i="101" s="1"/>
  <c r="M17" i="101"/>
  <c r="M11" i="101"/>
  <c r="M10" i="101"/>
  <c r="R10" i="101" s="1"/>
  <c r="W10" i="101" s="1"/>
  <c r="C41" i="101" s="1"/>
  <c r="H41" i="101" s="1"/>
  <c r="M41" i="101" s="1"/>
  <c r="R41" i="101" s="1"/>
  <c r="M9" i="101"/>
  <c r="R9" i="101" s="1"/>
  <c r="W9" i="101" s="1"/>
  <c r="C40" i="101" s="1"/>
  <c r="H40" i="101" s="1"/>
  <c r="M40" i="101" s="1"/>
  <c r="R40" i="101" s="1"/>
  <c r="M8" i="101"/>
  <c r="T38" i="101"/>
  <c r="T37" i="101"/>
  <c r="O38" i="101"/>
  <c r="O37" i="101"/>
  <c r="J38" i="101"/>
  <c r="J37" i="101"/>
  <c r="E38" i="101"/>
  <c r="E37" i="101"/>
  <c r="Y7" i="101"/>
  <c r="Y6" i="101"/>
  <c r="T7" i="101"/>
  <c r="T6" i="101"/>
  <c r="O7" i="101"/>
  <c r="O6" i="101"/>
  <c r="J7" i="101"/>
  <c r="I20" i="101" s="1"/>
  <c r="Z9" i="45" s="1"/>
  <c r="J6" i="101"/>
  <c r="E7" i="101"/>
  <c r="D20" i="101" s="1"/>
  <c r="N9" i="45" s="1"/>
  <c r="E6" i="101"/>
  <c r="C12" i="101" s="1"/>
  <c r="D43" i="45"/>
  <c r="J103" i="26"/>
  <c r="J71" i="26"/>
  <c r="J105" i="26" l="1"/>
  <c r="N18" i="101"/>
  <c r="AJ9" i="45" s="1"/>
  <c r="K8" i="45"/>
  <c r="L8" i="45" s="1"/>
  <c r="M8" i="45" s="1"/>
  <c r="N8" i="45" s="1"/>
  <c r="O8" i="45" s="1"/>
  <c r="P8" i="45" s="1"/>
  <c r="Q8" i="45" s="1"/>
  <c r="R8" i="45" s="1"/>
  <c r="S8" i="45" s="1"/>
  <c r="T8" i="45" s="1"/>
  <c r="U8" i="45" s="1"/>
  <c r="V8" i="45" s="1"/>
  <c r="J36" i="26" s="1"/>
  <c r="C13" i="101"/>
  <c r="R17" i="101"/>
  <c r="D27" i="101"/>
  <c r="U9" i="45" s="1"/>
  <c r="D19" i="101"/>
  <c r="M9" i="45" s="1"/>
  <c r="D18" i="101"/>
  <c r="L9" i="45" s="1"/>
  <c r="N17" i="101"/>
  <c r="N28" i="101"/>
  <c r="AT9" i="45" s="1"/>
  <c r="N27" i="101"/>
  <c r="AS9" i="45" s="1"/>
  <c r="N26" i="101"/>
  <c r="AR9" i="45" s="1"/>
  <c r="N25" i="101"/>
  <c r="AQ9" i="45" s="1"/>
  <c r="N24" i="101"/>
  <c r="AP9" i="45" s="1"/>
  <c r="N23" i="101"/>
  <c r="AO9" i="45" s="1"/>
  <c r="N22" i="101"/>
  <c r="AN9" i="45" s="1"/>
  <c r="N21" i="101"/>
  <c r="AM9" i="45" s="1"/>
  <c r="N20" i="101"/>
  <c r="AL9" i="45" s="1"/>
  <c r="N19" i="101"/>
  <c r="AK9" i="45" s="1"/>
  <c r="I26" i="101"/>
  <c r="AF9" i="45" s="1"/>
  <c r="I17" i="101"/>
  <c r="I27" i="101"/>
  <c r="AG9" i="45" s="1"/>
  <c r="I25" i="101"/>
  <c r="AE9" i="45" s="1"/>
  <c r="I24" i="101"/>
  <c r="AD9" i="45" s="1"/>
  <c r="I18" i="101"/>
  <c r="X9" i="45" s="1"/>
  <c r="I28" i="101"/>
  <c r="AH9" i="45" s="1"/>
  <c r="I23" i="101"/>
  <c r="AC9" i="45" s="1"/>
  <c r="I19" i="101"/>
  <c r="Y9" i="45" s="1"/>
  <c r="I22" i="101"/>
  <c r="AB9" i="45" s="1"/>
  <c r="I21" i="101"/>
  <c r="AA9" i="45" s="1"/>
  <c r="D17" i="101"/>
  <c r="D28" i="101"/>
  <c r="V9" i="45" s="1"/>
  <c r="D26" i="101"/>
  <c r="T9" i="45" s="1"/>
  <c r="D25" i="101"/>
  <c r="S9" i="45" s="1"/>
  <c r="D23" i="101"/>
  <c r="Q9" i="45" s="1"/>
  <c r="D22" i="101"/>
  <c r="P9" i="45" s="1"/>
  <c r="D21" i="101"/>
  <c r="O9" i="45" s="1"/>
  <c r="D24" i="101"/>
  <c r="R9" i="45" s="1"/>
  <c r="M12" i="101"/>
  <c r="R8" i="101"/>
  <c r="W8" i="101" s="1"/>
  <c r="C39" i="101" s="1"/>
  <c r="H39" i="101" s="1"/>
  <c r="M39" i="101" s="1"/>
  <c r="R39" i="101" s="1"/>
  <c r="R43" i="101" s="1"/>
  <c r="R11" i="101"/>
  <c r="H12" i="101"/>
  <c r="W11" i="101" l="1"/>
  <c r="M13" i="101"/>
  <c r="AI8" i="45"/>
  <c r="R44" i="101"/>
  <c r="DC8" i="45"/>
  <c r="DD8" i="45" s="1"/>
  <c r="DE8" i="45" s="1"/>
  <c r="DF8" i="45" s="1"/>
  <c r="DG8" i="45" s="1"/>
  <c r="DH8" i="45" s="1"/>
  <c r="DI8" i="45" s="1"/>
  <c r="DJ8" i="45" s="1"/>
  <c r="DK8" i="45" s="1"/>
  <c r="W8" i="45"/>
  <c r="H13" i="101"/>
  <c r="H30" i="101" s="1"/>
  <c r="K9" i="45"/>
  <c r="J37" i="26" s="1"/>
  <c r="C30" i="101"/>
  <c r="W9" i="45"/>
  <c r="M30" i="101"/>
  <c r="AI9" i="45"/>
  <c r="L37" i="26" s="1"/>
  <c r="W17" i="101"/>
  <c r="X23" i="101"/>
  <c r="BM9" i="45" s="1"/>
  <c r="S19" i="101"/>
  <c r="AW9" i="45" s="1"/>
  <c r="X25" i="101"/>
  <c r="BO9" i="45" s="1"/>
  <c r="S24" i="101"/>
  <c r="BB9" i="45" s="1"/>
  <c r="S27" i="101"/>
  <c r="BE9" i="45" s="1"/>
  <c r="X24" i="101"/>
  <c r="BN9" i="45" s="1"/>
  <c r="S26" i="101"/>
  <c r="BD9" i="45" s="1"/>
  <c r="X20" i="101"/>
  <c r="BJ9" i="45" s="1"/>
  <c r="X18" i="101"/>
  <c r="BH9" i="45" s="1"/>
  <c r="S18" i="101"/>
  <c r="AV9" i="45" s="1"/>
  <c r="X17" i="101"/>
  <c r="BG9" i="45" s="1"/>
  <c r="X21" i="101"/>
  <c r="BK9" i="45" s="1"/>
  <c r="S17" i="101"/>
  <c r="X28" i="101"/>
  <c r="BR9" i="45" s="1"/>
  <c r="S28" i="101"/>
  <c r="BF9" i="45" s="1"/>
  <c r="X27" i="101"/>
  <c r="BQ9" i="45" s="1"/>
  <c r="S20" i="101"/>
  <c r="AX9" i="45" s="1"/>
  <c r="R12" i="101"/>
  <c r="S23" i="101"/>
  <c r="BA9" i="45" s="1"/>
  <c r="X22" i="101"/>
  <c r="BL9" i="45" s="1"/>
  <c r="S21" i="101"/>
  <c r="AY9" i="45" s="1"/>
  <c r="S25" i="101"/>
  <c r="BC9" i="45" s="1"/>
  <c r="X19" i="101"/>
  <c r="BI9" i="45" s="1"/>
  <c r="C43" i="101"/>
  <c r="S22" i="101"/>
  <c r="AZ9" i="45" s="1"/>
  <c r="X26" i="101"/>
  <c r="BP9" i="45" s="1"/>
  <c r="M43" i="101"/>
  <c r="H43" i="101"/>
  <c r="W12" i="101"/>
  <c r="N37" i="26" l="1"/>
  <c r="C42" i="101"/>
  <c r="C44" i="101"/>
  <c r="BS8" i="45"/>
  <c r="R13" i="101"/>
  <c r="AU8" i="45"/>
  <c r="X8" i="45"/>
  <c r="H44" i="101"/>
  <c r="CE8" i="45"/>
  <c r="M44" i="101"/>
  <c r="CQ8" i="45"/>
  <c r="AJ8" i="45"/>
  <c r="AK8" i="45" s="1"/>
  <c r="AL8" i="45" s="1"/>
  <c r="AM8" i="45" s="1"/>
  <c r="AN8" i="45" s="1"/>
  <c r="AO8" i="45" s="1"/>
  <c r="AP8" i="45" s="1"/>
  <c r="AQ8" i="45" s="1"/>
  <c r="AR8" i="45" s="1"/>
  <c r="AS8" i="45" s="1"/>
  <c r="AT8" i="45" s="1"/>
  <c r="W13" i="101"/>
  <c r="W30" i="101" s="1"/>
  <c r="BG8" i="45"/>
  <c r="DL8" i="45"/>
  <c r="C48" i="101"/>
  <c r="K37" i="26"/>
  <c r="R30" i="101"/>
  <c r="AU9" i="45"/>
  <c r="M37" i="26" s="1"/>
  <c r="L36" i="26" l="1"/>
  <c r="H42" i="101"/>
  <c r="D54" i="101"/>
  <c r="BY9" i="45" s="1"/>
  <c r="D49" i="101"/>
  <c r="BT9" i="45" s="1"/>
  <c r="D52" i="101"/>
  <c r="BW9" i="45" s="1"/>
  <c r="D57" i="101"/>
  <c r="CB9" i="45" s="1"/>
  <c r="D56" i="101"/>
  <c r="CA9" i="45" s="1"/>
  <c r="D58" i="101"/>
  <c r="CC9" i="45" s="1"/>
  <c r="D55" i="101"/>
  <c r="BZ9" i="45" s="1"/>
  <c r="D53" i="101"/>
  <c r="BX9" i="45" s="1"/>
  <c r="D50" i="101"/>
  <c r="BU9" i="45" s="1"/>
  <c r="D51" i="101"/>
  <c r="BV9" i="45" s="1"/>
  <c r="D59" i="101"/>
  <c r="CD9" i="45" s="1"/>
  <c r="Y8" i="45"/>
  <c r="AV8" i="45"/>
  <c r="AW8" i="45" s="1"/>
  <c r="AX8" i="45" s="1"/>
  <c r="AY8" i="45" s="1"/>
  <c r="AZ8" i="45" s="1"/>
  <c r="BA8" i="45" s="1"/>
  <c r="BB8" i="45" s="1"/>
  <c r="BC8" i="45" s="1"/>
  <c r="BD8" i="45" s="1"/>
  <c r="BE8" i="45" s="1"/>
  <c r="BF8" i="45" s="1"/>
  <c r="CR8" i="45"/>
  <c r="CS8" i="45" s="1"/>
  <c r="CT8" i="45" s="1"/>
  <c r="CU8" i="45" s="1"/>
  <c r="CV8" i="45" s="1"/>
  <c r="CW8" i="45" s="1"/>
  <c r="CX8" i="45" s="1"/>
  <c r="CY8" i="45" s="1"/>
  <c r="CZ8" i="45" s="1"/>
  <c r="DA8" i="45" s="1"/>
  <c r="DB8" i="45" s="1"/>
  <c r="CF8" i="45"/>
  <c r="CG8" i="45" s="1"/>
  <c r="CH8" i="45" s="1"/>
  <c r="CI8" i="45" s="1"/>
  <c r="CJ8" i="45" s="1"/>
  <c r="CK8" i="45" s="1"/>
  <c r="CL8" i="45" s="1"/>
  <c r="CM8" i="45" s="1"/>
  <c r="CN8" i="45" s="1"/>
  <c r="CO8" i="45" s="1"/>
  <c r="CP8" i="45" s="1"/>
  <c r="DM8" i="45"/>
  <c r="BT8" i="45"/>
  <c r="BU8" i="45" s="1"/>
  <c r="BV8" i="45" s="1"/>
  <c r="BW8" i="45" s="1"/>
  <c r="BX8" i="45" s="1"/>
  <c r="BY8" i="45" s="1"/>
  <c r="BZ8" i="45" s="1"/>
  <c r="CA8" i="45" s="1"/>
  <c r="CB8" i="45" s="1"/>
  <c r="CC8" i="45" s="1"/>
  <c r="CD8" i="45" s="1"/>
  <c r="BH8" i="45"/>
  <c r="BI8" i="45" s="1"/>
  <c r="BJ8" i="45" s="1"/>
  <c r="BK8" i="45" s="1"/>
  <c r="BL8" i="45" s="1"/>
  <c r="BM8" i="45" s="1"/>
  <c r="BN8" i="45" s="1"/>
  <c r="BO8" i="45" s="1"/>
  <c r="BP8" i="45" s="1"/>
  <c r="BQ8" i="45" s="1"/>
  <c r="BR8" i="45" s="1"/>
  <c r="H48" i="101"/>
  <c r="D48" i="101"/>
  <c r="C77" i="45"/>
  <c r="N36" i="26" l="1"/>
  <c r="M36" i="26"/>
  <c r="M42" i="101"/>
  <c r="I57" i="101"/>
  <c r="CN9" i="45" s="1"/>
  <c r="I51" i="101"/>
  <c r="CH9" i="45" s="1"/>
  <c r="I56" i="101"/>
  <c r="CM9" i="45" s="1"/>
  <c r="I52" i="101"/>
  <c r="CI9" i="45" s="1"/>
  <c r="I59" i="101"/>
  <c r="CP9" i="45" s="1"/>
  <c r="I54" i="101"/>
  <c r="CK9" i="45" s="1"/>
  <c r="I55" i="101"/>
  <c r="CL9" i="45" s="1"/>
  <c r="I49" i="101"/>
  <c r="CF9" i="45" s="1"/>
  <c r="I53" i="101"/>
  <c r="CJ9" i="45" s="1"/>
  <c r="I50" i="101"/>
  <c r="CG9" i="45" s="1"/>
  <c r="I58" i="101"/>
  <c r="CO9" i="45" s="1"/>
  <c r="DN8" i="45"/>
  <c r="R36" i="26"/>
  <c r="P36" i="26"/>
  <c r="O36" i="26"/>
  <c r="Q36" i="26"/>
  <c r="Z8" i="45"/>
  <c r="C61" i="101"/>
  <c r="BS9" i="45"/>
  <c r="M48" i="101"/>
  <c r="I48" i="101"/>
  <c r="D75" i="45"/>
  <c r="E72" i="45"/>
  <c r="D71" i="45"/>
  <c r="D70" i="45"/>
  <c r="E69" i="45"/>
  <c r="E63" i="45"/>
  <c r="E64" i="45"/>
  <c r="E65" i="45"/>
  <c r="E66" i="45"/>
  <c r="E67" i="45"/>
  <c r="E68" i="45"/>
  <c r="E62" i="45"/>
  <c r="D61" i="45"/>
  <c r="E58" i="45"/>
  <c r="E59" i="45"/>
  <c r="E60" i="45"/>
  <c r="E57" i="45"/>
  <c r="D56" i="45"/>
  <c r="E55" i="45"/>
  <c r="D54" i="45"/>
  <c r="E53" i="45"/>
  <c r="D52" i="45"/>
  <c r="E48" i="45"/>
  <c r="E49" i="45"/>
  <c r="E50" i="45"/>
  <c r="E51" i="45"/>
  <c r="E47" i="45"/>
  <c r="D46" i="45"/>
  <c r="C45" i="45"/>
  <c r="E42" i="45"/>
  <c r="D41" i="45"/>
  <c r="E40" i="45"/>
  <c r="E39" i="45"/>
  <c r="D38" i="45"/>
  <c r="F36" i="45"/>
  <c r="F37" i="45"/>
  <c r="F35" i="45"/>
  <c r="E34" i="45"/>
  <c r="F32" i="45"/>
  <c r="F33" i="45"/>
  <c r="F31" i="45"/>
  <c r="R42" i="101" l="1"/>
  <c r="N54" i="101"/>
  <c r="CW9" i="45" s="1"/>
  <c r="N58" i="101"/>
  <c r="DA9" i="45" s="1"/>
  <c r="N53" i="101"/>
  <c r="CV9" i="45" s="1"/>
  <c r="N57" i="101"/>
  <c r="CZ9" i="45" s="1"/>
  <c r="N49" i="101"/>
  <c r="CR9" i="45" s="1"/>
  <c r="N55" i="101"/>
  <c r="CX9" i="45" s="1"/>
  <c r="N52" i="101"/>
  <c r="CU9" i="45" s="1"/>
  <c r="N51" i="101"/>
  <c r="CT9" i="45" s="1"/>
  <c r="N59" i="101"/>
  <c r="DB9" i="45" s="1"/>
  <c r="N56" i="101"/>
  <c r="CY9" i="45" s="1"/>
  <c r="N50" i="101"/>
  <c r="CS9" i="45" s="1"/>
  <c r="AA8" i="45"/>
  <c r="CE9" i="45"/>
  <c r="P37" i="26" s="1"/>
  <c r="H61" i="101"/>
  <c r="R48" i="101"/>
  <c r="N48" i="101"/>
  <c r="O37" i="26"/>
  <c r="E30" i="45"/>
  <c r="D29" i="45"/>
  <c r="C28" i="45"/>
  <c r="D23" i="45"/>
  <c r="K5" i="45"/>
  <c r="L5" i="45" s="1"/>
  <c r="M5" i="45" s="1"/>
  <c r="N5" i="45" s="1"/>
  <c r="O5" i="45" s="1"/>
  <c r="P5" i="45" s="1"/>
  <c r="Q5" i="45" s="1"/>
  <c r="R5" i="45" s="1"/>
  <c r="S5" i="45" s="1"/>
  <c r="T5" i="45" s="1"/>
  <c r="U5" i="45" s="1"/>
  <c r="V5" i="45" s="1"/>
  <c r="W5" i="45" s="1"/>
  <c r="X5" i="45" s="1"/>
  <c r="Y5" i="45" s="1"/>
  <c r="Z5" i="45" s="1"/>
  <c r="AA5" i="45" s="1"/>
  <c r="AB5" i="45" s="1"/>
  <c r="AC5" i="45" s="1"/>
  <c r="AD5" i="45" s="1"/>
  <c r="AE5" i="45" s="1"/>
  <c r="AF5" i="45" s="1"/>
  <c r="AG5" i="45" s="1"/>
  <c r="AH5" i="45" s="1"/>
  <c r="G5" i="26"/>
  <c r="Q5" i="26" s="1"/>
  <c r="O5" i="100"/>
  <c r="I5" i="100"/>
  <c r="K5" i="100" s="1"/>
  <c r="AI5" i="45" l="1"/>
  <c r="D7" i="96"/>
  <c r="S55" i="101"/>
  <c r="DJ9" i="45" s="1"/>
  <c r="S50" i="101"/>
  <c r="DE9" i="45" s="1"/>
  <c r="S57" i="101"/>
  <c r="DL9" i="45" s="1"/>
  <c r="DL10" i="45" s="1"/>
  <c r="S56" i="101"/>
  <c r="DK9" i="45" s="1"/>
  <c r="DK10" i="45" s="1"/>
  <c r="S52" i="101"/>
  <c r="DG9" i="45" s="1"/>
  <c r="S54" i="101"/>
  <c r="DI9" i="45" s="1"/>
  <c r="S53" i="101"/>
  <c r="DH9" i="45" s="1"/>
  <c r="S58" i="101"/>
  <c r="DM9" i="45" s="1"/>
  <c r="DM10" i="45" s="1"/>
  <c r="S59" i="101"/>
  <c r="DN9" i="45" s="1"/>
  <c r="DN10" i="45" s="1"/>
  <c r="S51" i="101"/>
  <c r="DF9" i="45" s="1"/>
  <c r="S49" i="101"/>
  <c r="DD9" i="45" s="1"/>
  <c r="AB8" i="45"/>
  <c r="S48" i="101"/>
  <c r="M61" i="101"/>
  <c r="CQ9" i="45"/>
  <c r="G21" i="99"/>
  <c r="G20" i="99"/>
  <c r="H19" i="99"/>
  <c r="H18" i="99"/>
  <c r="E19" i="99"/>
  <c r="E20" i="99" s="1"/>
  <c r="D19" i="99"/>
  <c r="D20" i="99" s="1"/>
  <c r="D21" i="99" s="1"/>
  <c r="C19" i="99"/>
  <c r="F19" i="99" s="1"/>
  <c r="C20" i="99"/>
  <c r="F20" i="99" s="1"/>
  <c r="C21" i="99"/>
  <c r="C18" i="99"/>
  <c r="F18" i="99" s="1"/>
  <c r="B12" i="99"/>
  <c r="B13" i="99"/>
  <c r="B14" i="99"/>
  <c r="B11" i="99"/>
  <c r="B19" i="99"/>
  <c r="B20" i="99"/>
  <c r="B21" i="99"/>
  <c r="B18" i="99"/>
  <c r="AJ5" i="45" l="1"/>
  <c r="E7" i="96"/>
  <c r="BS32" i="45"/>
  <c r="CS32" i="45"/>
  <c r="AL32" i="45"/>
  <c r="BM32" i="45"/>
  <c r="CM32" i="45"/>
  <c r="DM32" i="45"/>
  <c r="BF32" i="45"/>
  <c r="BT32" i="45"/>
  <c r="AN32" i="45"/>
  <c r="DN32" i="45"/>
  <c r="CP32" i="45"/>
  <c r="CQ32" i="45"/>
  <c r="CE32" i="45"/>
  <c r="BY32" i="45"/>
  <c r="BR32" i="45"/>
  <c r="BG32" i="45"/>
  <c r="CG32" i="45"/>
  <c r="DH32" i="45"/>
  <c r="BA32" i="45"/>
  <c r="CA32" i="45"/>
  <c r="DA32" i="45"/>
  <c r="AT32" i="45"/>
  <c r="BN32" i="45"/>
  <c r="AJ32" i="45"/>
  <c r="BD32" i="45"/>
  <c r="AU32" i="45"/>
  <c r="BU32" i="45"/>
  <c r="CV32" i="45"/>
  <c r="AO32" i="45"/>
  <c r="BO32" i="45"/>
  <c r="CO32" i="45"/>
  <c r="CI32" i="45"/>
  <c r="CT32" i="45"/>
  <c r="CN32" i="45"/>
  <c r="BK32" i="45"/>
  <c r="CW32" i="45"/>
  <c r="BP32" i="45"/>
  <c r="CK32" i="45"/>
  <c r="DE32" i="45"/>
  <c r="AR32" i="45"/>
  <c r="AI32" i="45"/>
  <c r="BI32" i="45"/>
  <c r="CJ32" i="45"/>
  <c r="DJ32" i="45"/>
  <c r="BC32" i="45"/>
  <c r="CC32" i="45"/>
  <c r="BW32" i="45"/>
  <c r="DD32" i="45"/>
  <c r="AW32" i="45"/>
  <c r="BX32" i="45"/>
  <c r="CX32" i="45"/>
  <c r="AQ32" i="45"/>
  <c r="BQ32" i="45"/>
  <c r="AY32" i="45"/>
  <c r="DK32" i="45"/>
  <c r="CR32" i="45"/>
  <c r="AK32" i="45"/>
  <c r="BL32" i="45"/>
  <c r="CL32" i="45"/>
  <c r="DL32" i="45"/>
  <c r="BE32" i="45"/>
  <c r="DG32" i="45"/>
  <c r="CF32" i="45"/>
  <c r="DF32" i="45"/>
  <c r="AZ32" i="45"/>
  <c r="BZ32" i="45"/>
  <c r="CZ32" i="45"/>
  <c r="AS32" i="45"/>
  <c r="CU32" i="45"/>
  <c r="CY32" i="45"/>
  <c r="BH32" i="45"/>
  <c r="CH32" i="45"/>
  <c r="DI32" i="45"/>
  <c r="BB32" i="45"/>
  <c r="CB32" i="45"/>
  <c r="DB32" i="45"/>
  <c r="AM32" i="45"/>
  <c r="DC32" i="45"/>
  <c r="AV32" i="45"/>
  <c r="BV32" i="45"/>
  <c r="AP32" i="45"/>
  <c r="BJ32" i="45"/>
  <c r="CD32" i="45"/>
  <c r="AX32" i="45"/>
  <c r="AB32" i="45"/>
  <c r="AA32" i="45"/>
  <c r="AC32" i="45"/>
  <c r="AD32" i="45"/>
  <c r="AE32" i="45"/>
  <c r="AF32" i="45"/>
  <c r="AG32" i="45"/>
  <c r="AH32" i="45"/>
  <c r="W32" i="45"/>
  <c r="X32" i="45"/>
  <c r="Y32" i="45"/>
  <c r="Z32" i="45"/>
  <c r="BS31" i="45"/>
  <c r="CS31" i="45"/>
  <c r="AL31" i="45"/>
  <c r="BM31" i="45"/>
  <c r="CM31" i="45"/>
  <c r="DM31" i="45"/>
  <c r="BF31" i="45"/>
  <c r="DI31" i="45"/>
  <c r="CP31" i="45"/>
  <c r="BG31" i="45"/>
  <c r="CG31" i="45"/>
  <c r="DH31" i="45"/>
  <c r="BA31" i="45"/>
  <c r="CA31" i="45"/>
  <c r="DA31" i="45"/>
  <c r="AT31" i="45"/>
  <c r="AY31" i="45"/>
  <c r="DB31" i="45"/>
  <c r="CW31" i="45"/>
  <c r="AU31" i="45"/>
  <c r="BU31" i="45"/>
  <c r="CV31" i="45"/>
  <c r="AO31" i="45"/>
  <c r="BO31" i="45"/>
  <c r="CO31" i="45"/>
  <c r="AI31" i="45"/>
  <c r="BI31" i="45"/>
  <c r="CJ31" i="45"/>
  <c r="DJ31" i="45"/>
  <c r="BC31" i="45"/>
  <c r="CC31" i="45"/>
  <c r="AM31" i="45"/>
  <c r="CH31" i="45"/>
  <c r="BV31" i="45"/>
  <c r="DD31" i="45"/>
  <c r="AW31" i="45"/>
  <c r="BX31" i="45"/>
  <c r="CX31" i="45"/>
  <c r="AQ31" i="45"/>
  <c r="BQ31" i="45"/>
  <c r="DG31" i="45"/>
  <c r="AV31" i="45"/>
  <c r="CR31" i="45"/>
  <c r="AK31" i="45"/>
  <c r="BL31" i="45"/>
  <c r="CL31" i="45"/>
  <c r="DL31" i="45"/>
  <c r="BE31" i="45"/>
  <c r="CU31" i="45"/>
  <c r="BH31" i="45"/>
  <c r="BP31" i="45"/>
  <c r="CF31" i="45"/>
  <c r="DF31" i="45"/>
  <c r="AZ31" i="45"/>
  <c r="BZ31" i="45"/>
  <c r="CZ31" i="45"/>
  <c r="AS31" i="45"/>
  <c r="CI31" i="45"/>
  <c r="BW31" i="45"/>
  <c r="BB31" i="45"/>
  <c r="DC31" i="45"/>
  <c r="BT31" i="45"/>
  <c r="CT31" i="45"/>
  <c r="AN31" i="45"/>
  <c r="BN31" i="45"/>
  <c r="CN31" i="45"/>
  <c r="DN31" i="45"/>
  <c r="CQ31" i="45"/>
  <c r="AJ31" i="45"/>
  <c r="BJ31" i="45"/>
  <c r="CK31" i="45"/>
  <c r="DK31" i="45"/>
  <c r="BD31" i="45"/>
  <c r="CD31" i="45"/>
  <c r="BK31" i="45"/>
  <c r="AP31" i="45"/>
  <c r="CE31" i="45"/>
  <c r="DE31" i="45"/>
  <c r="AX31" i="45"/>
  <c r="BY31" i="45"/>
  <c r="CY31" i="45"/>
  <c r="AR31" i="45"/>
  <c r="BR31" i="45"/>
  <c r="CB31" i="45"/>
  <c r="AB31" i="45"/>
  <c r="AC31" i="45"/>
  <c r="AD31" i="45"/>
  <c r="AE31" i="45"/>
  <c r="AF31" i="45"/>
  <c r="AG31" i="45"/>
  <c r="AH31" i="45"/>
  <c r="W31" i="45"/>
  <c r="X31" i="45"/>
  <c r="Y31" i="45"/>
  <c r="Z31" i="45"/>
  <c r="AA31" i="45"/>
  <c r="DM23" i="45"/>
  <c r="DN23" i="45"/>
  <c r="DK23" i="45"/>
  <c r="DL23" i="45"/>
  <c r="AC8" i="45"/>
  <c r="Q37" i="26"/>
  <c r="DC9" i="45"/>
  <c r="R37" i="26" s="1"/>
  <c r="S37" i="26" s="1"/>
  <c r="R61" i="101"/>
  <c r="E21" i="99"/>
  <c r="F21" i="99" s="1"/>
  <c r="H20" i="99"/>
  <c r="AK5" i="45" l="1"/>
  <c r="F7" i="96"/>
  <c r="Q60" i="26"/>
  <c r="DP32" i="45"/>
  <c r="K60" i="26"/>
  <c r="R60" i="26"/>
  <c r="L60" i="26"/>
  <c r="N60" i="26"/>
  <c r="M60" i="26"/>
  <c r="P60" i="26"/>
  <c r="O60" i="26"/>
  <c r="N59" i="26"/>
  <c r="DP31" i="45"/>
  <c r="K59" i="26"/>
  <c r="M59" i="26"/>
  <c r="Q59" i="26"/>
  <c r="P59" i="26"/>
  <c r="L59" i="26"/>
  <c r="R59" i="26"/>
  <c r="O59" i="26"/>
  <c r="DP9" i="45"/>
  <c r="AD8" i="45"/>
  <c r="H21" i="99"/>
  <c r="AL5" i="45" l="1"/>
  <c r="G7" i="96"/>
  <c r="CB35" i="45"/>
  <c r="BH37" i="45"/>
  <c r="BT36" i="45"/>
  <c r="CN36" i="45"/>
  <c r="CW37" i="45"/>
  <c r="BQ36" i="45"/>
  <c r="BZ35" i="45"/>
  <c r="CO35" i="45"/>
  <c r="BS36" i="45"/>
  <c r="AA37" i="45"/>
  <c r="BY35" i="45"/>
  <c r="W37" i="45"/>
  <c r="AK37" i="45"/>
  <c r="DL35" i="45"/>
  <c r="AE35" i="45"/>
  <c r="CS36" i="45"/>
  <c r="CF35" i="45"/>
  <c r="BC35" i="45"/>
  <c r="CD35" i="45"/>
  <c r="AI36" i="45"/>
  <c r="BV36" i="45"/>
  <c r="CV36" i="45"/>
  <c r="AQ35" i="45"/>
  <c r="S60" i="26"/>
  <c r="BT35" i="45"/>
  <c r="CG35" i="45"/>
  <c r="CG36" i="45"/>
  <c r="CG37" i="45"/>
  <c r="BQ35" i="45"/>
  <c r="W35" i="45"/>
  <c r="BW35" i="45"/>
  <c r="BH35" i="45"/>
  <c r="X35" i="45"/>
  <c r="BT37" i="45"/>
  <c r="CO37" i="45"/>
  <c r="CW35" i="45"/>
  <c r="DL37" i="45"/>
  <c r="AD35" i="45"/>
  <c r="BE37" i="45"/>
  <c r="CH37" i="45"/>
  <c r="CL36" i="45"/>
  <c r="DD36" i="45"/>
  <c r="AZ37" i="45"/>
  <c r="DI37" i="45"/>
  <c r="H23" i="99"/>
  <c r="H24" i="99" s="1"/>
  <c r="BC36" i="45"/>
  <c r="BC37" i="45"/>
  <c r="CB36" i="45"/>
  <c r="CW36" i="45"/>
  <c r="CB37" i="45"/>
  <c r="X36" i="45"/>
  <c r="CN35" i="45"/>
  <c r="W36" i="45"/>
  <c r="S59" i="26"/>
  <c r="AE8" i="45"/>
  <c r="D27" i="91"/>
  <c r="D23" i="91"/>
  <c r="D19" i="91"/>
  <c r="D17" i="91"/>
  <c r="D3" i="91"/>
  <c r="AM5" i="45" l="1"/>
  <c r="H7" i="96"/>
  <c r="CN37" i="45"/>
  <c r="CN43" i="45" s="1"/>
  <c r="AE37" i="45"/>
  <c r="CO36" i="45"/>
  <c r="CO43" i="45" s="1"/>
  <c r="AI35" i="45"/>
  <c r="AK36" i="45"/>
  <c r="BH36" i="45"/>
  <c r="BH43" i="45" s="1"/>
  <c r="AA36" i="45"/>
  <c r="AA35" i="45"/>
  <c r="CV35" i="45"/>
  <c r="CV37" i="45"/>
  <c r="BQ37" i="45"/>
  <c r="BQ43" i="45" s="1"/>
  <c r="BS35" i="45"/>
  <c r="BS37" i="45"/>
  <c r="BY37" i="45"/>
  <c r="BV37" i="45"/>
  <c r="AQ37" i="45"/>
  <c r="CD37" i="45"/>
  <c r="BY36" i="45"/>
  <c r="BY43" i="45" s="1"/>
  <c r="CD36" i="45"/>
  <c r="CD43" i="45" s="1"/>
  <c r="BV35" i="45"/>
  <c r="BV43" i="45" s="1"/>
  <c r="AK35" i="45"/>
  <c r="AK43" i="45" s="1"/>
  <c r="AQ36" i="45"/>
  <c r="AQ43" i="45" s="1"/>
  <c r="AI37" i="45"/>
  <c r="CS35" i="45"/>
  <c r="CF37" i="45"/>
  <c r="AE36" i="45"/>
  <c r="AE43" i="45" s="1"/>
  <c r="CS37" i="45"/>
  <c r="CF36" i="45"/>
  <c r="CF43" i="45" s="1"/>
  <c r="BT43" i="45"/>
  <c r="BZ36" i="45"/>
  <c r="BZ37" i="45"/>
  <c r="DL36" i="45"/>
  <c r="DL43" i="45" s="1"/>
  <c r="DI36" i="45"/>
  <c r="DI35" i="45"/>
  <c r="CW43" i="45"/>
  <c r="CG43" i="45"/>
  <c r="O61" i="26"/>
  <c r="R61" i="26"/>
  <c r="X37" i="45"/>
  <c r="X43" i="45" s="1"/>
  <c r="W43" i="45"/>
  <c r="BE35" i="45"/>
  <c r="N61" i="26"/>
  <c r="DP33" i="45"/>
  <c r="AV36" i="45"/>
  <c r="AV37" i="45"/>
  <c r="AX35" i="45"/>
  <c r="AX36" i="45"/>
  <c r="AX37" i="45"/>
  <c r="DC37" i="45"/>
  <c r="DC36" i="45"/>
  <c r="DC35" i="45"/>
  <c r="BJ37" i="45"/>
  <c r="BJ35" i="45"/>
  <c r="BJ36" i="45"/>
  <c r="CI35" i="45"/>
  <c r="CI36" i="45"/>
  <c r="CI37" i="45"/>
  <c r="BX35" i="45"/>
  <c r="BX36" i="45"/>
  <c r="BX37" i="45"/>
  <c r="AH37" i="45"/>
  <c r="AH35" i="45"/>
  <c r="AH36" i="45"/>
  <c r="AN36" i="45"/>
  <c r="AN35" i="45"/>
  <c r="AN37" i="45"/>
  <c r="BM36" i="45"/>
  <c r="BM35" i="45"/>
  <c r="BM37" i="45"/>
  <c r="DA37" i="45"/>
  <c r="DA36" i="45"/>
  <c r="DA35" i="45"/>
  <c r="DK35" i="45"/>
  <c r="DK37" i="45"/>
  <c r="DK36" i="45"/>
  <c r="DM35" i="45"/>
  <c r="DM36" i="45"/>
  <c r="DM37" i="45"/>
  <c r="AR35" i="45"/>
  <c r="AR36" i="45"/>
  <c r="AR37" i="45"/>
  <c r="BF36" i="45"/>
  <c r="BF35" i="45"/>
  <c r="CX37" i="45"/>
  <c r="CX36" i="45"/>
  <c r="CX35" i="45"/>
  <c r="AU36" i="45"/>
  <c r="AU37" i="45"/>
  <c r="AU35" i="45"/>
  <c r="CU37" i="45"/>
  <c r="CU36" i="45"/>
  <c r="CU35" i="45"/>
  <c r="BG36" i="45"/>
  <c r="BG35" i="45"/>
  <c r="BG37" i="45"/>
  <c r="CP35" i="45"/>
  <c r="CP37" i="45"/>
  <c r="CP36" i="45"/>
  <c r="CR36" i="45"/>
  <c r="CR37" i="45"/>
  <c r="CR35" i="45"/>
  <c r="BR36" i="45"/>
  <c r="BR35" i="45"/>
  <c r="BR37" i="45"/>
  <c r="Y37" i="45"/>
  <c r="AJ35" i="45"/>
  <c r="AJ36" i="45"/>
  <c r="AJ37" i="45"/>
  <c r="AT35" i="45"/>
  <c r="AT36" i="45"/>
  <c r="AT37" i="45"/>
  <c r="CH36" i="45"/>
  <c r="CH35" i="45"/>
  <c r="BD37" i="45"/>
  <c r="BD35" i="45"/>
  <c r="BD36" i="45"/>
  <c r="CK37" i="45"/>
  <c r="CK35" i="45"/>
  <c r="CK36" i="45"/>
  <c r="CQ35" i="45"/>
  <c r="CQ36" i="45"/>
  <c r="CQ37" i="45"/>
  <c r="CY36" i="45"/>
  <c r="CY37" i="45"/>
  <c r="CY35" i="45"/>
  <c r="BW36" i="45"/>
  <c r="BW37" i="45"/>
  <c r="DF36" i="45"/>
  <c r="DF37" i="45"/>
  <c r="DF35" i="45"/>
  <c r="K61" i="26"/>
  <c r="CL37" i="45"/>
  <c r="DN36" i="45"/>
  <c r="DN37" i="45"/>
  <c r="DN35" i="45"/>
  <c r="AC37" i="45"/>
  <c r="AC35" i="45"/>
  <c r="AC36" i="45"/>
  <c r="AD37" i="45"/>
  <c r="AD36" i="45"/>
  <c r="CM37" i="45"/>
  <c r="CM36" i="45"/>
  <c r="CM35" i="45"/>
  <c r="CE36" i="45"/>
  <c r="CE35" i="45"/>
  <c r="CE37" i="45"/>
  <c r="AL37" i="45"/>
  <c r="AL36" i="45"/>
  <c r="AL35" i="45"/>
  <c r="AW35" i="45"/>
  <c r="AW36" i="45"/>
  <c r="AW37" i="45"/>
  <c r="DH35" i="45"/>
  <c r="DH36" i="45"/>
  <c r="DH37" i="45"/>
  <c r="AG36" i="45"/>
  <c r="AG37" i="45"/>
  <c r="AG35" i="45"/>
  <c r="Z36" i="45"/>
  <c r="Z37" i="45"/>
  <c r="Z35" i="45"/>
  <c r="AV35" i="45"/>
  <c r="BF37" i="45"/>
  <c r="CC36" i="45"/>
  <c r="CC37" i="45"/>
  <c r="CC35" i="45"/>
  <c r="BI35" i="45"/>
  <c r="BI36" i="45"/>
  <c r="BI37" i="45"/>
  <c r="AY36" i="45"/>
  <c r="AY37" i="45"/>
  <c r="AY35" i="45"/>
  <c r="CT36" i="45"/>
  <c r="CT37" i="45"/>
  <c r="CT35" i="45"/>
  <c r="BO35" i="45"/>
  <c r="BO36" i="45"/>
  <c r="BO37" i="45"/>
  <c r="CZ37" i="45"/>
  <c r="CZ36" i="45"/>
  <c r="CZ35" i="45"/>
  <c r="CA36" i="45"/>
  <c r="CA35" i="45"/>
  <c r="CA37" i="45"/>
  <c r="AB37" i="45"/>
  <c r="AB35" i="45"/>
  <c r="AB36" i="45"/>
  <c r="AF35" i="45"/>
  <c r="AF37" i="45"/>
  <c r="AF36" i="45"/>
  <c r="BB35" i="45"/>
  <c r="BB36" i="45"/>
  <c r="BB37" i="45"/>
  <c r="AO35" i="45"/>
  <c r="AO36" i="45"/>
  <c r="AO37" i="45"/>
  <c r="DE35" i="45"/>
  <c r="DE37" i="45"/>
  <c r="DE36" i="45"/>
  <c r="CJ37" i="45"/>
  <c r="CJ36" i="45"/>
  <c r="CJ35" i="45"/>
  <c r="L61" i="26"/>
  <c r="M61" i="26"/>
  <c r="Q61" i="26"/>
  <c r="CL35" i="45"/>
  <c r="AS35" i="45"/>
  <c r="AS36" i="45"/>
  <c r="AS37" i="45"/>
  <c r="BA36" i="45"/>
  <c r="BA35" i="45"/>
  <c r="BA37" i="45"/>
  <c r="BN35" i="45"/>
  <c r="BN37" i="45"/>
  <c r="BN36" i="45"/>
  <c r="BE36" i="45"/>
  <c r="P61" i="26"/>
  <c r="BC43" i="45"/>
  <c r="DG35" i="45"/>
  <c r="DG36" i="45"/>
  <c r="DG37" i="45"/>
  <c r="AZ35" i="45"/>
  <c r="AZ36" i="45"/>
  <c r="DJ36" i="45"/>
  <c r="DJ35" i="45"/>
  <c r="DJ37" i="45"/>
  <c r="BK37" i="45"/>
  <c r="BK35" i="45"/>
  <c r="BK36" i="45"/>
  <c r="DB35" i="45"/>
  <c r="DB36" i="45"/>
  <c r="DB37" i="45"/>
  <c r="BP36" i="45"/>
  <c r="BP37" i="45"/>
  <c r="BP35" i="45"/>
  <c r="Y35" i="45"/>
  <c r="Y36" i="45"/>
  <c r="AM35" i="45"/>
  <c r="AM37" i="45"/>
  <c r="AM36" i="45"/>
  <c r="DD35" i="45"/>
  <c r="DD37" i="45"/>
  <c r="AP36" i="45"/>
  <c r="AP35" i="45"/>
  <c r="AP37" i="45"/>
  <c r="BU35" i="45"/>
  <c r="BU36" i="45"/>
  <c r="BU37" i="45"/>
  <c r="BL35" i="45"/>
  <c r="BL37" i="45"/>
  <c r="BL36" i="45"/>
  <c r="CB43" i="45"/>
  <c r="AF8" i="45"/>
  <c r="J45" i="78"/>
  <c r="I45" i="78"/>
  <c r="H45" i="78"/>
  <c r="G45" i="78"/>
  <c r="F45" i="78"/>
  <c r="E45" i="78"/>
  <c r="BS43" i="45" l="1"/>
  <c r="L45" i="78"/>
  <c r="BZ43" i="45"/>
  <c r="CV43" i="45"/>
  <c r="AA43" i="45"/>
  <c r="AI43" i="45"/>
  <c r="AN5" i="45"/>
  <c r="I7" i="96"/>
  <c r="DI43" i="45"/>
  <c r="AV43" i="45"/>
  <c r="CS43" i="45"/>
  <c r="O64" i="26"/>
  <c r="P64" i="26"/>
  <c r="Q65" i="26"/>
  <c r="BP43" i="45"/>
  <c r="BW43" i="45"/>
  <c r="S61" i="26"/>
  <c r="AD43" i="45"/>
  <c r="BR43" i="45"/>
  <c r="BM43" i="45"/>
  <c r="CL43" i="45"/>
  <c r="AM43" i="45"/>
  <c r="BF43" i="45"/>
  <c r="AX43" i="45"/>
  <c r="CJ43" i="45"/>
  <c r="DF43" i="45"/>
  <c r="AW43" i="45"/>
  <c r="AY43" i="45"/>
  <c r="M64" i="26"/>
  <c r="DK43" i="45"/>
  <c r="O65" i="26"/>
  <c r="K63" i="26"/>
  <c r="DP37" i="45"/>
  <c r="CC43" i="45"/>
  <c r="DA43" i="45"/>
  <c r="AH43" i="45"/>
  <c r="DH43" i="45"/>
  <c r="BU43" i="45"/>
  <c r="AZ43" i="45"/>
  <c r="DP36" i="45"/>
  <c r="DD43" i="45"/>
  <c r="AR43" i="45"/>
  <c r="BE43" i="45"/>
  <c r="L64" i="26"/>
  <c r="BN43" i="45"/>
  <c r="BI43" i="45"/>
  <c r="CM43" i="45"/>
  <c r="Q64" i="26"/>
  <c r="AT43" i="45"/>
  <c r="CX43" i="45"/>
  <c r="DC43" i="45"/>
  <c r="R63" i="26"/>
  <c r="R64" i="26"/>
  <c r="AF43" i="45"/>
  <c r="R65" i="26"/>
  <c r="CQ43" i="45"/>
  <c r="Q63" i="26"/>
  <c r="DP35" i="45"/>
  <c r="AB43" i="45"/>
  <c r="BO43" i="45"/>
  <c r="CK43" i="45"/>
  <c r="AJ43" i="45"/>
  <c r="L63" i="26"/>
  <c r="N65" i="26"/>
  <c r="K65" i="26"/>
  <c r="DG43" i="45"/>
  <c r="DE43" i="45"/>
  <c r="CT43" i="45"/>
  <c r="N63" i="26"/>
  <c r="BG43" i="45"/>
  <c r="BA43" i="45"/>
  <c r="BL43" i="45"/>
  <c r="K64" i="26"/>
  <c r="DB43" i="45"/>
  <c r="N64" i="26"/>
  <c r="BX43" i="45"/>
  <c r="L65" i="26"/>
  <c r="CP43" i="45"/>
  <c r="AS43" i="45"/>
  <c r="Z43" i="45"/>
  <c r="AL43" i="45"/>
  <c r="AC43" i="45"/>
  <c r="BD43" i="45"/>
  <c r="CU43" i="45"/>
  <c r="O63" i="26"/>
  <c r="BK43" i="45"/>
  <c r="P63" i="26"/>
  <c r="AO43" i="45"/>
  <c r="CA43" i="45"/>
  <c r="DN43" i="45"/>
  <c r="CY43" i="45"/>
  <c r="CH43" i="45"/>
  <c r="CI43" i="45"/>
  <c r="AG43" i="45"/>
  <c r="P65" i="26"/>
  <c r="M63" i="26"/>
  <c r="AU43" i="45"/>
  <c r="AP43" i="45"/>
  <c r="Y43" i="45"/>
  <c r="DJ43" i="45"/>
  <c r="BB43" i="45"/>
  <c r="CZ43" i="45"/>
  <c r="CE43" i="45"/>
  <c r="CR43" i="45"/>
  <c r="M65" i="26"/>
  <c r="DM43" i="45"/>
  <c r="AN43" i="45"/>
  <c r="BJ43" i="45"/>
  <c r="AG8" i="45"/>
  <c r="AH8" i="45" s="1"/>
  <c r="K36" i="26" s="1"/>
  <c r="S36" i="26" s="1"/>
  <c r="K232" i="26"/>
  <c r="B17" i="97"/>
  <c r="B18" i="97"/>
  <c r="B16" i="97"/>
  <c r="G207" i="26"/>
  <c r="G205" i="26"/>
  <c r="AO5" i="45" l="1"/>
  <c r="J7" i="96"/>
  <c r="P71" i="26"/>
  <c r="O71" i="26"/>
  <c r="K71" i="26"/>
  <c r="DP43" i="45"/>
  <c r="M71" i="26"/>
  <c r="S65" i="26"/>
  <c r="R71" i="26"/>
  <c r="L71" i="26"/>
  <c r="S64" i="26"/>
  <c r="Q71" i="26"/>
  <c r="N71" i="26"/>
  <c r="S63" i="26"/>
  <c r="DP8" i="45"/>
  <c r="L232" i="26"/>
  <c r="M232" i="26" s="1"/>
  <c r="N232" i="26" s="1"/>
  <c r="S71" i="26" l="1"/>
  <c r="AP5" i="45"/>
  <c r="K7" i="96"/>
  <c r="I41" i="47"/>
  <c r="DN126" i="47"/>
  <c r="DN54" i="47"/>
  <c r="DN16" i="47"/>
  <c r="DN9" i="47"/>
  <c r="AQ5" i="45" l="1"/>
  <c r="L7" i="96"/>
  <c r="G22" i="45"/>
  <c r="G21" i="45"/>
  <c r="G20" i="45"/>
  <c r="G19" i="45"/>
  <c r="H13" i="45"/>
  <c r="H12" i="45"/>
  <c r="G13" i="45"/>
  <c r="G12" i="45"/>
  <c r="AR5" i="45" l="1"/>
  <c r="M7" i="96"/>
  <c r="DL20" i="45"/>
  <c r="DM20" i="45"/>
  <c r="DK20" i="45"/>
  <c r="DN20" i="45"/>
  <c r="DN12" i="45"/>
  <c r="DL12" i="45"/>
  <c r="DK12" i="45"/>
  <c r="DM12" i="45"/>
  <c r="DL19" i="45"/>
  <c r="DM19" i="45"/>
  <c r="DM24" i="45" s="1"/>
  <c r="DK19" i="45"/>
  <c r="DN19" i="45"/>
  <c r="DK21" i="45"/>
  <c r="DM21" i="45"/>
  <c r="DL21" i="45"/>
  <c r="DN21" i="45"/>
  <c r="DN13" i="45"/>
  <c r="DL13" i="45"/>
  <c r="DK13" i="45"/>
  <c r="DM13" i="45"/>
  <c r="DM22" i="45"/>
  <c r="DK22" i="45"/>
  <c r="DL22" i="45"/>
  <c r="DN22" i="45"/>
  <c r="D206" i="26"/>
  <c r="D207" i="26"/>
  <c r="D205" i="26"/>
  <c r="G30" i="26"/>
  <c r="G26" i="26"/>
  <c r="K89" i="45"/>
  <c r="L89" i="45"/>
  <c r="M89" i="45"/>
  <c r="N89" i="45"/>
  <c r="O89" i="45"/>
  <c r="P89" i="45"/>
  <c r="Q89" i="45"/>
  <c r="R89" i="45"/>
  <c r="S89" i="45"/>
  <c r="T89" i="45"/>
  <c r="U89" i="45"/>
  <c r="V89" i="45"/>
  <c r="W89" i="45"/>
  <c r="X89" i="45"/>
  <c r="Y89" i="45"/>
  <c r="Z89" i="45"/>
  <c r="AA89" i="45"/>
  <c r="AB89" i="45"/>
  <c r="AC89" i="45"/>
  <c r="AE89" i="45"/>
  <c r="AF89" i="45"/>
  <c r="AG89" i="45"/>
  <c r="AI89" i="45"/>
  <c r="AJ89" i="45"/>
  <c r="AK89" i="45"/>
  <c r="AL89" i="45"/>
  <c r="AM89" i="45"/>
  <c r="AN89" i="45"/>
  <c r="AO89" i="45"/>
  <c r="AQ89" i="45"/>
  <c r="AR89" i="45"/>
  <c r="AS89" i="45"/>
  <c r="AU89" i="45"/>
  <c r="AV89" i="45"/>
  <c r="AW89" i="45"/>
  <c r="AX89" i="45"/>
  <c r="AY89" i="45"/>
  <c r="AZ89" i="45"/>
  <c r="BA89" i="45"/>
  <c r="BC89" i="45"/>
  <c r="BD89" i="45"/>
  <c r="BE89" i="45"/>
  <c r="BG89" i="45"/>
  <c r="BH89" i="45"/>
  <c r="BI89" i="45"/>
  <c r="BJ89" i="45"/>
  <c r="BK89" i="45"/>
  <c r="BL89" i="45"/>
  <c r="BM89" i="45"/>
  <c r="BO89" i="45"/>
  <c r="BP89" i="45"/>
  <c r="BQ89" i="45"/>
  <c r="BS89" i="45"/>
  <c r="BT89" i="45"/>
  <c r="BU89" i="45"/>
  <c r="BV89" i="45"/>
  <c r="BW89" i="45"/>
  <c r="BX89" i="45"/>
  <c r="BY89" i="45"/>
  <c r="CA89" i="45"/>
  <c r="CB89" i="45"/>
  <c r="CC89" i="45"/>
  <c r="CE89" i="45"/>
  <c r="CF89" i="45"/>
  <c r="CG89" i="45"/>
  <c r="CH89" i="45"/>
  <c r="CI89" i="45"/>
  <c r="CJ89" i="45"/>
  <c r="CK89" i="45"/>
  <c r="CM89" i="45"/>
  <c r="CN89" i="45"/>
  <c r="CO89" i="45"/>
  <c r="CQ89" i="45"/>
  <c r="CR89" i="45"/>
  <c r="CS89" i="45"/>
  <c r="CT89" i="45"/>
  <c r="CU89" i="45"/>
  <c r="CV89" i="45"/>
  <c r="CW89" i="45"/>
  <c r="CY89" i="45"/>
  <c r="CZ89" i="45"/>
  <c r="DA89" i="45"/>
  <c r="DC89" i="45"/>
  <c r="DD89" i="45"/>
  <c r="DE89" i="45"/>
  <c r="DF89" i="45"/>
  <c r="DG89" i="45"/>
  <c r="DH89" i="45"/>
  <c r="DI89" i="45"/>
  <c r="DJ89" i="45"/>
  <c r="D89" i="45"/>
  <c r="D87" i="45"/>
  <c r="J117" i="26" l="1"/>
  <c r="AS5" i="45"/>
  <c r="N7" i="96"/>
  <c r="R117" i="26"/>
  <c r="DM14" i="45"/>
  <c r="DM16" i="45" s="1"/>
  <c r="DK14" i="45"/>
  <c r="DK16" i="45" s="1"/>
  <c r="DL14" i="45"/>
  <c r="DL16" i="45" s="1"/>
  <c r="DN14" i="45"/>
  <c r="DN16" i="45" s="1"/>
  <c r="DK24" i="45"/>
  <c r="DK26" i="45" s="1"/>
  <c r="DL24" i="45"/>
  <c r="DN24" i="45"/>
  <c r="DM26" i="45"/>
  <c r="DN26" i="45" l="1"/>
  <c r="DN51" i="45" s="1"/>
  <c r="DN75" i="45" s="1"/>
  <c r="DN77" i="45" s="1"/>
  <c r="DN79" i="45" s="1"/>
  <c r="AT5" i="45"/>
  <c r="O7" i="96"/>
  <c r="DL26" i="45"/>
  <c r="DL51" i="45" s="1"/>
  <c r="DL75" i="45" s="1"/>
  <c r="DL77" i="45" s="1"/>
  <c r="DL79" i="45" s="1"/>
  <c r="DM51" i="45"/>
  <c r="DM75" i="45" s="1"/>
  <c r="DM77" i="45" s="1"/>
  <c r="DM79" i="45" s="1"/>
  <c r="DK51" i="45"/>
  <c r="DK75" i="45" s="1"/>
  <c r="DK77" i="45" s="1"/>
  <c r="DK79" i="45" s="1"/>
  <c r="AU5" i="45" l="1"/>
  <c r="P7" i="96"/>
  <c r="C132" i="45"/>
  <c r="AV5" i="45" l="1"/>
  <c r="Q7" i="96"/>
  <c r="D130" i="45"/>
  <c r="K127" i="45"/>
  <c r="J155" i="26" s="1"/>
  <c r="AW5" i="45" l="1"/>
  <c r="R7" i="96"/>
  <c r="I17" i="47"/>
  <c r="E12" i="53"/>
  <c r="AX5" i="45" l="1"/>
  <c r="S7" i="96"/>
  <c r="CW29" i="53"/>
  <c r="CX29" i="53"/>
  <c r="CY29" i="53"/>
  <c r="CZ29" i="53"/>
  <c r="DA29" i="53"/>
  <c r="DB29" i="53"/>
  <c r="DC29" i="53"/>
  <c r="DD29" i="53"/>
  <c r="DE29" i="53"/>
  <c r="DF29" i="53"/>
  <c r="DG29" i="53"/>
  <c r="DH29" i="53"/>
  <c r="CW30" i="53"/>
  <c r="CX30" i="53"/>
  <c r="CY30" i="53"/>
  <c r="CZ30" i="53"/>
  <c r="DA30" i="53"/>
  <c r="DB30" i="53"/>
  <c r="DC30" i="53"/>
  <c r="DD30" i="53"/>
  <c r="DE30" i="53"/>
  <c r="DF30" i="53"/>
  <c r="DG30" i="53"/>
  <c r="DH30" i="53"/>
  <c r="CW31" i="53"/>
  <c r="CX31" i="53"/>
  <c r="CY31" i="53"/>
  <c r="CZ31" i="53"/>
  <c r="DA31" i="53"/>
  <c r="DB31" i="53"/>
  <c r="DC31" i="53"/>
  <c r="DD31" i="53"/>
  <c r="DE31" i="53"/>
  <c r="DF31" i="53"/>
  <c r="DG31" i="53"/>
  <c r="DH31" i="53"/>
  <c r="CW32" i="53"/>
  <c r="CX32" i="53"/>
  <c r="CY32" i="53"/>
  <c r="CY33" i="53" s="1"/>
  <c r="CZ32" i="53"/>
  <c r="CZ33" i="53" s="1"/>
  <c r="DA32" i="53"/>
  <c r="DB32" i="53"/>
  <c r="DC32" i="53"/>
  <c r="DD32" i="53"/>
  <c r="DE32" i="53"/>
  <c r="DF32" i="53"/>
  <c r="DG32" i="53"/>
  <c r="DH32" i="53"/>
  <c r="CX33" i="53"/>
  <c r="DG33" i="53"/>
  <c r="CW20" i="53"/>
  <c r="CX20" i="53"/>
  <c r="CY20" i="53"/>
  <c r="CZ20" i="53"/>
  <c r="DA20" i="53"/>
  <c r="DB20" i="53"/>
  <c r="DC20" i="53"/>
  <c r="DD20" i="53"/>
  <c r="DE20" i="53"/>
  <c r="DF20" i="53"/>
  <c r="DG20" i="53"/>
  <c r="DH20" i="53"/>
  <c r="CW21" i="53"/>
  <c r="CX21" i="53"/>
  <c r="CY21" i="53"/>
  <c r="CZ21" i="53"/>
  <c r="DA21" i="53"/>
  <c r="DB21" i="53"/>
  <c r="DC21" i="53"/>
  <c r="DD21" i="53"/>
  <c r="DE21" i="53"/>
  <c r="DF21" i="53"/>
  <c r="DG21" i="53"/>
  <c r="DH21" i="53"/>
  <c r="DA33" i="53" l="1"/>
  <c r="AY5" i="45"/>
  <c r="T7" i="96"/>
  <c r="DB33" i="53"/>
  <c r="DF33" i="53"/>
  <c r="DD33" i="53"/>
  <c r="DE33" i="53"/>
  <c r="DH33" i="53"/>
  <c r="DC33" i="53"/>
  <c r="CW33" i="53"/>
  <c r="AZ5" i="45" l="1"/>
  <c r="U7" i="96"/>
  <c r="F14" i="96"/>
  <c r="G14" i="96" s="1"/>
  <c r="H14" i="96" s="1"/>
  <c r="I14" i="96" s="1"/>
  <c r="J14" i="96" s="1"/>
  <c r="K14" i="96" s="1"/>
  <c r="L14" i="96" s="1"/>
  <c r="M14" i="96" s="1"/>
  <c r="N14" i="96" s="1"/>
  <c r="O14" i="96" s="1"/>
  <c r="P14" i="96" s="1"/>
  <c r="Q14" i="96" s="1"/>
  <c r="R14" i="96" s="1"/>
  <c r="S14" i="96" s="1"/>
  <c r="T14" i="96" s="1"/>
  <c r="U14" i="96" s="1"/>
  <c r="V14" i="96" s="1"/>
  <c r="W14" i="96" s="1"/>
  <c r="X14" i="96" s="1"/>
  <c r="Y14" i="96" s="1"/>
  <c r="Z14" i="96" s="1"/>
  <c r="AA14" i="96" s="1"/>
  <c r="BL3" i="96"/>
  <c r="AN3" i="96"/>
  <c r="P3" i="96"/>
  <c r="BA5" i="45" l="1"/>
  <c r="V7" i="96"/>
  <c r="AB14" i="96"/>
  <c r="BB5" i="45" l="1"/>
  <c r="W7" i="96"/>
  <c r="K112" i="45"/>
  <c r="AC14" i="96"/>
  <c r="L112" i="45" l="1"/>
  <c r="I31" i="47"/>
  <c r="BC5" i="45"/>
  <c r="X7" i="96"/>
  <c r="AD14" i="96"/>
  <c r="BD5" i="45" l="1"/>
  <c r="Y7" i="96"/>
  <c r="M112" i="45"/>
  <c r="J31" i="47"/>
  <c r="AE14" i="96"/>
  <c r="N112" i="45" l="1"/>
  <c r="K31" i="47"/>
  <c r="BE5" i="45"/>
  <c r="Z7" i="96"/>
  <c r="AF14" i="96"/>
  <c r="BF5" i="45" l="1"/>
  <c r="AA7" i="96"/>
  <c r="O112" i="45"/>
  <c r="L31" i="47"/>
  <c r="AG14" i="96"/>
  <c r="P112" i="45" l="1"/>
  <c r="M31" i="47"/>
  <c r="BG5" i="45"/>
  <c r="AB7" i="96"/>
  <c r="AH14" i="96"/>
  <c r="BH5" i="45" l="1"/>
  <c r="AC7" i="96"/>
  <c r="Q112" i="45"/>
  <c r="N31" i="47"/>
  <c r="AI14" i="96"/>
  <c r="R112" i="45" l="1"/>
  <c r="O31" i="47"/>
  <c r="BI5" i="45"/>
  <c r="AD7" i="96"/>
  <c r="AJ14" i="96"/>
  <c r="BJ5" i="45" l="1"/>
  <c r="AE7" i="96"/>
  <c r="S112" i="45"/>
  <c r="P31" i="47"/>
  <c r="AK14" i="96"/>
  <c r="Q31" i="47" l="1"/>
  <c r="T112" i="45"/>
  <c r="BK5" i="45"/>
  <c r="AF7" i="96"/>
  <c r="S155" i="26"/>
  <c r="AL14" i="96"/>
  <c r="BL5" i="45" l="1"/>
  <c r="AG7" i="96"/>
  <c r="U112" i="45"/>
  <c r="R31" i="47"/>
  <c r="AM14" i="96"/>
  <c r="V112" i="45" l="1"/>
  <c r="S31" i="47"/>
  <c r="BM5" i="45"/>
  <c r="AH7" i="96"/>
  <c r="AN14" i="96"/>
  <c r="BN5" i="45" l="1"/>
  <c r="AI7" i="96"/>
  <c r="W112" i="45"/>
  <c r="T31" i="47"/>
  <c r="J140" i="26"/>
  <c r="AO14" i="96"/>
  <c r="X112" i="45" l="1"/>
  <c r="U31" i="47"/>
  <c r="BO5" i="45"/>
  <c r="AJ7" i="96"/>
  <c r="AP14" i="96"/>
  <c r="BP5" i="45" l="1"/>
  <c r="AK7" i="96"/>
  <c r="Y112" i="45"/>
  <c r="V31" i="47"/>
  <c r="AQ14" i="96"/>
  <c r="Z112" i="45" l="1"/>
  <c r="W31" i="47"/>
  <c r="BQ5" i="45"/>
  <c r="AL7" i="96"/>
  <c r="AR14" i="96"/>
  <c r="BR5" i="45" l="1"/>
  <c r="AM7" i="96"/>
  <c r="AA112" i="45"/>
  <c r="X31" i="47"/>
  <c r="AS14" i="96"/>
  <c r="AB112" i="45" l="1"/>
  <c r="Y31" i="47"/>
  <c r="BS5" i="45"/>
  <c r="AN7" i="96"/>
  <c r="AT14" i="96"/>
  <c r="BT5" i="45" l="1"/>
  <c r="AO7" i="96"/>
  <c r="AC112" i="45"/>
  <c r="Z31" i="47"/>
  <c r="AU14" i="96"/>
  <c r="AD112" i="45" l="1"/>
  <c r="AA31" i="47"/>
  <c r="BU5" i="45"/>
  <c r="AP7" i="96"/>
  <c r="AV14" i="96"/>
  <c r="BV5" i="45" l="1"/>
  <c r="AQ7" i="96"/>
  <c r="AE112" i="45"/>
  <c r="AB31" i="47"/>
  <c r="AW14" i="96"/>
  <c r="AF112" i="45" l="1"/>
  <c r="AC31" i="47"/>
  <c r="BW5" i="45"/>
  <c r="AR7" i="96"/>
  <c r="AX14" i="96"/>
  <c r="BX5" i="45" l="1"/>
  <c r="AS7" i="96"/>
  <c r="AD31" i="47"/>
  <c r="AG112" i="45"/>
  <c r="AY14" i="96"/>
  <c r="AE31" i="47" l="1"/>
  <c r="AH112" i="45"/>
  <c r="AF31" i="47" s="1"/>
  <c r="BY5" i="45"/>
  <c r="AT7" i="96"/>
  <c r="AZ14" i="96"/>
  <c r="BZ5" i="45" l="1"/>
  <c r="AU7" i="96"/>
  <c r="BA14" i="96"/>
  <c r="CA5" i="45" l="1"/>
  <c r="AV7" i="96"/>
  <c r="BB14" i="96"/>
  <c r="CB5" i="45" l="1"/>
  <c r="AW7" i="96"/>
  <c r="BC14" i="96"/>
  <c r="CC5" i="45" l="1"/>
  <c r="AX7" i="96"/>
  <c r="BD14" i="96"/>
  <c r="CD5" i="45" l="1"/>
  <c r="AY7" i="96"/>
  <c r="BE14" i="96"/>
  <c r="CE5" i="45" l="1"/>
  <c r="AZ7" i="96"/>
  <c r="BF14" i="96"/>
  <c r="CF5" i="45" l="1"/>
  <c r="BA7" i="96"/>
  <c r="BG14" i="96"/>
  <c r="CG5" i="45" l="1"/>
  <c r="BB7" i="96"/>
  <c r="BH14" i="96"/>
  <c r="CH5" i="45" l="1"/>
  <c r="BC7" i="96"/>
  <c r="BI14" i="96"/>
  <c r="CI5" i="45" l="1"/>
  <c r="BD7" i="96"/>
  <c r="BJ14" i="96"/>
  <c r="CJ5" i="45" l="1"/>
  <c r="BE7" i="96"/>
  <c r="BK14" i="96"/>
  <c r="CK5" i="45" l="1"/>
  <c r="BF7" i="96"/>
  <c r="BL14" i="96"/>
  <c r="CL5" i="45" l="1"/>
  <c r="BG7" i="96"/>
  <c r="BM14" i="96"/>
  <c r="CM5" i="45" l="1"/>
  <c r="BH7" i="96"/>
  <c r="BN14" i="96"/>
  <c r="CN5" i="45" l="1"/>
  <c r="BI7" i="96"/>
  <c r="BO14" i="96"/>
  <c r="CO5" i="45" l="1"/>
  <c r="BJ7" i="96"/>
  <c r="BP14" i="96"/>
  <c r="CP5" i="45" l="1"/>
  <c r="BK7" i="96"/>
  <c r="BQ14" i="96"/>
  <c r="CQ5" i="45" l="1"/>
  <c r="BL7" i="96"/>
  <c r="BR14" i="96"/>
  <c r="CR5" i="45" l="1"/>
  <c r="BM7" i="96"/>
  <c r="BS14" i="96"/>
  <c r="CS5" i="45" l="1"/>
  <c r="BN7" i="96"/>
  <c r="BT14" i="96"/>
  <c r="CT5" i="45" l="1"/>
  <c r="BO7" i="96"/>
  <c r="BU14" i="96"/>
  <c r="CU5" i="45" l="1"/>
  <c r="BP7" i="96"/>
  <c r="BV14" i="96"/>
  <c r="CV5" i="45" l="1"/>
  <c r="BQ7" i="96"/>
  <c r="BW14" i="96"/>
  <c r="CW5" i="45" l="1"/>
  <c r="BR7" i="96"/>
  <c r="BX14" i="96"/>
  <c r="CX5" i="45" l="1"/>
  <c r="BS7" i="96"/>
  <c r="BY14" i="96"/>
  <c r="CY5" i="45" l="1"/>
  <c r="BT7" i="96"/>
  <c r="BZ14" i="96"/>
  <c r="CZ5" i="45" l="1"/>
  <c r="BU7" i="96"/>
  <c r="CA14" i="96"/>
  <c r="DA5" i="45" l="1"/>
  <c r="BV7" i="96"/>
  <c r="CB14" i="96"/>
  <c r="DB5" i="45" l="1"/>
  <c r="BW7" i="96"/>
  <c r="CC14" i="96"/>
  <c r="DC5" i="45" l="1"/>
  <c r="BX7" i="96"/>
  <c r="CD14" i="96"/>
  <c r="DD5" i="45" l="1"/>
  <c r="BY7" i="96"/>
  <c r="CE14" i="96"/>
  <c r="DE5" i="45" l="1"/>
  <c r="BZ7" i="96"/>
  <c r="CF14" i="96"/>
  <c r="DF5" i="45" l="1"/>
  <c r="CA7" i="96"/>
  <c r="CG14" i="96"/>
  <c r="DG5" i="45" l="1"/>
  <c r="CB7" i="96"/>
  <c r="CH14" i="96"/>
  <c r="DH5" i="45" l="1"/>
  <c r="CC7" i="96"/>
  <c r="CI14" i="96"/>
  <c r="DI5" i="45" l="1"/>
  <c r="CD7" i="96"/>
  <c r="CJ14" i="96"/>
  <c r="DJ5" i="45" l="1"/>
  <c r="CE7" i="96"/>
  <c r="DN17" i="47"/>
  <c r="D126" i="45"/>
  <c r="D127" i="45"/>
  <c r="D125" i="45"/>
  <c r="C124" i="45"/>
  <c r="C114" i="45"/>
  <c r="D112" i="45"/>
  <c r="D119" i="45"/>
  <c r="G112" i="26"/>
  <c r="G84" i="45" s="1"/>
  <c r="G114" i="26"/>
  <c r="G86" i="45" s="1"/>
  <c r="G111" i="26"/>
  <c r="G83" i="45" s="1"/>
  <c r="DK5" i="45" l="1"/>
  <c r="CF7" i="96"/>
  <c r="K174" i="26"/>
  <c r="L174" i="26" s="1"/>
  <c r="M174" i="26" s="1"/>
  <c r="N174" i="26" s="1"/>
  <c r="O174" i="26" s="1"/>
  <c r="P174" i="26" s="1"/>
  <c r="Q174" i="26" s="1"/>
  <c r="R174" i="26" s="1"/>
  <c r="DL5" i="45" l="1"/>
  <c r="CG7" i="96"/>
  <c r="D21" i="45"/>
  <c r="D20" i="45"/>
  <c r="DM5" i="45" l="1"/>
  <c r="CH7" i="96"/>
  <c r="P11" i="26"/>
  <c r="CM100" i="45"/>
  <c r="CN100" i="45"/>
  <c r="CO100" i="45"/>
  <c r="CP100" i="45"/>
  <c r="CQ100" i="45"/>
  <c r="CR100" i="45"/>
  <c r="CS100" i="45"/>
  <c r="CT100" i="45"/>
  <c r="CU100" i="45"/>
  <c r="CV100" i="45"/>
  <c r="CW100" i="45"/>
  <c r="CX100" i="45"/>
  <c r="CY100" i="45"/>
  <c r="CZ100" i="45"/>
  <c r="DA100" i="45"/>
  <c r="DB100" i="45"/>
  <c r="DC100" i="45"/>
  <c r="DD100" i="45"/>
  <c r="DE100" i="45"/>
  <c r="DF100" i="45"/>
  <c r="DG100" i="45"/>
  <c r="DH100" i="45"/>
  <c r="DI100" i="45"/>
  <c r="DJ100" i="45"/>
  <c r="R64" i="95"/>
  <c r="R65" i="95" s="1"/>
  <c r="R66" i="95" s="1"/>
  <c r="R128" i="26" l="1"/>
  <c r="Q128" i="26"/>
  <c r="DN5" i="45"/>
  <c r="CJ7" i="96" s="1"/>
  <c r="CI7" i="96"/>
  <c r="J14" i="69"/>
  <c r="C16" i="45"/>
  <c r="C14" i="45"/>
  <c r="C13" i="45"/>
  <c r="C12" i="45"/>
  <c r="H100" i="45" l="1"/>
  <c r="G56" i="47"/>
  <c r="G52" i="47"/>
  <c r="E99" i="45"/>
  <c r="G57" i="47" l="1"/>
  <c r="D43" i="53"/>
  <c r="CK20" i="53"/>
  <c r="CL20" i="53"/>
  <c r="CM20" i="53"/>
  <c r="CN20" i="53"/>
  <c r="CO20" i="53"/>
  <c r="CP20" i="53"/>
  <c r="CQ20" i="53"/>
  <c r="CR20" i="53"/>
  <c r="CS20" i="53"/>
  <c r="CT20" i="53"/>
  <c r="CU20" i="53"/>
  <c r="CV20" i="53"/>
  <c r="CK21" i="53"/>
  <c r="CL21" i="53"/>
  <c r="CM21" i="53"/>
  <c r="CN21" i="53"/>
  <c r="CO21" i="53"/>
  <c r="CP21" i="53"/>
  <c r="CQ21" i="53"/>
  <c r="CR21" i="53"/>
  <c r="CS21" i="53"/>
  <c r="CT21" i="53"/>
  <c r="CU21" i="53"/>
  <c r="CV21" i="53"/>
  <c r="CK29" i="53"/>
  <c r="CL29" i="53"/>
  <c r="CM29" i="53"/>
  <c r="CN29" i="53"/>
  <c r="CO29" i="53"/>
  <c r="CP29" i="53"/>
  <c r="CQ29" i="53"/>
  <c r="CR29" i="53"/>
  <c r="CS29" i="53"/>
  <c r="CT29" i="53"/>
  <c r="CU29" i="53"/>
  <c r="CV29" i="53"/>
  <c r="CK30" i="53"/>
  <c r="CL30" i="53"/>
  <c r="CM30" i="53"/>
  <c r="CN30" i="53"/>
  <c r="CO30" i="53"/>
  <c r="CP30" i="53"/>
  <c r="CQ30" i="53"/>
  <c r="CR30" i="53"/>
  <c r="CS30" i="53"/>
  <c r="CT30" i="53"/>
  <c r="CU30" i="53"/>
  <c r="CV30" i="53"/>
  <c r="CK31" i="53"/>
  <c r="CL31" i="53"/>
  <c r="CM31" i="53"/>
  <c r="CN31" i="53"/>
  <c r="CO31" i="53"/>
  <c r="CP31" i="53"/>
  <c r="CQ31" i="53"/>
  <c r="CR31" i="53"/>
  <c r="CS31" i="53"/>
  <c r="CT31" i="53"/>
  <c r="CU31" i="53"/>
  <c r="CV31" i="53"/>
  <c r="CK32" i="53"/>
  <c r="CL32" i="53"/>
  <c r="CM32" i="53"/>
  <c r="CN32" i="53"/>
  <c r="CO32" i="53"/>
  <c r="CP32" i="53"/>
  <c r="CP33" i="53" s="1"/>
  <c r="CQ32" i="53"/>
  <c r="CR32" i="53"/>
  <c r="CS32" i="53"/>
  <c r="CT32" i="53"/>
  <c r="CU32" i="53"/>
  <c r="CV32" i="53"/>
  <c r="BY20" i="53"/>
  <c r="BZ20" i="53"/>
  <c r="CA20" i="53"/>
  <c r="CB20" i="53"/>
  <c r="CC20" i="53"/>
  <c r="CD20" i="53"/>
  <c r="CE20" i="53"/>
  <c r="CF20" i="53"/>
  <c r="CG20" i="53"/>
  <c r="CH20" i="53"/>
  <c r="CI20" i="53"/>
  <c r="CJ20" i="53"/>
  <c r="BY21" i="53"/>
  <c r="BZ21" i="53"/>
  <c r="CA21" i="53"/>
  <c r="CB21" i="53"/>
  <c r="CC21" i="53"/>
  <c r="CD21" i="53"/>
  <c r="CE21" i="53"/>
  <c r="CF21" i="53"/>
  <c r="CG21" i="53"/>
  <c r="CH21" i="53"/>
  <c r="CI21" i="53"/>
  <c r="CJ21" i="53"/>
  <c r="BY29" i="53"/>
  <c r="BZ29" i="53"/>
  <c r="CA29" i="53"/>
  <c r="CB29" i="53"/>
  <c r="CC29" i="53"/>
  <c r="CD29" i="53"/>
  <c r="CE29" i="53"/>
  <c r="CF29" i="53"/>
  <c r="CG29" i="53"/>
  <c r="CH29" i="53"/>
  <c r="CI29" i="53"/>
  <c r="CJ29" i="53"/>
  <c r="BY30" i="53"/>
  <c r="BZ30" i="53"/>
  <c r="CA30" i="53"/>
  <c r="CB30" i="53"/>
  <c r="CC30" i="53"/>
  <c r="CD30" i="53"/>
  <c r="CE30" i="53"/>
  <c r="CF30" i="53"/>
  <c r="CG30" i="53"/>
  <c r="CH30" i="53"/>
  <c r="CI30" i="53"/>
  <c r="CJ30" i="53"/>
  <c r="BY31" i="53"/>
  <c r="BZ31" i="53"/>
  <c r="CA31" i="53"/>
  <c r="CB31" i="53"/>
  <c r="CC31" i="53"/>
  <c r="CD31" i="53"/>
  <c r="CE31" i="53"/>
  <c r="CF31" i="53"/>
  <c r="CG31" i="53"/>
  <c r="CH31" i="53"/>
  <c r="CI31" i="53"/>
  <c r="CJ31" i="53"/>
  <c r="BY32" i="53"/>
  <c r="BZ32" i="53"/>
  <c r="CA32" i="53"/>
  <c r="CB32" i="53"/>
  <c r="CC32" i="53"/>
  <c r="CD32" i="53"/>
  <c r="CE32" i="53"/>
  <c r="CF32" i="53"/>
  <c r="CG32" i="53"/>
  <c r="CH32" i="53"/>
  <c r="CI32" i="53"/>
  <c r="CJ32" i="53"/>
  <c r="CT33" i="53" l="1"/>
  <c r="BZ33" i="53"/>
  <c r="CE33" i="53"/>
  <c r="CF33" i="53"/>
  <c r="CM33" i="53"/>
  <c r="CL33" i="53"/>
  <c r="BY33" i="53"/>
  <c r="CJ33" i="53"/>
  <c r="CI33" i="53"/>
  <c r="CA33" i="53"/>
  <c r="CO33" i="53"/>
  <c r="CG33" i="53"/>
  <c r="CN33" i="53"/>
  <c r="CU33" i="53"/>
  <c r="CC33" i="53"/>
  <c r="CD33" i="53"/>
  <c r="CK33" i="53"/>
  <c r="CV33" i="53"/>
  <c r="CH33" i="53"/>
  <c r="CB33" i="53"/>
  <c r="CS33" i="53"/>
  <c r="CR33" i="53"/>
  <c r="CQ33" i="53"/>
  <c r="E86" i="45" l="1"/>
  <c r="BA29" i="53"/>
  <c r="BB29" i="53"/>
  <c r="BC29" i="53"/>
  <c r="BD29" i="53"/>
  <c r="BE29" i="53"/>
  <c r="BF29" i="53"/>
  <c r="BG29" i="53"/>
  <c r="BH29" i="53"/>
  <c r="BI29" i="53"/>
  <c r="BJ29" i="53"/>
  <c r="BK29" i="53"/>
  <c r="BL29" i="53"/>
  <c r="BM29" i="53"/>
  <c r="BN29" i="53"/>
  <c r="BO29" i="53"/>
  <c r="BP29" i="53"/>
  <c r="BQ29" i="53"/>
  <c r="BR29" i="53"/>
  <c r="BS29" i="53"/>
  <c r="BT29" i="53"/>
  <c r="BU29" i="53"/>
  <c r="BV29" i="53"/>
  <c r="BW29" i="53"/>
  <c r="BX29" i="53"/>
  <c r="BA30" i="53"/>
  <c r="BB30" i="53"/>
  <c r="BC30" i="53"/>
  <c r="BD30" i="53"/>
  <c r="BE30" i="53"/>
  <c r="BF30" i="53"/>
  <c r="BG30" i="53"/>
  <c r="BH30" i="53"/>
  <c r="BI30" i="53"/>
  <c r="BJ30" i="53"/>
  <c r="BK30" i="53"/>
  <c r="BL30" i="53"/>
  <c r="BM30" i="53"/>
  <c r="BN30" i="53"/>
  <c r="BO30" i="53"/>
  <c r="BP30" i="53"/>
  <c r="BQ30" i="53"/>
  <c r="BR30" i="53"/>
  <c r="BS30" i="53"/>
  <c r="BT30" i="53"/>
  <c r="BU30" i="53"/>
  <c r="BV30" i="53"/>
  <c r="BW30" i="53"/>
  <c r="BX30" i="53"/>
  <c r="BA20" i="53"/>
  <c r="BB20" i="53"/>
  <c r="BC20" i="53"/>
  <c r="BD20" i="53"/>
  <c r="BE20" i="53"/>
  <c r="BF20" i="53"/>
  <c r="BG20" i="53"/>
  <c r="BH20" i="53"/>
  <c r="BI20" i="53"/>
  <c r="BJ20" i="53"/>
  <c r="BK20" i="53"/>
  <c r="BL20" i="53"/>
  <c r="BM20" i="53"/>
  <c r="BN20" i="53"/>
  <c r="BO20" i="53"/>
  <c r="BP20" i="53"/>
  <c r="BQ20" i="53"/>
  <c r="BR20" i="53"/>
  <c r="BS20" i="53"/>
  <c r="BT20" i="53"/>
  <c r="BU20" i="53"/>
  <c r="BV20" i="53"/>
  <c r="BW20" i="53"/>
  <c r="BX20" i="53"/>
  <c r="BA21" i="53"/>
  <c r="BB21" i="53"/>
  <c r="BC21" i="53"/>
  <c r="BD21" i="53"/>
  <c r="BE21" i="53"/>
  <c r="BF21" i="53"/>
  <c r="BG21" i="53"/>
  <c r="BH21" i="53"/>
  <c r="BI21" i="53"/>
  <c r="BJ21" i="53"/>
  <c r="BK21" i="53"/>
  <c r="BL21" i="53"/>
  <c r="BM21" i="53"/>
  <c r="BN21" i="53"/>
  <c r="BO21" i="53"/>
  <c r="BP21" i="53"/>
  <c r="BQ21" i="53"/>
  <c r="BR21" i="53"/>
  <c r="BS21" i="53"/>
  <c r="BT21" i="53"/>
  <c r="BU21" i="53"/>
  <c r="BV21" i="53"/>
  <c r="BW21" i="53"/>
  <c r="BX21" i="53"/>
  <c r="F8" i="50" l="1"/>
  <c r="C26" i="45" l="1"/>
  <c r="C24" i="45"/>
  <c r="D22" i="45"/>
  <c r="D19" i="45"/>
  <c r="C18" i="45"/>
  <c r="C122" i="45" l="1"/>
  <c r="C110" i="45"/>
  <c r="E105" i="45"/>
  <c r="E101" i="45"/>
  <c r="C95" i="45"/>
  <c r="C93" i="45"/>
  <c r="C91" i="45"/>
  <c r="D90" i="45"/>
  <c r="E84" i="45"/>
  <c r="E85" i="45"/>
  <c r="E83" i="45"/>
  <c r="D82" i="45"/>
  <c r="C81" i="45"/>
  <c r="C79" i="45"/>
  <c r="D34" i="91" l="1"/>
  <c r="Q7" i="26" l="1"/>
  <c r="D35" i="91"/>
  <c r="C10" i="45"/>
  <c r="C7" i="45"/>
  <c r="F14" i="50" l="1"/>
  <c r="R17" i="50" l="1"/>
  <c r="O17" i="50"/>
  <c r="Q17" i="50"/>
  <c r="K17" i="50"/>
  <c r="L17" i="50"/>
  <c r="M17" i="50"/>
  <c r="N17" i="50"/>
  <c r="P17" i="50"/>
  <c r="AO17" i="50"/>
  <c r="AO98" i="45" s="1"/>
  <c r="DL17" i="50"/>
  <c r="DL98" i="45" s="1"/>
  <c r="DM17" i="50"/>
  <c r="DM98" i="45" s="1"/>
  <c r="DK17" i="50"/>
  <c r="DK98" i="45" s="1"/>
  <c r="DB17" i="50"/>
  <c r="DB98" i="45" s="1"/>
  <c r="DN17" i="50"/>
  <c r="DN98" i="45" s="1"/>
  <c r="DC17" i="50"/>
  <c r="DC98" i="45" s="1"/>
  <c r="DJ17" i="50"/>
  <c r="DJ98" i="45" s="1"/>
  <c r="DD17" i="50"/>
  <c r="DD98" i="45" s="1"/>
  <c r="DE17" i="50"/>
  <c r="DE98" i="45" s="1"/>
  <c r="DI17" i="50"/>
  <c r="DI98" i="45" s="1"/>
  <c r="DF17" i="50"/>
  <c r="DF98" i="45" s="1"/>
  <c r="DG17" i="50"/>
  <c r="DG98" i="45" s="1"/>
  <c r="DH17" i="50"/>
  <c r="DH98" i="45" s="1"/>
  <c r="AU17" i="50"/>
  <c r="AU98" i="45" s="1"/>
  <c r="BV17" i="50"/>
  <c r="AH17" i="50"/>
  <c r="AH98" i="45" s="1"/>
  <c r="AC17" i="50"/>
  <c r="AC98" i="45" s="1"/>
  <c r="BX17" i="50"/>
  <c r="BX98" i="45" s="1"/>
  <c r="BU17" i="50"/>
  <c r="BU98" i="45" s="1"/>
  <c r="BT17" i="50"/>
  <c r="AA17" i="50"/>
  <c r="AA98" i="45" s="1"/>
  <c r="AI17" i="50"/>
  <c r="AI98" i="45" s="1"/>
  <c r="AG17" i="50"/>
  <c r="AG98" i="45" s="1"/>
  <c r="Y17" i="50"/>
  <c r="Y98" i="45" s="1"/>
  <c r="BI17" i="50"/>
  <c r="BI98" i="45" s="1"/>
  <c r="BM17" i="50"/>
  <c r="BM98" i="45" s="1"/>
  <c r="AN17" i="50"/>
  <c r="AN98" i="45" s="1"/>
  <c r="AP17" i="50"/>
  <c r="AP98" i="45" s="1"/>
  <c r="BY17" i="50"/>
  <c r="BY98" i="45" s="1"/>
  <c r="AS17" i="50"/>
  <c r="AS98" i="45" s="1"/>
  <c r="CK17" i="50"/>
  <c r="CK98" i="45" s="1"/>
  <c r="CS17" i="50"/>
  <c r="CS98" i="45" s="1"/>
  <c r="DA17" i="50"/>
  <c r="DA98" i="45" s="1"/>
  <c r="CO17" i="50"/>
  <c r="CO98" i="45" s="1"/>
  <c r="CQ17" i="50"/>
  <c r="CQ98" i="45" s="1"/>
  <c r="CJ17" i="50"/>
  <c r="CJ98" i="45" s="1"/>
  <c r="CD17" i="50"/>
  <c r="CD98" i="45" s="1"/>
  <c r="CL17" i="50"/>
  <c r="CL98" i="45" s="1"/>
  <c r="CT17" i="50"/>
  <c r="CT98" i="45" s="1"/>
  <c r="CP17" i="50"/>
  <c r="CP98" i="45" s="1"/>
  <c r="CZ17" i="50"/>
  <c r="CZ98" i="45" s="1"/>
  <c r="CE17" i="50"/>
  <c r="CE98" i="45" s="1"/>
  <c r="CM17" i="50"/>
  <c r="CM98" i="45" s="1"/>
  <c r="CU17" i="50"/>
  <c r="CU98" i="45" s="1"/>
  <c r="CG17" i="50"/>
  <c r="CG98" i="45" s="1"/>
  <c r="CX17" i="50"/>
  <c r="CX98" i="45" s="1"/>
  <c r="CI17" i="50"/>
  <c r="CI98" i="45" s="1"/>
  <c r="CF17" i="50"/>
  <c r="CF98" i="45" s="1"/>
  <c r="CN17" i="50"/>
  <c r="CN98" i="45" s="1"/>
  <c r="CV17" i="50"/>
  <c r="CV98" i="45" s="1"/>
  <c r="CW17" i="50"/>
  <c r="CW98" i="45" s="1"/>
  <c r="CY17" i="50"/>
  <c r="CY98" i="45" s="1"/>
  <c r="CR17" i="50"/>
  <c r="CR98" i="45" s="1"/>
  <c r="CH17" i="50"/>
  <c r="CH98" i="45" s="1"/>
  <c r="BH17" i="50"/>
  <c r="BH98" i="45" s="1"/>
  <c r="AY17" i="50"/>
  <c r="AY98" i="45" s="1"/>
  <c r="AZ17" i="50"/>
  <c r="AZ98" i="45" s="1"/>
  <c r="BK17" i="50"/>
  <c r="BK98" i="45" s="1"/>
  <c r="BC17" i="50"/>
  <c r="BC98" i="45" s="1"/>
  <c r="AW17" i="50"/>
  <c r="AW98" i="45" s="1"/>
  <c r="AD17" i="50"/>
  <c r="AD98" i="45" s="1"/>
  <c r="BQ17" i="50"/>
  <c r="BQ98" i="45" s="1"/>
  <c r="V17" i="50"/>
  <c r="V98" i="45" s="1"/>
  <c r="AF17" i="50"/>
  <c r="AF98" i="45" s="1"/>
  <c r="AJ17" i="50"/>
  <c r="AJ98" i="45" s="1"/>
  <c r="AV17" i="50"/>
  <c r="AV98" i="45" s="1"/>
  <c r="BE17" i="50"/>
  <c r="BE98" i="45" s="1"/>
  <c r="AQ17" i="50"/>
  <c r="AQ98" i="45" s="1"/>
  <c r="BF17" i="50"/>
  <c r="BF98" i="45" s="1"/>
  <c r="BA17" i="50"/>
  <c r="BA98" i="45" s="1"/>
  <c r="AB17" i="50"/>
  <c r="AB98" i="45" s="1"/>
  <c r="AR17" i="50"/>
  <c r="AR98" i="45" s="1"/>
  <c r="AT17" i="50"/>
  <c r="AT98" i="45" s="1"/>
  <c r="BD17" i="50"/>
  <c r="BD98" i="45" s="1"/>
  <c r="BG17" i="50"/>
  <c r="BG98" i="45" s="1"/>
  <c r="BO17" i="50"/>
  <c r="BO98" i="45" s="1"/>
  <c r="BB17" i="50"/>
  <c r="BB98" i="45" s="1"/>
  <c r="CA17" i="50"/>
  <c r="CA98" i="45" s="1"/>
  <c r="BP17" i="50"/>
  <c r="BP98" i="45" s="1"/>
  <c r="Z17" i="50"/>
  <c r="Z98" i="45" s="1"/>
  <c r="BS17" i="50"/>
  <c r="BS98" i="45" s="1"/>
  <c r="S17" i="50"/>
  <c r="S98" i="45" s="1"/>
  <c r="CC17" i="50"/>
  <c r="CC98" i="45" s="1"/>
  <c r="AM17" i="50"/>
  <c r="AM98" i="45" s="1"/>
  <c r="BN17" i="50"/>
  <c r="BN98" i="45" s="1"/>
  <c r="BR17" i="50"/>
  <c r="BR98" i="45" s="1"/>
  <c r="CB17" i="50"/>
  <c r="CB98" i="45" s="1"/>
  <c r="BL17" i="50"/>
  <c r="BL98" i="45" s="1"/>
  <c r="AL17" i="50"/>
  <c r="AL98" i="45" s="1"/>
  <c r="W17" i="50"/>
  <c r="W98" i="45" s="1"/>
  <c r="X17" i="50"/>
  <c r="X98" i="45" s="1"/>
  <c r="BJ17" i="50"/>
  <c r="BJ98" i="45" s="1"/>
  <c r="AK17" i="50"/>
  <c r="AK98" i="45" s="1"/>
  <c r="U17" i="50"/>
  <c r="U98" i="45" s="1"/>
  <c r="BZ17" i="50"/>
  <c r="BZ98" i="45" s="1"/>
  <c r="T17" i="50"/>
  <c r="T98" i="45" s="1"/>
  <c r="BW17" i="50"/>
  <c r="BW98" i="45" s="1"/>
  <c r="AE17" i="50"/>
  <c r="AE98" i="45" s="1"/>
  <c r="AX17" i="50"/>
  <c r="AX98" i="45" s="1"/>
  <c r="BZ51" i="47" l="1"/>
  <c r="CB103" i="45"/>
  <c r="CB104" i="45"/>
  <c r="BP51" i="47"/>
  <c r="BR103" i="45"/>
  <c r="BR104" i="45"/>
  <c r="CJ51" i="47"/>
  <c r="CL103" i="45"/>
  <c r="CL104" i="45"/>
  <c r="CL51" i="47"/>
  <c r="CN103" i="45"/>
  <c r="CN104" i="45"/>
  <c r="DD51" i="47"/>
  <c r="DF104" i="45"/>
  <c r="DF103" i="45"/>
  <c r="BG104" i="45"/>
  <c r="BG103" i="45"/>
  <c r="CT51" i="47"/>
  <c r="CV104" i="45"/>
  <c r="CV103" i="45"/>
  <c r="BG51" i="47"/>
  <c r="BI104" i="45"/>
  <c r="BI103" i="45"/>
  <c r="CH51" i="47"/>
  <c r="CJ104" i="45"/>
  <c r="CJ103" i="45"/>
  <c r="CA51" i="47"/>
  <c r="CC103" i="45"/>
  <c r="CC104" i="45"/>
  <c r="CM51" i="47"/>
  <c r="CM52" i="47" s="1"/>
  <c r="CO104" i="45"/>
  <c r="CO103" i="45"/>
  <c r="DG51" i="47"/>
  <c r="DG52" i="47" s="1"/>
  <c r="DI104" i="45"/>
  <c r="DI103" i="45"/>
  <c r="CU51" i="47"/>
  <c r="CU52" i="47" s="1"/>
  <c r="CW104" i="45"/>
  <c r="CW103" i="45"/>
  <c r="BL51" i="47"/>
  <c r="BN103" i="45"/>
  <c r="BN104" i="45"/>
  <c r="DL104" i="45"/>
  <c r="DL103" i="45"/>
  <c r="CD51" i="47"/>
  <c r="CF104" i="45"/>
  <c r="CF103" i="45"/>
  <c r="CV51" i="47"/>
  <c r="CV52" i="47" s="1"/>
  <c r="CX104" i="45"/>
  <c r="CX103" i="45"/>
  <c r="CE51" i="47"/>
  <c r="CG104" i="45"/>
  <c r="CG103" i="45"/>
  <c r="CY51" i="47"/>
  <c r="DA104" i="45"/>
  <c r="DA103" i="45"/>
  <c r="DC51" i="47"/>
  <c r="DE104" i="45"/>
  <c r="DE103" i="45"/>
  <c r="DK104" i="45"/>
  <c r="DK103" i="45"/>
  <c r="CQ103" i="45"/>
  <c r="CQ104" i="45"/>
  <c r="CS51" i="47"/>
  <c r="CU103" i="45"/>
  <c r="CU104" i="45"/>
  <c r="CQ51" i="47"/>
  <c r="CS104" i="45"/>
  <c r="CS103" i="45"/>
  <c r="DB51" i="47"/>
  <c r="DD103" i="45"/>
  <c r="DD104" i="45"/>
  <c r="CR51" i="47"/>
  <c r="CR52" i="47" s="1"/>
  <c r="CT104" i="45"/>
  <c r="CT103" i="45"/>
  <c r="DM104" i="45"/>
  <c r="DM103" i="45"/>
  <c r="CB51" i="47"/>
  <c r="CD104" i="45"/>
  <c r="CD103" i="45"/>
  <c r="DE51" i="47"/>
  <c r="DE52" i="47" s="1"/>
  <c r="DG104" i="45"/>
  <c r="DG103" i="45"/>
  <c r="CG51" i="47"/>
  <c r="CI104" i="45"/>
  <c r="CI103" i="45"/>
  <c r="BS104" i="45"/>
  <c r="BS103" i="45"/>
  <c r="BN51" i="47"/>
  <c r="BP104" i="45"/>
  <c r="BP103" i="45"/>
  <c r="BF51" i="47"/>
  <c r="BH104" i="45"/>
  <c r="BH103" i="45"/>
  <c r="CK51" i="47"/>
  <c r="CM104" i="45"/>
  <c r="CM103" i="45"/>
  <c r="CI51" i="47"/>
  <c r="CK103" i="45"/>
  <c r="CK104" i="45"/>
  <c r="BS51" i="47"/>
  <c r="BU104" i="45"/>
  <c r="BU103" i="45"/>
  <c r="DH51" i="47"/>
  <c r="DH52" i="47" s="1"/>
  <c r="DJ104" i="45"/>
  <c r="DJ103" i="45"/>
  <c r="BO51" i="47"/>
  <c r="BQ103" i="45"/>
  <c r="BQ104" i="45"/>
  <c r="BU51" i="47"/>
  <c r="BW103" i="45"/>
  <c r="BW104" i="45"/>
  <c r="BH51" i="47"/>
  <c r="BJ104" i="45"/>
  <c r="BJ103" i="45"/>
  <c r="BY51" i="47"/>
  <c r="CA104" i="45"/>
  <c r="CA103" i="45"/>
  <c r="CF51" i="47"/>
  <c r="CH104" i="45"/>
  <c r="CH103" i="45"/>
  <c r="CE104" i="45"/>
  <c r="CE103" i="45"/>
  <c r="BV51" i="47"/>
  <c r="BX104" i="45"/>
  <c r="BX103" i="45"/>
  <c r="DC103" i="45"/>
  <c r="DC104" i="45"/>
  <c r="BK51" i="47"/>
  <c r="BM104" i="45"/>
  <c r="BM103" i="45"/>
  <c r="DF51" i="47"/>
  <c r="DF52" i="47" s="1"/>
  <c r="DH104" i="45"/>
  <c r="DH103" i="45"/>
  <c r="BI51" i="47"/>
  <c r="BK104" i="45"/>
  <c r="BK103" i="45"/>
  <c r="BD51" i="47"/>
  <c r="BF104" i="45"/>
  <c r="BF103" i="45"/>
  <c r="CP51" i="47"/>
  <c r="CR103" i="45"/>
  <c r="CR104" i="45"/>
  <c r="CX51" i="47"/>
  <c r="CZ104" i="45"/>
  <c r="CZ103" i="45"/>
  <c r="BW51" i="47"/>
  <c r="BY104" i="45"/>
  <c r="BY103" i="45"/>
  <c r="DN104" i="45"/>
  <c r="DN103" i="45"/>
  <c r="BX51" i="47"/>
  <c r="BX52" i="47" s="1"/>
  <c r="BZ103" i="45"/>
  <c r="BZ104" i="45"/>
  <c r="BJ51" i="47"/>
  <c r="BL103" i="45"/>
  <c r="BL104" i="45"/>
  <c r="BM51" i="47"/>
  <c r="BO104" i="45"/>
  <c r="BO103" i="45"/>
  <c r="CW51" i="47"/>
  <c r="CY104" i="45"/>
  <c r="CY103" i="45"/>
  <c r="CN51" i="47"/>
  <c r="CP104" i="45"/>
  <c r="CP103" i="45"/>
  <c r="CZ51" i="47"/>
  <c r="DB104" i="45"/>
  <c r="DB103" i="45"/>
  <c r="DJ51" i="47"/>
  <c r="DK51" i="47"/>
  <c r="DI51" i="47"/>
  <c r="DI52" i="47" s="1"/>
  <c r="DL51" i="47"/>
  <c r="DL52" i="47" s="1"/>
  <c r="DP17" i="50"/>
  <c r="I17" i="50"/>
  <c r="R15" i="50"/>
  <c r="Q15" i="50"/>
  <c r="O15" i="50"/>
  <c r="P15" i="50"/>
  <c r="N15" i="50"/>
  <c r="M15" i="50"/>
  <c r="L15" i="50"/>
  <c r="BU52" i="47"/>
  <c r="BV98" i="45"/>
  <c r="Q126" i="26"/>
  <c r="CO51" i="47"/>
  <c r="P98" i="45"/>
  <c r="M126" i="26"/>
  <c r="BQ51" i="47"/>
  <c r="L126" i="26"/>
  <c r="N98" i="45"/>
  <c r="M98" i="45"/>
  <c r="BS52" i="47"/>
  <c r="BT98" i="45"/>
  <c r="L98" i="45"/>
  <c r="K126" i="26"/>
  <c r="K98" i="45"/>
  <c r="K15" i="50"/>
  <c r="P126" i="26"/>
  <c r="CC51" i="47"/>
  <c r="R126" i="26"/>
  <c r="DA51" i="47"/>
  <c r="Q98" i="45"/>
  <c r="O98" i="45"/>
  <c r="N126" i="26"/>
  <c r="BE51" i="47"/>
  <c r="R98" i="45"/>
  <c r="E7" i="50"/>
  <c r="DJ52" i="47"/>
  <c r="DC52" i="47"/>
  <c r="DD52" i="47"/>
  <c r="DK52" i="47"/>
  <c r="R5" i="26"/>
  <c r="C38" i="91"/>
  <c r="D38" i="91" s="1"/>
  <c r="BH52" i="47"/>
  <c r="BL52" i="47"/>
  <c r="BI52" i="47"/>
  <c r="CK52" i="47"/>
  <c r="CT52" i="47"/>
  <c r="CI52" i="47"/>
  <c r="CQ52" i="47"/>
  <c r="CP52" i="47"/>
  <c r="CZ52" i="47"/>
  <c r="K8" i="26"/>
  <c r="R6" i="26"/>
  <c r="N131" i="26" l="1"/>
  <c r="N132" i="26"/>
  <c r="R132" i="26"/>
  <c r="P131" i="26"/>
  <c r="Q132" i="26"/>
  <c r="R131" i="26"/>
  <c r="P132" i="26"/>
  <c r="Q131" i="26"/>
  <c r="BT51" i="47"/>
  <c r="BT52" i="47" s="1"/>
  <c r="BV104" i="45"/>
  <c r="BV103" i="45"/>
  <c r="BR51" i="47"/>
  <c r="BT104" i="45"/>
  <c r="O132" i="26" s="1"/>
  <c r="BT103" i="45"/>
  <c r="O131" i="26" s="1"/>
  <c r="DP98" i="45"/>
  <c r="O126" i="26"/>
  <c r="J126" i="26"/>
  <c r="DA52" i="47"/>
  <c r="S5" i="26"/>
  <c r="S6" i="26"/>
  <c r="S7" i="26"/>
  <c r="CE52" i="47"/>
  <c r="CY52" i="47"/>
  <c r="CW52" i="47"/>
  <c r="BW52" i="47"/>
  <c r="CG52" i="47"/>
  <c r="CB52" i="47"/>
  <c r="BV52" i="47"/>
  <c r="BA100" i="45"/>
  <c r="CH52" i="47"/>
  <c r="BO52" i="47"/>
  <c r="BK52" i="47"/>
  <c r="CD52" i="47"/>
  <c r="CS52" i="47"/>
  <c r="CX52" i="47"/>
  <c r="CF52" i="47"/>
  <c r="BJ52" i="47"/>
  <c r="BE52" i="47"/>
  <c r="BN52" i="47"/>
  <c r="BM52" i="47"/>
  <c r="BG52" i="47"/>
  <c r="CJ52" i="47"/>
  <c r="BF52" i="47"/>
  <c r="BY52" i="47"/>
  <c r="BZ52" i="47"/>
  <c r="CA52" i="47"/>
  <c r="BR52" i="47"/>
  <c r="BP52" i="47"/>
  <c r="BQ52" i="47"/>
  <c r="CO52" i="47"/>
  <c r="BK100" i="45"/>
  <c r="AW100" i="45"/>
  <c r="AP10" i="45"/>
  <c r="AE10" i="45"/>
  <c r="AG10" i="45"/>
  <c r="AH10" i="45"/>
  <c r="AI10" i="45"/>
  <c r="AJ10" i="45"/>
  <c r="AM10" i="45"/>
  <c r="AL10" i="45"/>
  <c r="AN10" i="45"/>
  <c r="R10" i="45"/>
  <c r="X10" i="45"/>
  <c r="AB10" i="45"/>
  <c r="M10" i="45"/>
  <c r="O10" i="45"/>
  <c r="AD10" i="45"/>
  <c r="Z10" i="45"/>
  <c r="AA10" i="45"/>
  <c r="T10" i="45"/>
  <c r="AC10" i="45"/>
  <c r="L10" i="45"/>
  <c r="W10" i="45"/>
  <c r="K10" i="45"/>
  <c r="P10" i="45"/>
  <c r="Q10" i="45"/>
  <c r="V10" i="45"/>
  <c r="S10" i="45"/>
  <c r="N10" i="45"/>
  <c r="U10" i="45"/>
  <c r="Y10" i="45"/>
  <c r="AL23" i="45" l="1"/>
  <c r="AL22" i="45"/>
  <c r="AL21" i="45"/>
  <c r="AL20" i="45"/>
  <c r="AL19" i="45"/>
  <c r="AL12" i="45"/>
  <c r="AL13" i="45"/>
  <c r="AC21" i="45"/>
  <c r="AC20" i="45"/>
  <c r="AC19" i="45"/>
  <c r="AC13" i="45"/>
  <c r="AC23" i="45"/>
  <c r="AC12" i="45"/>
  <c r="AC22" i="45"/>
  <c r="AM19" i="45"/>
  <c r="AM13" i="45"/>
  <c r="AM23" i="45"/>
  <c r="AM22" i="45"/>
  <c r="AM21" i="45"/>
  <c r="AM20" i="45"/>
  <c r="AM12" i="45"/>
  <c r="AM14" i="45" s="1"/>
  <c r="AM16" i="45" s="1"/>
  <c r="T23" i="45"/>
  <c r="T22" i="45"/>
  <c r="T21" i="45"/>
  <c r="T19" i="45"/>
  <c r="T13" i="45"/>
  <c r="T12" i="45"/>
  <c r="T20" i="45"/>
  <c r="AI22" i="45"/>
  <c r="AI21" i="45"/>
  <c r="AI20" i="45"/>
  <c r="AI19" i="45"/>
  <c r="AI13" i="45"/>
  <c r="AI23" i="45"/>
  <c r="AI12" i="45"/>
  <c r="U23" i="45"/>
  <c r="U22" i="45"/>
  <c r="U20" i="45"/>
  <c r="U19" i="45"/>
  <c r="U13" i="45"/>
  <c r="U21" i="45"/>
  <c r="U12" i="45"/>
  <c r="U14" i="45" s="1"/>
  <c r="U16" i="45" s="1"/>
  <c r="Z23" i="45"/>
  <c r="Z22" i="45"/>
  <c r="Z21" i="45"/>
  <c r="Z20" i="45"/>
  <c r="Z19" i="45"/>
  <c r="Z12" i="45"/>
  <c r="Z14" i="45" s="1"/>
  <c r="Z16" i="45" s="1"/>
  <c r="Z13" i="45"/>
  <c r="AH23" i="45"/>
  <c r="AH21" i="45"/>
  <c r="AH20" i="45"/>
  <c r="AH19" i="45"/>
  <c r="AH13" i="45"/>
  <c r="AH22" i="45"/>
  <c r="AH12" i="45"/>
  <c r="AA19" i="45"/>
  <c r="AA13" i="45"/>
  <c r="AA23" i="45"/>
  <c r="AA22" i="45"/>
  <c r="AA21" i="45"/>
  <c r="AA20" i="45"/>
  <c r="AA12" i="45"/>
  <c r="N23" i="45"/>
  <c r="N22" i="45"/>
  <c r="N21" i="45"/>
  <c r="N20" i="45"/>
  <c r="N19" i="45"/>
  <c r="N12" i="45"/>
  <c r="N13" i="45"/>
  <c r="AD22" i="45"/>
  <c r="AD21" i="45"/>
  <c r="AD20" i="45"/>
  <c r="AD19" i="45"/>
  <c r="AD13" i="45"/>
  <c r="AD23" i="45"/>
  <c r="AD12" i="45"/>
  <c r="AG23" i="45"/>
  <c r="AG22" i="45"/>
  <c r="AG20" i="45"/>
  <c r="AG19" i="45"/>
  <c r="AG13" i="45"/>
  <c r="AG21" i="45"/>
  <c r="AG12" i="45"/>
  <c r="AG14" i="45" s="1"/>
  <c r="AG16" i="45" s="1"/>
  <c r="O19" i="45"/>
  <c r="O13" i="45"/>
  <c r="O23" i="45"/>
  <c r="O22" i="45"/>
  <c r="O21" i="45"/>
  <c r="O20" i="45"/>
  <c r="O12" i="45"/>
  <c r="AP22" i="45"/>
  <c r="AP21" i="45"/>
  <c r="AP20" i="45"/>
  <c r="AP19" i="45"/>
  <c r="AP13" i="45"/>
  <c r="AP23" i="45"/>
  <c r="AP12" i="45"/>
  <c r="AE23" i="45"/>
  <c r="AE22" i="45"/>
  <c r="AE21" i="45"/>
  <c r="AE20" i="45"/>
  <c r="AE12" i="45"/>
  <c r="AE13" i="45"/>
  <c r="AE19" i="45"/>
  <c r="V23" i="45"/>
  <c r="V21" i="45"/>
  <c r="V20" i="45"/>
  <c r="V19" i="45"/>
  <c r="V13" i="45"/>
  <c r="V12" i="45"/>
  <c r="V22" i="45"/>
  <c r="M23" i="45"/>
  <c r="M22" i="45"/>
  <c r="M21" i="45"/>
  <c r="M20" i="45"/>
  <c r="M19" i="45"/>
  <c r="M13" i="45"/>
  <c r="M12" i="45"/>
  <c r="AB20" i="45"/>
  <c r="AB19" i="45"/>
  <c r="AB23" i="45"/>
  <c r="AB22" i="45"/>
  <c r="AB21" i="45"/>
  <c r="AB13" i="45"/>
  <c r="AB12" i="45"/>
  <c r="Y23" i="45"/>
  <c r="Y22" i="45"/>
  <c r="Y21" i="45"/>
  <c r="Y20" i="45"/>
  <c r="Y19" i="45"/>
  <c r="Y13" i="45"/>
  <c r="Y12" i="45"/>
  <c r="S23" i="45"/>
  <c r="S22" i="45"/>
  <c r="S21" i="45"/>
  <c r="S20" i="45"/>
  <c r="S13" i="45"/>
  <c r="S12" i="45"/>
  <c r="S19" i="45"/>
  <c r="P20" i="45"/>
  <c r="P19" i="45"/>
  <c r="P23" i="45"/>
  <c r="P22" i="45"/>
  <c r="P21" i="45"/>
  <c r="P13" i="45"/>
  <c r="P12" i="45"/>
  <c r="P14" i="45" s="1"/>
  <c r="P16" i="45" s="1"/>
  <c r="X23" i="45"/>
  <c r="X22" i="45"/>
  <c r="X21" i="45"/>
  <c r="X20" i="45"/>
  <c r="X19" i="45"/>
  <c r="X13" i="45"/>
  <c r="X12" i="45"/>
  <c r="K22" i="45"/>
  <c r="K21" i="45"/>
  <c r="K20" i="45"/>
  <c r="K19" i="45"/>
  <c r="K12" i="45"/>
  <c r="K13" i="45"/>
  <c r="K23" i="45"/>
  <c r="R22" i="45"/>
  <c r="R21" i="45"/>
  <c r="R20" i="45"/>
  <c r="R19" i="45"/>
  <c r="R13" i="45"/>
  <c r="R23" i="45"/>
  <c r="R12" i="45"/>
  <c r="L23" i="45"/>
  <c r="L22" i="45"/>
  <c r="L21" i="45"/>
  <c r="L20" i="45"/>
  <c r="L19" i="45"/>
  <c r="L13" i="45"/>
  <c r="L12" i="45"/>
  <c r="AJ23" i="45"/>
  <c r="AJ22" i="45"/>
  <c r="AJ21" i="45"/>
  <c r="AJ20" i="45"/>
  <c r="AJ19" i="45"/>
  <c r="AJ13" i="45"/>
  <c r="AJ12" i="45"/>
  <c r="Q21" i="45"/>
  <c r="Q20" i="45"/>
  <c r="Q19" i="45"/>
  <c r="Q13" i="45"/>
  <c r="Q23" i="45"/>
  <c r="Q12" i="45"/>
  <c r="Q22" i="45"/>
  <c r="W22" i="45"/>
  <c r="W21" i="45"/>
  <c r="W20" i="45"/>
  <c r="W19" i="45"/>
  <c r="W13" i="45"/>
  <c r="W12" i="45"/>
  <c r="W23" i="45"/>
  <c r="AN20" i="45"/>
  <c r="AN19" i="45"/>
  <c r="AN23" i="45"/>
  <c r="AN22" i="45"/>
  <c r="AN21" i="45"/>
  <c r="AN12" i="45"/>
  <c r="AN13" i="45"/>
  <c r="BH100" i="45"/>
  <c r="AX100" i="45"/>
  <c r="AT100" i="45"/>
  <c r="CF100" i="45"/>
  <c r="CL100" i="45"/>
  <c r="BY100" i="45"/>
  <c r="BW100" i="45"/>
  <c r="BE100" i="45"/>
  <c r="CL52" i="47"/>
  <c r="CN52" i="47"/>
  <c r="BG100" i="45"/>
  <c r="BF100" i="45"/>
  <c r="BV100" i="45"/>
  <c r="BP100" i="45"/>
  <c r="BQ100" i="45"/>
  <c r="CK100" i="45"/>
  <c r="CE100" i="45"/>
  <c r="BR100" i="45"/>
  <c r="CJ100" i="45"/>
  <c r="BT100" i="45"/>
  <c r="CI100" i="45"/>
  <c r="BS100" i="45"/>
  <c r="CC52" i="47"/>
  <c r="BN100" i="45"/>
  <c r="BJ100" i="45"/>
  <c r="BD100" i="45"/>
  <c r="AF10" i="45"/>
  <c r="AK10" i="45"/>
  <c r="AO10" i="45"/>
  <c r="K38" i="26"/>
  <c r="T14" i="45" l="1"/>
  <c r="T16" i="45" s="1"/>
  <c r="V14" i="45"/>
  <c r="V16" i="45" s="1"/>
  <c r="AE24" i="45"/>
  <c r="O24" i="45"/>
  <c r="N14" i="45"/>
  <c r="N16" i="45" s="1"/>
  <c r="Q14" i="45"/>
  <c r="Q16" i="45" s="1"/>
  <c r="V24" i="45"/>
  <c r="L14" i="45"/>
  <c r="L16" i="45" s="1"/>
  <c r="AB14" i="45"/>
  <c r="AB16" i="45" s="1"/>
  <c r="AA14" i="45"/>
  <c r="AA16" i="45" s="1"/>
  <c r="AM24" i="45"/>
  <c r="M24" i="45"/>
  <c r="AL14" i="45"/>
  <c r="AL16" i="45" s="1"/>
  <c r="AA24" i="45"/>
  <c r="AC14" i="45"/>
  <c r="AC16" i="45" s="1"/>
  <c r="AJ24" i="45"/>
  <c r="R14" i="45"/>
  <c r="R16" i="45" s="1"/>
  <c r="J50" i="26"/>
  <c r="AG24" i="45"/>
  <c r="U24" i="45"/>
  <c r="X14" i="45"/>
  <c r="X16" i="45" s="1"/>
  <c r="Y14" i="45"/>
  <c r="Y16" i="45" s="1"/>
  <c r="O14" i="45"/>
  <c r="O16" i="45" s="1"/>
  <c r="J47" i="26"/>
  <c r="K24" i="45"/>
  <c r="P24" i="45"/>
  <c r="AB24" i="45"/>
  <c r="AN24" i="45"/>
  <c r="AE14" i="45"/>
  <c r="AE16" i="45" s="1"/>
  <c r="AD24" i="45"/>
  <c r="W14" i="45"/>
  <c r="W16" i="45" s="1"/>
  <c r="Q24" i="45"/>
  <c r="J49" i="26"/>
  <c r="AO21" i="45"/>
  <c r="AO20" i="45"/>
  <c r="AO19" i="45"/>
  <c r="AO13" i="45"/>
  <c r="AO23" i="45"/>
  <c r="AO22" i="45"/>
  <c r="AO12" i="45"/>
  <c r="AK23" i="45"/>
  <c r="AK22" i="45"/>
  <c r="AK21" i="45"/>
  <c r="AK20" i="45"/>
  <c r="AK19" i="45"/>
  <c r="AK13" i="45"/>
  <c r="AK12" i="45"/>
  <c r="AF23" i="45"/>
  <c r="K51" i="26" s="1"/>
  <c r="AF22" i="45"/>
  <c r="K50" i="26" s="1"/>
  <c r="AF21" i="45"/>
  <c r="K49" i="26" s="1"/>
  <c r="AF19" i="45"/>
  <c r="K47" i="26" s="1"/>
  <c r="AF13" i="45"/>
  <c r="K41" i="26" s="1"/>
  <c r="AF12" i="45"/>
  <c r="AF20" i="45"/>
  <c r="R24" i="45"/>
  <c r="X24" i="45"/>
  <c r="T24" i="45"/>
  <c r="AC24" i="45"/>
  <c r="W24" i="45"/>
  <c r="L24" i="45"/>
  <c r="L26" i="45" s="1"/>
  <c r="L79" i="45" s="1"/>
  <c r="S24" i="45"/>
  <c r="Y24" i="45"/>
  <c r="M14" i="45"/>
  <c r="M16" i="45" s="1"/>
  <c r="AP14" i="45"/>
  <c r="AP16" i="45" s="1"/>
  <c r="AD14" i="45"/>
  <c r="AD16" i="45" s="1"/>
  <c r="AH14" i="45"/>
  <c r="AH16" i="45" s="1"/>
  <c r="AI14" i="45"/>
  <c r="AI16" i="45" s="1"/>
  <c r="AJ14" i="45"/>
  <c r="AJ16" i="45" s="1"/>
  <c r="J51" i="26"/>
  <c r="S14" i="45"/>
  <c r="S16" i="45" s="1"/>
  <c r="N24" i="45"/>
  <c r="Z24" i="45"/>
  <c r="AL24" i="45"/>
  <c r="J48" i="26"/>
  <c r="J41" i="26"/>
  <c r="AH24" i="45"/>
  <c r="AP24" i="45"/>
  <c r="AN14" i="45"/>
  <c r="AN16" i="45" s="1"/>
  <c r="J40" i="26"/>
  <c r="K14" i="45"/>
  <c r="AI24" i="45"/>
  <c r="BU100" i="45"/>
  <c r="CH100" i="45"/>
  <c r="BL100" i="45"/>
  <c r="AR100" i="45"/>
  <c r="CG100" i="45"/>
  <c r="CD100" i="45"/>
  <c r="AZ100" i="45"/>
  <c r="BM100" i="45"/>
  <c r="BI100" i="45"/>
  <c r="CC100" i="45"/>
  <c r="CB100" i="45"/>
  <c r="AU100" i="45"/>
  <c r="AS100" i="45"/>
  <c r="AV100" i="45"/>
  <c r="AY100" i="45"/>
  <c r="BB100" i="45"/>
  <c r="AQ100" i="45"/>
  <c r="BX100" i="45"/>
  <c r="BZ100" i="45"/>
  <c r="L38" i="26"/>
  <c r="AY10" i="45"/>
  <c r="AT10" i="45"/>
  <c r="AS10" i="45"/>
  <c r="BB10" i="45"/>
  <c r="AR10" i="45"/>
  <c r="BA10" i="45"/>
  <c r="AX10" i="45"/>
  <c r="AW10" i="45"/>
  <c r="AV10" i="45"/>
  <c r="AU10" i="45"/>
  <c r="AZ10" i="45"/>
  <c r="J38" i="26"/>
  <c r="P128" i="26" l="1"/>
  <c r="AK14" i="45"/>
  <c r="AK16" i="45" s="1"/>
  <c r="AF14" i="45"/>
  <c r="AF16" i="45" s="1"/>
  <c r="J42" i="26"/>
  <c r="J52" i="26"/>
  <c r="AS23" i="45"/>
  <c r="AS22" i="45"/>
  <c r="AS20" i="45"/>
  <c r="AS19" i="45"/>
  <c r="AS13" i="45"/>
  <c r="AS12" i="45"/>
  <c r="AS21" i="45"/>
  <c r="AF24" i="45"/>
  <c r="K40" i="26"/>
  <c r="K42" i="26" s="1"/>
  <c r="AO14" i="45"/>
  <c r="AO16" i="45" s="1"/>
  <c r="AX23" i="45"/>
  <c r="AX22" i="45"/>
  <c r="AX21" i="45"/>
  <c r="AX20" i="45"/>
  <c r="AX19" i="45"/>
  <c r="AX13" i="45"/>
  <c r="AX12" i="45"/>
  <c r="K48" i="26"/>
  <c r="K52" i="26" s="1"/>
  <c r="BA21" i="45"/>
  <c r="BA20" i="45"/>
  <c r="BA19" i="45"/>
  <c r="BA23" i="45"/>
  <c r="BA12" i="45"/>
  <c r="BA13" i="45"/>
  <c r="BA22" i="45"/>
  <c r="BB22" i="45"/>
  <c r="BB21" i="45"/>
  <c r="BB20" i="45"/>
  <c r="BB19" i="45"/>
  <c r="BB13" i="45"/>
  <c r="BB12" i="45"/>
  <c r="BB23" i="45"/>
  <c r="AY19" i="45"/>
  <c r="AY23" i="45"/>
  <c r="AY22" i="45"/>
  <c r="AY21" i="45"/>
  <c r="AY20" i="45"/>
  <c r="AY13" i="45"/>
  <c r="AY12" i="45"/>
  <c r="AK24" i="45"/>
  <c r="AR23" i="45"/>
  <c r="AR22" i="45"/>
  <c r="AR21" i="45"/>
  <c r="AR19" i="45"/>
  <c r="AR13" i="45"/>
  <c r="AR12" i="45"/>
  <c r="AR20" i="45"/>
  <c r="AU22" i="45"/>
  <c r="AU21" i="45"/>
  <c r="AU20" i="45"/>
  <c r="AU19" i="45"/>
  <c r="AU13" i="45"/>
  <c r="AU23" i="45"/>
  <c r="AU12" i="45"/>
  <c r="AT23" i="45"/>
  <c r="AT21" i="45"/>
  <c r="AT20" i="45"/>
  <c r="AT19" i="45"/>
  <c r="AT13" i="45"/>
  <c r="AT22" i="45"/>
  <c r="AT12" i="45"/>
  <c r="AZ20" i="45"/>
  <c r="AZ19" i="45"/>
  <c r="AZ23" i="45"/>
  <c r="AZ22" i="45"/>
  <c r="AZ12" i="45"/>
  <c r="AZ13" i="45"/>
  <c r="AZ21" i="45"/>
  <c r="AO24" i="45"/>
  <c r="AV23" i="45"/>
  <c r="AV22" i="45"/>
  <c r="AV21" i="45"/>
  <c r="AV20" i="45"/>
  <c r="AV19" i="45"/>
  <c r="AV13" i="45"/>
  <c r="AV12" i="45"/>
  <c r="K16" i="45"/>
  <c r="AW23" i="45"/>
  <c r="AW22" i="45"/>
  <c r="AW21" i="45"/>
  <c r="AW20" i="45"/>
  <c r="AW19" i="45"/>
  <c r="AW13" i="45"/>
  <c r="AW12" i="45"/>
  <c r="J44" i="26"/>
  <c r="BT10" i="45"/>
  <c r="BW10" i="45"/>
  <c r="BS10" i="45"/>
  <c r="BQ10" i="45"/>
  <c r="BV10" i="45"/>
  <c r="BX10" i="45"/>
  <c r="BZ10" i="45"/>
  <c r="BP10" i="45"/>
  <c r="BU10" i="45"/>
  <c r="BR10" i="45"/>
  <c r="BY10" i="45"/>
  <c r="BC100" i="45"/>
  <c r="M128" i="26" s="1"/>
  <c r="CA100" i="45"/>
  <c r="O128" i="26" s="1"/>
  <c r="BK10" i="45"/>
  <c r="BJ10" i="45"/>
  <c r="M38" i="26"/>
  <c r="AQ10" i="45"/>
  <c r="BH10" i="45"/>
  <c r="BF10" i="45"/>
  <c r="BG10" i="45"/>
  <c r="BL10" i="45"/>
  <c r="BM10" i="45"/>
  <c r="BI10" i="45"/>
  <c r="BE10" i="45"/>
  <c r="BD10" i="45"/>
  <c r="AY14" i="45" l="1"/>
  <c r="AY16" i="45" s="1"/>
  <c r="AV14" i="45"/>
  <c r="AV16" i="45" s="1"/>
  <c r="BA24" i="45"/>
  <c r="BB14" i="45"/>
  <c r="BB16" i="45" s="1"/>
  <c r="AY24" i="45"/>
  <c r="AX14" i="45"/>
  <c r="AX16" i="45" s="1"/>
  <c r="AS14" i="45"/>
  <c r="AS16" i="45" s="1"/>
  <c r="BK19" i="45"/>
  <c r="BK23" i="45"/>
  <c r="BK22" i="45"/>
  <c r="BK21" i="45"/>
  <c r="BK20" i="45"/>
  <c r="BK13" i="45"/>
  <c r="BK12" i="45"/>
  <c r="BQ23" i="45"/>
  <c r="BQ22" i="45"/>
  <c r="BQ20" i="45"/>
  <c r="BQ19" i="45"/>
  <c r="BQ21" i="45"/>
  <c r="BQ13" i="45"/>
  <c r="BQ12" i="45"/>
  <c r="BQ14" i="45" s="1"/>
  <c r="BQ16" i="45" s="1"/>
  <c r="AZ24" i="45"/>
  <c r="AU14" i="45"/>
  <c r="AU16" i="45" s="1"/>
  <c r="BE23" i="45"/>
  <c r="BE22" i="45"/>
  <c r="BE20" i="45"/>
  <c r="BE19" i="45"/>
  <c r="BE12" i="45"/>
  <c r="BE13" i="45"/>
  <c r="BE21" i="45"/>
  <c r="BM21" i="45"/>
  <c r="BM20" i="45"/>
  <c r="BM19" i="45"/>
  <c r="BM23" i="45"/>
  <c r="BM22" i="45"/>
  <c r="BM13" i="45"/>
  <c r="BM12" i="45"/>
  <c r="BD23" i="45"/>
  <c r="BD22" i="45"/>
  <c r="BD21" i="45"/>
  <c r="BD19" i="45"/>
  <c r="BD13" i="45"/>
  <c r="BD12" i="45"/>
  <c r="BD20" i="45"/>
  <c r="BS22" i="45"/>
  <c r="BS21" i="45"/>
  <c r="BS20" i="45"/>
  <c r="BS19" i="45"/>
  <c r="BS23" i="45"/>
  <c r="BS13" i="45"/>
  <c r="BS12" i="45"/>
  <c r="AW24" i="45"/>
  <c r="AX24" i="45"/>
  <c r="BT23" i="45"/>
  <c r="BT22" i="45"/>
  <c r="BT21" i="45"/>
  <c r="BT20" i="45"/>
  <c r="BT19" i="45"/>
  <c r="BT13" i="45"/>
  <c r="BT12" i="45"/>
  <c r="BT14" i="45" s="1"/>
  <c r="BT16" i="45" s="1"/>
  <c r="AT14" i="45"/>
  <c r="AT16" i="45" s="1"/>
  <c r="AU24" i="45"/>
  <c r="BI23" i="45"/>
  <c r="BI22" i="45"/>
  <c r="BI21" i="45"/>
  <c r="BI20" i="45"/>
  <c r="BI19" i="45"/>
  <c r="BI13" i="45"/>
  <c r="BI12" i="45"/>
  <c r="BI14" i="45" s="1"/>
  <c r="BI16" i="45" s="1"/>
  <c r="BY21" i="45"/>
  <c r="BY20" i="45"/>
  <c r="BY19" i="45"/>
  <c r="BY23" i="45"/>
  <c r="BY22" i="45"/>
  <c r="BY13" i="45"/>
  <c r="BY12" i="45"/>
  <c r="BB24" i="45"/>
  <c r="BW19" i="45"/>
  <c r="BW23" i="45"/>
  <c r="BW22" i="45"/>
  <c r="BW21" i="45"/>
  <c r="BW20" i="45"/>
  <c r="BW13" i="45"/>
  <c r="BW12" i="45"/>
  <c r="BW14" i="45" s="1"/>
  <c r="BW16" i="45" s="1"/>
  <c r="AT24" i="45"/>
  <c r="BU23" i="45"/>
  <c r="BU22" i="45"/>
  <c r="BU21" i="45"/>
  <c r="BU20" i="45"/>
  <c r="BU19" i="45"/>
  <c r="BU13" i="45"/>
  <c r="BU12" i="45"/>
  <c r="BP23" i="45"/>
  <c r="BP22" i="45"/>
  <c r="BP21" i="45"/>
  <c r="BP19" i="45"/>
  <c r="BP13" i="45"/>
  <c r="BP12" i="45"/>
  <c r="BP20" i="45"/>
  <c r="AQ23" i="45"/>
  <c r="AQ22" i="45"/>
  <c r="AQ21" i="45"/>
  <c r="AQ20" i="45"/>
  <c r="AQ19" i="45"/>
  <c r="AQ12" i="45"/>
  <c r="AQ13" i="45"/>
  <c r="BZ22" i="45"/>
  <c r="BZ21" i="45"/>
  <c r="BZ20" i="45"/>
  <c r="BZ19" i="45"/>
  <c r="BZ23" i="45"/>
  <c r="BZ13" i="45"/>
  <c r="BZ12" i="45"/>
  <c r="AW14" i="45"/>
  <c r="AW16" i="45" s="1"/>
  <c r="AZ14" i="45"/>
  <c r="AZ16" i="45" s="1"/>
  <c r="AR14" i="45"/>
  <c r="AR16" i="45" s="1"/>
  <c r="BR23" i="45"/>
  <c r="BR21" i="45"/>
  <c r="BR20" i="45"/>
  <c r="BR19" i="45"/>
  <c r="BR22" i="45"/>
  <c r="BR13" i="45"/>
  <c r="BR12" i="45"/>
  <c r="BF23" i="45"/>
  <c r="BF21" i="45"/>
  <c r="BF20" i="45"/>
  <c r="BF19" i="45"/>
  <c r="BF22" i="45"/>
  <c r="BF13" i="45"/>
  <c r="BF12" i="45"/>
  <c r="BH23" i="45"/>
  <c r="BH22" i="45"/>
  <c r="BH21" i="45"/>
  <c r="BH20" i="45"/>
  <c r="BH19" i="45"/>
  <c r="BH13" i="45"/>
  <c r="BH12" i="45"/>
  <c r="BX20" i="45"/>
  <c r="BX19" i="45"/>
  <c r="BX23" i="45"/>
  <c r="BX22" i="45"/>
  <c r="BX21" i="45"/>
  <c r="BX13" i="45"/>
  <c r="BX12" i="45"/>
  <c r="AV24" i="45"/>
  <c r="AS24" i="45"/>
  <c r="BL20" i="45"/>
  <c r="BL19" i="45"/>
  <c r="BL23" i="45"/>
  <c r="BL22" i="45"/>
  <c r="BL12" i="45"/>
  <c r="BL13" i="45"/>
  <c r="BL21" i="45"/>
  <c r="BG22" i="45"/>
  <c r="BG21" i="45"/>
  <c r="BG20" i="45"/>
  <c r="BG19" i="45"/>
  <c r="BG13" i="45"/>
  <c r="BG12" i="45"/>
  <c r="BG23" i="45"/>
  <c r="BJ23" i="45"/>
  <c r="BJ22" i="45"/>
  <c r="BJ21" i="45"/>
  <c r="BJ20" i="45"/>
  <c r="BJ19" i="45"/>
  <c r="BJ13" i="45"/>
  <c r="BJ12" i="45"/>
  <c r="BV23" i="45"/>
  <c r="BV22" i="45"/>
  <c r="BV21" i="45"/>
  <c r="BV20" i="45"/>
  <c r="BV19" i="45"/>
  <c r="BV13" i="45"/>
  <c r="BV12" i="45"/>
  <c r="AR24" i="45"/>
  <c r="BA14" i="45"/>
  <c r="BA16" i="45" s="1"/>
  <c r="K44" i="26"/>
  <c r="CS10" i="45"/>
  <c r="CN10" i="45"/>
  <c r="CV10" i="45"/>
  <c r="CR10" i="45"/>
  <c r="CQ10" i="45"/>
  <c r="CT10" i="45"/>
  <c r="CU10" i="45"/>
  <c r="CX10" i="45"/>
  <c r="CP10" i="45"/>
  <c r="CO10" i="45"/>
  <c r="CW10" i="45"/>
  <c r="CD10" i="45"/>
  <c r="CI10" i="45"/>
  <c r="CG10" i="45"/>
  <c r="CK10" i="45"/>
  <c r="CC10" i="45"/>
  <c r="CE10" i="45"/>
  <c r="CB10" i="45"/>
  <c r="CF10" i="45"/>
  <c r="BO10" i="45"/>
  <c r="O38" i="26"/>
  <c r="CJ10" i="45"/>
  <c r="CH10" i="45"/>
  <c r="BO100" i="45"/>
  <c r="N128" i="26" s="1"/>
  <c r="BN10" i="45"/>
  <c r="BC10" i="45"/>
  <c r="N38" i="26"/>
  <c r="BR14" i="45" l="1"/>
  <c r="BR16" i="45" s="1"/>
  <c r="BV14" i="45"/>
  <c r="BV16" i="45" s="1"/>
  <c r="BD14" i="45"/>
  <c r="BD16" i="45" s="1"/>
  <c r="BR24" i="45"/>
  <c r="BL14" i="45"/>
  <c r="BL16" i="45" s="1"/>
  <c r="BU14" i="45"/>
  <c r="BU16" i="45" s="1"/>
  <c r="BZ14" i="45"/>
  <c r="BZ16" i="45" s="1"/>
  <c r="BY14" i="45"/>
  <c r="BY16" i="45" s="1"/>
  <c r="BE14" i="45"/>
  <c r="BE16" i="45" s="1"/>
  <c r="BE24" i="45"/>
  <c r="BM14" i="45"/>
  <c r="BM16" i="45" s="1"/>
  <c r="BW24" i="45"/>
  <c r="BK14" i="45"/>
  <c r="BK16" i="45" s="1"/>
  <c r="BF24" i="45"/>
  <c r="BL24" i="45"/>
  <c r="BX14" i="45"/>
  <c r="BX16" i="45" s="1"/>
  <c r="BJ14" i="45"/>
  <c r="BJ16" i="45" s="1"/>
  <c r="CK21" i="45"/>
  <c r="CK20" i="45"/>
  <c r="CK19" i="45"/>
  <c r="CK23" i="45"/>
  <c r="CK13" i="45"/>
  <c r="CK12" i="45"/>
  <c r="CK22" i="45"/>
  <c r="CV20" i="45"/>
  <c r="CV19" i="45"/>
  <c r="CV23" i="45"/>
  <c r="CV22" i="45"/>
  <c r="CV13" i="45"/>
  <c r="CV12" i="45"/>
  <c r="CV21" i="45"/>
  <c r="CI19" i="45"/>
  <c r="CI23" i="45"/>
  <c r="CI22" i="45"/>
  <c r="CI21" i="45"/>
  <c r="CI20" i="45"/>
  <c r="CI13" i="45"/>
  <c r="CI12" i="45"/>
  <c r="CN23" i="45"/>
  <c r="CN22" i="45"/>
  <c r="CN21" i="45"/>
  <c r="CN19" i="45"/>
  <c r="CN20" i="45"/>
  <c r="CN13" i="45"/>
  <c r="CN12" i="45"/>
  <c r="BP24" i="45"/>
  <c r="BI24" i="45"/>
  <c r="CR23" i="45"/>
  <c r="CR22" i="45"/>
  <c r="CR21" i="45"/>
  <c r="CR20" i="45"/>
  <c r="CR19" i="45"/>
  <c r="CR13" i="45"/>
  <c r="CR12" i="45"/>
  <c r="BC23" i="45"/>
  <c r="M51" i="26" s="1"/>
  <c r="BC22" i="45"/>
  <c r="M50" i="26" s="1"/>
  <c r="BC21" i="45"/>
  <c r="M49" i="26" s="1"/>
  <c r="BC20" i="45"/>
  <c r="M48" i="26" s="1"/>
  <c r="BC19" i="45"/>
  <c r="BC13" i="45"/>
  <c r="M41" i="26" s="1"/>
  <c r="BC12" i="45"/>
  <c r="BV24" i="45"/>
  <c r="BN22" i="45"/>
  <c r="BN21" i="45"/>
  <c r="BN20" i="45"/>
  <c r="BN19" i="45"/>
  <c r="BN12" i="45"/>
  <c r="BN23" i="45"/>
  <c r="BN13" i="45"/>
  <c r="BZ24" i="45"/>
  <c r="CD23" i="45"/>
  <c r="CD21" i="45"/>
  <c r="CD20" i="45"/>
  <c r="CD19" i="45"/>
  <c r="CD22" i="45"/>
  <c r="CD13" i="45"/>
  <c r="CD12" i="45"/>
  <c r="CS23" i="45"/>
  <c r="CS22" i="45"/>
  <c r="CS21" i="45"/>
  <c r="CS20" i="45"/>
  <c r="CS19" i="45"/>
  <c r="CS13" i="45"/>
  <c r="CS12" i="45"/>
  <c r="BG24" i="45"/>
  <c r="BH14" i="45"/>
  <c r="BH16" i="45" s="1"/>
  <c r="BM24" i="45"/>
  <c r="BK24" i="45"/>
  <c r="AQ14" i="45"/>
  <c r="L40" i="26"/>
  <c r="L48" i="26"/>
  <c r="AQ24" i="45"/>
  <c r="L47" i="26"/>
  <c r="CX22" i="45"/>
  <c r="CX21" i="45"/>
  <c r="CX20" i="45"/>
  <c r="CX19" i="45"/>
  <c r="CX23" i="45"/>
  <c r="CX12" i="45"/>
  <c r="CX13" i="45"/>
  <c r="L49" i="26"/>
  <c r="BY24" i="45"/>
  <c r="BD24" i="45"/>
  <c r="CJ20" i="45"/>
  <c r="CJ19" i="45"/>
  <c r="CJ23" i="45"/>
  <c r="CJ22" i="45"/>
  <c r="CJ13" i="45"/>
  <c r="CJ12" i="45"/>
  <c r="CJ21" i="45"/>
  <c r="CO23" i="45"/>
  <c r="CO22" i="45"/>
  <c r="CO20" i="45"/>
  <c r="CO19" i="45"/>
  <c r="CO21" i="45"/>
  <c r="CO13" i="45"/>
  <c r="CO12" i="45"/>
  <c r="BH24" i="45"/>
  <c r="CF23" i="45"/>
  <c r="CF22" i="45"/>
  <c r="CF21" i="45"/>
  <c r="CF20" i="45"/>
  <c r="CF19" i="45"/>
  <c r="CF13" i="45"/>
  <c r="CF12" i="45"/>
  <c r="CF14" i="45" s="1"/>
  <c r="CF16" i="45" s="1"/>
  <c r="CB23" i="45"/>
  <c r="CB22" i="45"/>
  <c r="CB21" i="45"/>
  <c r="CB19" i="45"/>
  <c r="CB20" i="45"/>
  <c r="CB13" i="45"/>
  <c r="CB12" i="45"/>
  <c r="CU19" i="45"/>
  <c r="CU23" i="45"/>
  <c r="CU22" i="45"/>
  <c r="CU21" i="45"/>
  <c r="CU20" i="45"/>
  <c r="CU13" i="45"/>
  <c r="CU12" i="45"/>
  <c r="BJ24" i="45"/>
  <c r="L50" i="26"/>
  <c r="BS14" i="45"/>
  <c r="BS16" i="45" s="1"/>
  <c r="CP23" i="45"/>
  <c r="CP21" i="45"/>
  <c r="CP20" i="45"/>
  <c r="CP19" i="45"/>
  <c r="CP13" i="45"/>
  <c r="CP12" i="45"/>
  <c r="CP22" i="45"/>
  <c r="CE22" i="45"/>
  <c r="CE21" i="45"/>
  <c r="CE20" i="45"/>
  <c r="CE19" i="45"/>
  <c r="CE12" i="45"/>
  <c r="CE23" i="45"/>
  <c r="CE13" i="45"/>
  <c r="CT23" i="45"/>
  <c r="CT22" i="45"/>
  <c r="CT21" i="45"/>
  <c r="CT20" i="45"/>
  <c r="CT19" i="45"/>
  <c r="CT13" i="45"/>
  <c r="CT12" i="45"/>
  <c r="L51" i="26"/>
  <c r="CW21" i="45"/>
  <c r="CW20" i="45"/>
  <c r="CW19" i="45"/>
  <c r="CW23" i="45"/>
  <c r="CW12" i="45"/>
  <c r="CW13" i="45"/>
  <c r="CW22" i="45"/>
  <c r="BO23" i="45"/>
  <c r="BO22" i="45"/>
  <c r="BO21" i="45"/>
  <c r="N49" i="26" s="1"/>
  <c r="BO20" i="45"/>
  <c r="BO13" i="45"/>
  <c r="N41" i="26" s="1"/>
  <c r="BO12" i="45"/>
  <c r="BO19" i="45"/>
  <c r="CC23" i="45"/>
  <c r="CC22" i="45"/>
  <c r="CC20" i="45"/>
  <c r="CC19" i="45"/>
  <c r="CC21" i="45"/>
  <c r="CC12" i="45"/>
  <c r="CC13" i="45"/>
  <c r="CQ22" i="45"/>
  <c r="CQ21" i="45"/>
  <c r="CQ20" i="45"/>
  <c r="CQ19" i="45"/>
  <c r="CQ23" i="45"/>
  <c r="CQ13" i="45"/>
  <c r="CQ12" i="45"/>
  <c r="BF14" i="45"/>
  <c r="BF16" i="45" s="1"/>
  <c r="BU24" i="45"/>
  <c r="BQ24" i="45"/>
  <c r="CH23" i="45"/>
  <c r="CH22" i="45"/>
  <c r="CH21" i="45"/>
  <c r="CH20" i="45"/>
  <c r="CH19" i="45"/>
  <c r="CH13" i="45"/>
  <c r="CH12" i="45"/>
  <c r="BX24" i="45"/>
  <c r="BP14" i="45"/>
  <c r="BP16" i="45" s="1"/>
  <c r="BS24" i="45"/>
  <c r="L41" i="26"/>
  <c r="CG23" i="45"/>
  <c r="CG22" i="45"/>
  <c r="CG21" i="45"/>
  <c r="CG20" i="45"/>
  <c r="CG19" i="45"/>
  <c r="CG13" i="45"/>
  <c r="CG12" i="45"/>
  <c r="BG14" i="45"/>
  <c r="BG16" i="45" s="1"/>
  <c r="BT24" i="45"/>
  <c r="DJ10" i="45"/>
  <c r="DB10" i="45"/>
  <c r="DI10" i="45"/>
  <c r="DA10" i="45"/>
  <c r="DF10" i="45"/>
  <c r="DG10" i="45"/>
  <c r="DC10" i="45"/>
  <c r="DE10" i="45"/>
  <c r="CZ10" i="45"/>
  <c r="DH10" i="45"/>
  <c r="Q38" i="26"/>
  <c r="CM10" i="45"/>
  <c r="DD10" i="45"/>
  <c r="CL10" i="45"/>
  <c r="CA10" i="45"/>
  <c r="CN14" i="45" l="1"/>
  <c r="CN16" i="45" s="1"/>
  <c r="CX24" i="45"/>
  <c r="CF24" i="45"/>
  <c r="N50" i="26"/>
  <c r="N48" i="26"/>
  <c r="CP24" i="45"/>
  <c r="CB14" i="45"/>
  <c r="CB16" i="45" s="1"/>
  <c r="BN14" i="45"/>
  <c r="BN16" i="45" s="1"/>
  <c r="N47" i="26"/>
  <c r="CR14" i="45"/>
  <c r="CR16" i="45" s="1"/>
  <c r="CD14" i="45"/>
  <c r="CD16" i="45" s="1"/>
  <c r="CV14" i="45"/>
  <c r="CV16" i="45" s="1"/>
  <c r="CH14" i="45"/>
  <c r="CH16" i="45" s="1"/>
  <c r="CG14" i="45"/>
  <c r="CG16" i="45" s="1"/>
  <c r="BO14" i="45"/>
  <c r="BO16" i="45" s="1"/>
  <c r="CS14" i="45"/>
  <c r="CS16" i="45" s="1"/>
  <c r="CI14" i="45"/>
  <c r="CI16" i="45" s="1"/>
  <c r="CT14" i="45"/>
  <c r="CT16" i="45" s="1"/>
  <c r="CU14" i="45"/>
  <c r="CU16" i="45" s="1"/>
  <c r="CO14" i="45"/>
  <c r="CO16" i="45" s="1"/>
  <c r="CI24" i="45"/>
  <c r="CS24" i="45"/>
  <c r="CK14" i="45"/>
  <c r="CK16" i="45" s="1"/>
  <c r="CE14" i="45"/>
  <c r="CE16" i="45" s="1"/>
  <c r="CE24" i="45"/>
  <c r="CU24" i="45"/>
  <c r="L52" i="26"/>
  <c r="N51" i="26"/>
  <c r="DI21" i="45"/>
  <c r="DI20" i="45"/>
  <c r="DI19" i="45"/>
  <c r="DI23" i="45"/>
  <c r="DI22" i="45"/>
  <c r="DI12" i="45"/>
  <c r="DI13" i="45"/>
  <c r="CQ14" i="45"/>
  <c r="CQ16" i="45" s="1"/>
  <c r="DC22" i="45"/>
  <c r="DC21" i="45"/>
  <c r="DC20" i="45"/>
  <c r="DC19" i="45"/>
  <c r="DC23" i="45"/>
  <c r="DC13" i="45"/>
  <c r="DC12" i="45"/>
  <c r="CC14" i="45"/>
  <c r="CC16" i="45" s="1"/>
  <c r="BN24" i="45"/>
  <c r="DF23" i="45"/>
  <c r="DF22" i="45"/>
  <c r="DF21" i="45"/>
  <c r="DF20" i="45"/>
  <c r="DF19" i="45"/>
  <c r="DF13" i="45"/>
  <c r="DF12" i="45"/>
  <c r="DF14" i="45" s="1"/>
  <c r="DF16" i="45" s="1"/>
  <c r="CC24" i="45"/>
  <c r="CA23" i="45"/>
  <c r="O51" i="26" s="1"/>
  <c r="CA22" i="45"/>
  <c r="O50" i="26" s="1"/>
  <c r="CA21" i="45"/>
  <c r="O49" i="26" s="1"/>
  <c r="CA20" i="45"/>
  <c r="O48" i="26" s="1"/>
  <c r="CA13" i="45"/>
  <c r="CA12" i="45"/>
  <c r="CA19" i="45"/>
  <c r="CG24" i="45"/>
  <c r="DJ22" i="45"/>
  <c r="DJ21" i="45"/>
  <c r="DJ20" i="45"/>
  <c r="DJ19" i="45"/>
  <c r="DJ13" i="45"/>
  <c r="DJ23" i="45"/>
  <c r="DJ12" i="45"/>
  <c r="CD24" i="45"/>
  <c r="CM23" i="45"/>
  <c r="CM22" i="45"/>
  <c r="CM21" i="45"/>
  <c r="CM20" i="45"/>
  <c r="CM19" i="45"/>
  <c r="CM13" i="45"/>
  <c r="CM12" i="45"/>
  <c r="CQ24" i="45"/>
  <c r="CJ14" i="45"/>
  <c r="CJ16" i="45" s="1"/>
  <c r="CX14" i="45"/>
  <c r="CX16" i="45" s="1"/>
  <c r="CR24" i="45"/>
  <c r="CN24" i="45"/>
  <c r="DD23" i="45"/>
  <c r="DD22" i="45"/>
  <c r="DD21" i="45"/>
  <c r="DD20" i="45"/>
  <c r="DD19" i="45"/>
  <c r="DD13" i="45"/>
  <c r="DD12" i="45"/>
  <c r="DD14" i="45" s="1"/>
  <c r="DD16" i="45" s="1"/>
  <c r="BO24" i="45"/>
  <c r="CT24" i="45"/>
  <c r="CP14" i="45"/>
  <c r="CP16" i="45" s="1"/>
  <c r="CB24" i="45"/>
  <c r="L42" i="26"/>
  <c r="L44" i="26" s="1"/>
  <c r="BC14" i="45"/>
  <c r="BC16" i="45" s="1"/>
  <c r="M40" i="26"/>
  <c r="M42" i="26" s="1"/>
  <c r="M44" i="26" s="1"/>
  <c r="CO24" i="45"/>
  <c r="CL22" i="45"/>
  <c r="CL21" i="45"/>
  <c r="CL20" i="45"/>
  <c r="CL19" i="45"/>
  <c r="CL13" i="45"/>
  <c r="CL23" i="45"/>
  <c r="CL12" i="45"/>
  <c r="CH24" i="45"/>
  <c r="AQ16" i="45"/>
  <c r="CW24" i="45"/>
  <c r="BC24" i="45"/>
  <c r="M47" i="26"/>
  <c r="M52" i="26" s="1"/>
  <c r="CK24" i="45"/>
  <c r="DG19" i="45"/>
  <c r="DG23" i="45"/>
  <c r="DG22" i="45"/>
  <c r="DG21" i="45"/>
  <c r="DG20" i="45"/>
  <c r="DG13" i="45"/>
  <c r="DG12" i="45"/>
  <c r="CV24" i="45"/>
  <c r="DA23" i="45"/>
  <c r="DA22" i="45"/>
  <c r="DA20" i="45"/>
  <c r="DA19" i="45"/>
  <c r="DA12" i="45"/>
  <c r="DA21" i="45"/>
  <c r="DA13" i="45"/>
  <c r="DB23" i="45"/>
  <c r="DB21" i="45"/>
  <c r="DB20" i="45"/>
  <c r="DB19" i="45"/>
  <c r="DB22" i="45"/>
  <c r="DB13" i="45"/>
  <c r="DB12" i="45"/>
  <c r="CW14" i="45"/>
  <c r="CW16" i="45" s="1"/>
  <c r="DH20" i="45"/>
  <c r="DH19" i="45"/>
  <c r="DH23" i="45"/>
  <c r="DH22" i="45"/>
  <c r="DH21" i="45"/>
  <c r="DH13" i="45"/>
  <c r="DH12" i="45"/>
  <c r="CZ23" i="45"/>
  <c r="CZ22" i="45"/>
  <c r="CZ21" i="45"/>
  <c r="CZ19" i="45"/>
  <c r="CZ13" i="45"/>
  <c r="CZ12" i="45"/>
  <c r="CZ20" i="45"/>
  <c r="DE23" i="45"/>
  <c r="DE22" i="45"/>
  <c r="DE21" i="45"/>
  <c r="DE20" i="45"/>
  <c r="DE19" i="45"/>
  <c r="DE13" i="45"/>
  <c r="DE12" i="45"/>
  <c r="N40" i="26"/>
  <c r="N42" i="26" s="1"/>
  <c r="N44" i="26" s="1"/>
  <c r="CJ24" i="45"/>
  <c r="CY10" i="45"/>
  <c r="R38" i="26"/>
  <c r="P38" i="26"/>
  <c r="AO20" i="53"/>
  <c r="AP20" i="53"/>
  <c r="AQ20" i="53"/>
  <c r="AR20" i="53"/>
  <c r="AS20" i="53"/>
  <c r="AT20" i="53"/>
  <c r="AU20" i="53"/>
  <c r="AV20" i="53"/>
  <c r="AW20" i="53"/>
  <c r="AX20" i="53"/>
  <c r="AY20" i="53"/>
  <c r="AZ20" i="53"/>
  <c r="AO21" i="53"/>
  <c r="AQ21" i="53"/>
  <c r="AR21" i="53"/>
  <c r="AS21" i="53"/>
  <c r="AT21" i="53"/>
  <c r="AU21" i="53"/>
  <c r="AV21" i="53"/>
  <c r="AW21" i="53"/>
  <c r="AX21" i="53"/>
  <c r="AY21" i="53"/>
  <c r="AZ21" i="53"/>
  <c r="AO29" i="53"/>
  <c r="AP29" i="53"/>
  <c r="AQ29" i="53"/>
  <c r="AR29" i="53"/>
  <c r="AS29" i="53"/>
  <c r="AT29" i="53"/>
  <c r="AU29" i="53"/>
  <c r="AV29" i="53"/>
  <c r="AW29" i="53"/>
  <c r="AX29" i="53"/>
  <c r="AY29" i="53"/>
  <c r="AZ29" i="53"/>
  <c r="AO30" i="53"/>
  <c r="AP30" i="53"/>
  <c r="AQ30" i="53"/>
  <c r="AR30" i="53"/>
  <c r="AS30" i="53"/>
  <c r="AT30" i="53"/>
  <c r="AU30" i="53"/>
  <c r="AV30" i="53"/>
  <c r="AW30" i="53"/>
  <c r="AX30" i="53"/>
  <c r="AY30" i="53"/>
  <c r="AZ30" i="53"/>
  <c r="DG14" i="45" l="1"/>
  <c r="DG16" i="45" s="1"/>
  <c r="P51" i="26"/>
  <c r="P50" i="26"/>
  <c r="DH14" i="45"/>
  <c r="DH16" i="45" s="1"/>
  <c r="N52" i="26"/>
  <c r="P48" i="26"/>
  <c r="CZ14" i="45"/>
  <c r="CZ16" i="45" s="1"/>
  <c r="P49" i="26"/>
  <c r="P41" i="26"/>
  <c r="P47" i="26"/>
  <c r="DB14" i="45"/>
  <c r="DB16" i="45" s="1"/>
  <c r="DJ14" i="45"/>
  <c r="DJ16" i="45" s="1"/>
  <c r="DA24" i="45"/>
  <c r="DB24" i="45"/>
  <c r="P40" i="26"/>
  <c r="R40" i="26"/>
  <c r="DC14" i="45"/>
  <c r="DC16" i="45" s="1"/>
  <c r="R41" i="26"/>
  <c r="DE24" i="45"/>
  <c r="R51" i="26"/>
  <c r="DI14" i="45"/>
  <c r="DI16" i="45" s="1"/>
  <c r="CY23" i="45"/>
  <c r="Q51" i="26" s="1"/>
  <c r="CY22" i="45"/>
  <c r="Q50" i="26" s="1"/>
  <c r="CY21" i="45"/>
  <c r="Q49" i="26" s="1"/>
  <c r="CY20" i="45"/>
  <c r="Q48" i="26" s="1"/>
  <c r="CY19" i="45"/>
  <c r="CY13" i="45"/>
  <c r="Q41" i="26" s="1"/>
  <c r="CY12" i="45"/>
  <c r="CL24" i="45"/>
  <c r="CA24" i="45"/>
  <c r="O47" i="26"/>
  <c r="DC24" i="45"/>
  <c r="R47" i="26"/>
  <c r="CA14" i="45"/>
  <c r="O40" i="26"/>
  <c r="R48" i="26"/>
  <c r="DD24" i="45"/>
  <c r="O41" i="26"/>
  <c r="DF24" i="45"/>
  <c r="R49" i="26"/>
  <c r="R50" i="26"/>
  <c r="CM14" i="45"/>
  <c r="CM16" i="45" s="1"/>
  <c r="DJ24" i="45"/>
  <c r="DI24" i="45"/>
  <c r="CZ24" i="45"/>
  <c r="DH24" i="45"/>
  <c r="DE14" i="45"/>
  <c r="DE16" i="45" s="1"/>
  <c r="DA14" i="45"/>
  <c r="DA16" i="45" s="1"/>
  <c r="DG24" i="45"/>
  <c r="CL14" i="45"/>
  <c r="CL16" i="45" s="1"/>
  <c r="CM24" i="45"/>
  <c r="S38" i="26"/>
  <c r="DP10" i="45"/>
  <c r="K26" i="45"/>
  <c r="K79" i="45" s="1"/>
  <c r="P52" i="26" l="1"/>
  <c r="DP23" i="45"/>
  <c r="P42" i="26"/>
  <c r="DP22" i="45"/>
  <c r="DP13" i="45"/>
  <c r="S49" i="26"/>
  <c r="S41" i="26"/>
  <c r="R42" i="26"/>
  <c r="R44" i="26" s="1"/>
  <c r="S48" i="26"/>
  <c r="S50" i="26"/>
  <c r="CY14" i="45"/>
  <c r="CY16" i="45" s="1"/>
  <c r="Q40" i="26"/>
  <c r="Q42" i="26" s="1"/>
  <c r="Q44" i="26" s="1"/>
  <c r="DP12" i="45"/>
  <c r="CY24" i="45"/>
  <c r="DP24" i="45" s="1"/>
  <c r="Q47" i="26"/>
  <c r="Q52" i="26" s="1"/>
  <c r="O42" i="26"/>
  <c r="O44" i="26" s="1"/>
  <c r="CA16" i="45"/>
  <c r="DP20" i="45"/>
  <c r="R52" i="26"/>
  <c r="DP19" i="45"/>
  <c r="DP21" i="45"/>
  <c r="O52" i="26"/>
  <c r="S51" i="26"/>
  <c r="P44" i="26"/>
  <c r="M26" i="45"/>
  <c r="M79" i="45" s="1"/>
  <c r="S40" i="26" l="1"/>
  <c r="DP14" i="45"/>
  <c r="S47" i="26"/>
  <c r="S42" i="26"/>
  <c r="S52" i="26"/>
  <c r="DP16" i="45"/>
  <c r="S44" i="26"/>
  <c r="N26" i="45"/>
  <c r="N79" i="45" s="1"/>
  <c r="L48" i="78"/>
  <c r="L49" i="78" s="1"/>
  <c r="F29" i="50" s="1"/>
  <c r="O32" i="50" l="1"/>
  <c r="O102" i="45" s="1"/>
  <c r="AA32" i="50"/>
  <c r="AA102" i="45" s="1"/>
  <c r="AM32" i="50"/>
  <c r="AM102" i="45" s="1"/>
  <c r="AY32" i="50"/>
  <c r="AY102" i="45" s="1"/>
  <c r="AB32" i="50"/>
  <c r="AB102" i="45" s="1"/>
  <c r="AN32" i="50"/>
  <c r="AN102" i="45" s="1"/>
  <c r="AZ32" i="50"/>
  <c r="AZ102" i="45" s="1"/>
  <c r="P32" i="50"/>
  <c r="P102" i="45" s="1"/>
  <c r="Q32" i="50"/>
  <c r="Q102" i="45" s="1"/>
  <c r="AC32" i="50"/>
  <c r="AC102" i="45" s="1"/>
  <c r="AO32" i="50"/>
  <c r="AO102" i="45" s="1"/>
  <c r="BA32" i="50"/>
  <c r="BA102" i="45" s="1"/>
  <c r="BD32" i="50"/>
  <c r="BD102" i="45" s="1"/>
  <c r="AL32" i="50"/>
  <c r="AL102" i="45" s="1"/>
  <c r="R32" i="50"/>
  <c r="R102" i="45" s="1"/>
  <c r="AD32" i="50"/>
  <c r="AD102" i="45" s="1"/>
  <c r="AP32" i="50"/>
  <c r="AP102" i="45" s="1"/>
  <c r="BB32" i="50"/>
  <c r="BB102" i="45" s="1"/>
  <c r="AF32" i="50"/>
  <c r="AF102" i="45" s="1"/>
  <c r="AX32" i="50"/>
  <c r="AX102" i="45" s="1"/>
  <c r="S32" i="50"/>
  <c r="S102" i="45" s="1"/>
  <c r="AE32" i="50"/>
  <c r="AE102" i="45" s="1"/>
  <c r="AQ32" i="50"/>
  <c r="AQ102" i="45" s="1"/>
  <c r="BC32" i="50"/>
  <c r="BC102" i="45" s="1"/>
  <c r="AR32" i="50"/>
  <c r="AR102" i="45" s="1"/>
  <c r="T32" i="50"/>
  <c r="T102" i="45" s="1"/>
  <c r="U32" i="50"/>
  <c r="U102" i="45" s="1"/>
  <c r="AG32" i="50"/>
  <c r="AG102" i="45" s="1"/>
  <c r="AS32" i="50"/>
  <c r="AS102" i="45" s="1"/>
  <c r="BE32" i="50"/>
  <c r="BE102" i="45" s="1"/>
  <c r="AJ32" i="50"/>
  <c r="AJ102" i="45" s="1"/>
  <c r="AV32" i="50"/>
  <c r="AV102" i="45" s="1"/>
  <c r="V32" i="50"/>
  <c r="V102" i="45" s="1"/>
  <c r="AH32" i="50"/>
  <c r="AH102" i="45" s="1"/>
  <c r="AT32" i="50"/>
  <c r="AT102" i="45" s="1"/>
  <c r="K32" i="50"/>
  <c r="K102" i="45" s="1"/>
  <c r="X32" i="50"/>
  <c r="X102" i="45" s="1"/>
  <c r="W32" i="50"/>
  <c r="W102" i="45" s="1"/>
  <c r="AI32" i="50"/>
  <c r="AI102" i="45" s="1"/>
  <c r="AU32" i="50"/>
  <c r="AU102" i="45" s="1"/>
  <c r="L32" i="50"/>
  <c r="L102" i="45" s="1"/>
  <c r="M32" i="50"/>
  <c r="M102" i="45" s="1"/>
  <c r="Y32" i="50"/>
  <c r="Y102" i="45" s="1"/>
  <c r="AK32" i="50"/>
  <c r="AK102" i="45" s="1"/>
  <c r="AW32" i="50"/>
  <c r="AW102" i="45" s="1"/>
  <c r="N32" i="50"/>
  <c r="N102" i="45" s="1"/>
  <c r="Z32" i="50"/>
  <c r="Z102" i="45" s="1"/>
  <c r="O26" i="45"/>
  <c r="O79" i="45" s="1"/>
  <c r="Q14" i="26"/>
  <c r="S14" i="26" s="1"/>
  <c r="J14" i="79"/>
  <c r="O14" i="79" s="1"/>
  <c r="J12" i="79"/>
  <c r="O12" i="79" s="1"/>
  <c r="O11" i="79"/>
  <c r="J11" i="79"/>
  <c r="N11" i="79" s="1"/>
  <c r="O10" i="79"/>
  <c r="N10" i="79"/>
  <c r="J9" i="79"/>
  <c r="O9" i="79" s="1"/>
  <c r="N8" i="79"/>
  <c r="J8" i="79"/>
  <c r="O8" i="79" s="1"/>
  <c r="J6" i="79"/>
  <c r="O6" i="79" s="1"/>
  <c r="L130" i="26" l="1"/>
  <c r="M130" i="26"/>
  <c r="K130" i="26"/>
  <c r="J130" i="26"/>
  <c r="DP102" i="45"/>
  <c r="N14" i="79"/>
  <c r="N9" i="79"/>
  <c r="N12" i="79"/>
  <c r="N6" i="79"/>
  <c r="P26" i="45"/>
  <c r="P79" i="45" s="1"/>
  <c r="M5" i="26"/>
  <c r="S130" i="26" l="1"/>
  <c r="Q26" i="45"/>
  <c r="Q79" i="45" s="1"/>
  <c r="R26" i="45" l="1"/>
  <c r="R79" i="45" s="1"/>
  <c r="S26" i="45" l="1"/>
  <c r="S79" i="45" s="1"/>
  <c r="J54" i="26" l="1"/>
  <c r="J107" i="26" s="1"/>
  <c r="T26" i="45"/>
  <c r="T79" i="45" s="1"/>
  <c r="D53" i="75"/>
  <c r="D43" i="75"/>
  <c r="D36" i="75"/>
  <c r="D25" i="75"/>
  <c r="D18" i="75"/>
  <c r="D61" i="75" s="1"/>
  <c r="D14" i="75"/>
  <c r="D8" i="75"/>
  <c r="U26" i="45" l="1"/>
  <c r="U79" i="45" s="1"/>
  <c r="D62" i="75"/>
  <c r="D63" i="75" l="1"/>
  <c r="C3" i="75"/>
  <c r="C5" i="75" s="1"/>
  <c r="O19" i="79" s="1"/>
  <c r="J7" i="79"/>
  <c r="O7" i="79"/>
  <c r="O15" i="79" s="1"/>
  <c r="F21" i="50" s="1"/>
  <c r="N7" i="79"/>
  <c r="N15" i="79" s="1"/>
  <c r="F20" i="50" s="1"/>
  <c r="V26" i="45"/>
  <c r="V79" i="45" s="1"/>
  <c r="P25" i="50" l="1"/>
  <c r="M24" i="50"/>
  <c r="N24" i="50"/>
  <c r="L24" i="50"/>
  <c r="O24" i="50"/>
  <c r="P24" i="50"/>
  <c r="Q24" i="50"/>
  <c r="R24" i="50"/>
  <c r="K24" i="50"/>
  <c r="Q25" i="50"/>
  <c r="R25" i="50"/>
  <c r="O25" i="50"/>
  <c r="K25" i="50"/>
  <c r="L25" i="50"/>
  <c r="M25" i="50"/>
  <c r="N25" i="50"/>
  <c r="N16" i="79"/>
  <c r="N17" i="79" s="1"/>
  <c r="AO24" i="50"/>
  <c r="AH24" i="50"/>
  <c r="AW24" i="50"/>
  <c r="V24" i="50"/>
  <c r="AY24" i="50"/>
  <c r="AD24" i="50"/>
  <c r="AX24" i="50"/>
  <c r="BD24" i="50"/>
  <c r="AK24" i="50"/>
  <c r="BA24" i="50"/>
  <c r="AC24" i="50"/>
  <c r="AV24" i="50"/>
  <c r="AS24" i="50"/>
  <c r="W24" i="50"/>
  <c r="Z24" i="50"/>
  <c r="BE24" i="50"/>
  <c r="AT24" i="50"/>
  <c r="AB24" i="50"/>
  <c r="AJ24" i="50"/>
  <c r="AQ24" i="50"/>
  <c r="AN24" i="50"/>
  <c r="S24" i="50"/>
  <c r="U24" i="50"/>
  <c r="AZ24" i="50"/>
  <c r="T24" i="50"/>
  <c r="AF24" i="50"/>
  <c r="X24" i="50"/>
  <c r="AP24" i="50"/>
  <c r="AG24" i="50"/>
  <c r="AR24" i="50"/>
  <c r="AE24" i="50"/>
  <c r="AL24" i="50"/>
  <c r="BC24" i="50"/>
  <c r="AI24" i="50"/>
  <c r="BB24" i="50"/>
  <c r="Y24" i="50"/>
  <c r="AA24" i="50"/>
  <c r="AM24" i="50"/>
  <c r="AU24" i="50"/>
  <c r="W26" i="45"/>
  <c r="AI25" i="50"/>
  <c r="AG25" i="50"/>
  <c r="Z25" i="50"/>
  <c r="AL25" i="50"/>
  <c r="AY25" i="50"/>
  <c r="AU25" i="50"/>
  <c r="AK25" i="50"/>
  <c r="AW25" i="50"/>
  <c r="AN25" i="50"/>
  <c r="AE25" i="50"/>
  <c r="AS25" i="50"/>
  <c r="AC25" i="50"/>
  <c r="AJ25" i="50"/>
  <c r="AP25" i="50"/>
  <c r="AT25" i="50"/>
  <c r="AQ25" i="50"/>
  <c r="BE25" i="50"/>
  <c r="AX25" i="50"/>
  <c r="BC25" i="50"/>
  <c r="AH25" i="50"/>
  <c r="AA25" i="50"/>
  <c r="X25" i="50"/>
  <c r="AM25" i="50"/>
  <c r="T25" i="50"/>
  <c r="AZ25" i="50"/>
  <c r="AF25" i="50"/>
  <c r="F22" i="50"/>
  <c r="V25" i="50"/>
  <c r="AV25" i="50"/>
  <c r="AO25" i="50"/>
  <c r="BB25" i="50"/>
  <c r="BA25" i="50"/>
  <c r="AR25" i="50"/>
  <c r="AB25" i="50"/>
  <c r="W25" i="50"/>
  <c r="U25" i="50"/>
  <c r="AD25" i="50"/>
  <c r="BD25" i="50"/>
  <c r="Y25" i="50"/>
  <c r="S25" i="50"/>
  <c r="DP24" i="50" l="1"/>
  <c r="DP25" i="50"/>
  <c r="I24" i="50"/>
  <c r="I25" i="50"/>
  <c r="L26" i="50"/>
  <c r="W51" i="45"/>
  <c r="O26" i="50"/>
  <c r="K26" i="50"/>
  <c r="R26" i="50"/>
  <c r="Q26" i="50"/>
  <c r="P26" i="50"/>
  <c r="N26" i="50"/>
  <c r="M26" i="50"/>
  <c r="Q8" i="26"/>
  <c r="S8" i="26" s="1"/>
  <c r="X26" i="45"/>
  <c r="I32" i="50" l="1"/>
  <c r="DP32" i="50"/>
  <c r="R22" i="50"/>
  <c r="Q22" i="50"/>
  <c r="O22" i="50"/>
  <c r="P22" i="50"/>
  <c r="N22" i="50"/>
  <c r="M22" i="50"/>
  <c r="L22" i="50"/>
  <c r="O30" i="50"/>
  <c r="R30" i="50"/>
  <c r="S30" i="50"/>
  <c r="Q30" i="50"/>
  <c r="P30" i="50"/>
  <c r="T30" i="50"/>
  <c r="U30" i="50"/>
  <c r="M101" i="45"/>
  <c r="P101" i="45"/>
  <c r="N101" i="45"/>
  <c r="R101" i="45"/>
  <c r="K101" i="45"/>
  <c r="K22" i="50"/>
  <c r="O101" i="45"/>
  <c r="Q101" i="45"/>
  <c r="L101" i="45"/>
  <c r="W75" i="45"/>
  <c r="W77" i="45" s="1"/>
  <c r="W79" i="45" s="1"/>
  <c r="X51" i="45"/>
  <c r="X75" i="45" s="1"/>
  <c r="X77" i="45" s="1"/>
  <c r="X79" i="45" s="1"/>
  <c r="Y26" i="45"/>
  <c r="R8" i="26"/>
  <c r="M51" i="47" l="1"/>
  <c r="M52" i="47" s="1"/>
  <c r="O103" i="45"/>
  <c r="O104" i="45"/>
  <c r="L51" i="47"/>
  <c r="L52" i="47" s="1"/>
  <c r="N104" i="45"/>
  <c r="N103" i="45"/>
  <c r="O51" i="47"/>
  <c r="O52" i="47" s="1"/>
  <c r="Q103" i="45"/>
  <c r="Q104" i="45"/>
  <c r="P51" i="47"/>
  <c r="P52" i="47" s="1"/>
  <c r="R103" i="45"/>
  <c r="R104" i="45"/>
  <c r="K51" i="47"/>
  <c r="K52" i="47" s="1"/>
  <c r="M104" i="45"/>
  <c r="M103" i="45"/>
  <c r="K103" i="45"/>
  <c r="K104" i="45"/>
  <c r="N51" i="47"/>
  <c r="N52" i="47" s="1"/>
  <c r="P104" i="45"/>
  <c r="P103" i="45"/>
  <c r="J51" i="47"/>
  <c r="J52" i="47" s="1"/>
  <c r="L103" i="45"/>
  <c r="L104" i="45"/>
  <c r="I51" i="47"/>
  <c r="I52" i="47" s="1"/>
  <c r="Y51" i="45"/>
  <c r="Y75" i="45" s="1"/>
  <c r="Y77" i="45" s="1"/>
  <c r="Y79" i="45" s="1"/>
  <c r="Z26" i="45"/>
  <c r="Z51" i="45" l="1"/>
  <c r="Z75" i="45" s="1"/>
  <c r="Z77" i="45" s="1"/>
  <c r="Z79" i="45" s="1"/>
  <c r="AA26" i="45"/>
  <c r="AA51" i="45" l="1"/>
  <c r="AA75" i="45" s="1"/>
  <c r="AA77" i="45" s="1"/>
  <c r="AA79" i="45" s="1"/>
  <c r="AB26" i="45"/>
  <c r="AB51" i="45" l="1"/>
  <c r="AB75" i="45" s="1"/>
  <c r="AB77" i="45" s="1"/>
  <c r="AB79" i="45" s="1"/>
  <c r="AC26" i="45"/>
  <c r="J18" i="69"/>
  <c r="AC51" i="45" l="1"/>
  <c r="AC75" i="45" s="1"/>
  <c r="AC77" i="45" s="1"/>
  <c r="AC79" i="45" s="1"/>
  <c r="AD26" i="45"/>
  <c r="AD51" i="45" l="1"/>
  <c r="AD75" i="45" s="1"/>
  <c r="AD77" i="45" s="1"/>
  <c r="AD79" i="45" s="1"/>
  <c r="AE26" i="45"/>
  <c r="K25" i="26"/>
  <c r="AE51" i="45" l="1"/>
  <c r="AE75" i="45" s="1"/>
  <c r="AE77" i="45" s="1"/>
  <c r="AE79" i="45" s="1"/>
  <c r="K54" i="26"/>
  <c r="AF26" i="45"/>
  <c r="R14" i="26"/>
  <c r="AF51" i="45" l="1"/>
  <c r="AF75" i="45" s="1"/>
  <c r="AF77" i="45" s="1"/>
  <c r="AF79" i="45" s="1"/>
  <c r="AG26" i="45"/>
  <c r="I42" i="47"/>
  <c r="I92" i="47" s="1"/>
  <c r="DN92" i="47" s="1"/>
  <c r="L26" i="46"/>
  <c r="G154" i="45"/>
  <c r="H10" i="46"/>
  <c r="AG51" i="45" l="1"/>
  <c r="AG75" i="45" s="1"/>
  <c r="AG77" i="45" s="1"/>
  <c r="AG79" i="45" s="1"/>
  <c r="G165" i="26"/>
  <c r="G127" i="47"/>
  <c r="G183" i="26"/>
  <c r="AH26" i="45"/>
  <c r="Q24" i="26"/>
  <c r="M24" i="26"/>
  <c r="L14" i="26"/>
  <c r="AH51" i="45" l="1"/>
  <c r="G113" i="26"/>
  <c r="G85" i="45" s="1"/>
  <c r="K85" i="45"/>
  <c r="AI26" i="45"/>
  <c r="AH75" i="45" l="1"/>
  <c r="AH77" i="45" s="1"/>
  <c r="AH79" i="45" s="1"/>
  <c r="K79" i="26"/>
  <c r="AI51" i="45"/>
  <c r="AJ26" i="45"/>
  <c r="K103" i="26" l="1"/>
  <c r="K105" i="26" s="1"/>
  <c r="K107" i="26" s="1"/>
  <c r="J175" i="26" s="1"/>
  <c r="J176" i="26" s="1"/>
  <c r="AI75" i="45"/>
  <c r="AI77" i="45" s="1"/>
  <c r="AI79" i="45" s="1"/>
  <c r="AJ51" i="45"/>
  <c r="AJ75" i="45" s="1"/>
  <c r="AJ77" i="45" s="1"/>
  <c r="AJ79" i="45" s="1"/>
  <c r="AK26" i="45"/>
  <c r="AK51" i="45" l="1"/>
  <c r="AK75" i="45" s="1"/>
  <c r="AK77" i="45" s="1"/>
  <c r="AK79" i="45" s="1"/>
  <c r="AL26" i="45"/>
  <c r="AL51" i="45" l="1"/>
  <c r="AL75" i="45" s="1"/>
  <c r="AL77" i="45" s="1"/>
  <c r="AL79" i="45" s="1"/>
  <c r="AM26" i="45"/>
  <c r="G211" i="26"/>
  <c r="AM51" i="45" l="1"/>
  <c r="AM75" i="45" s="1"/>
  <c r="AM77" i="45" s="1"/>
  <c r="AM79" i="45" s="1"/>
  <c r="AN26" i="45"/>
  <c r="G78" i="47"/>
  <c r="H83" i="47"/>
  <c r="H247" i="26" s="1"/>
  <c r="J16" i="26"/>
  <c r="AN51" i="45" l="1"/>
  <c r="AN75" i="45" s="1"/>
  <c r="AN77" i="45" s="1"/>
  <c r="AN79" i="45" s="1"/>
  <c r="AO26" i="45"/>
  <c r="AO51" i="45" l="1"/>
  <c r="AO75" i="45" s="1"/>
  <c r="AO77" i="45" s="1"/>
  <c r="AO79" i="45" s="1"/>
  <c r="AP26" i="45"/>
  <c r="H22" i="46"/>
  <c r="G28" i="26" s="1"/>
  <c r="AP51" i="45" l="1"/>
  <c r="AP75" i="45" s="1"/>
  <c r="AP77" i="45" s="1"/>
  <c r="AP79" i="45" s="1"/>
  <c r="AQ26" i="45"/>
  <c r="H118" i="47"/>
  <c r="J76" i="69"/>
  <c r="J70" i="69"/>
  <c r="J67" i="69"/>
  <c r="J50" i="69"/>
  <c r="J48" i="69"/>
  <c r="J20" i="69"/>
  <c r="J13" i="69"/>
  <c r="J11" i="69"/>
  <c r="J8" i="69"/>
  <c r="E71" i="69"/>
  <c r="E72" i="69" s="1"/>
  <c r="E68" i="69"/>
  <c r="E69" i="69" s="1"/>
  <c r="E63" i="69"/>
  <c r="E56" i="69"/>
  <c r="E57" i="69" s="1"/>
  <c r="E53" i="69"/>
  <c r="E48" i="69"/>
  <c r="E49" i="69" s="1"/>
  <c r="E41" i="69"/>
  <c r="E42" i="69" s="1"/>
  <c r="E43" i="69" s="1"/>
  <c r="E44" i="69" s="1"/>
  <c r="E32" i="69"/>
  <c r="E33" i="69" s="1"/>
  <c r="E34" i="69" s="1"/>
  <c r="E35" i="69" s="1"/>
  <c r="E36" i="69" s="1"/>
  <c r="E37" i="69" s="1"/>
  <c r="E29" i="69"/>
  <c r="E30" i="69" s="1"/>
  <c r="E22" i="69"/>
  <c r="E23" i="69" s="1"/>
  <c r="E24" i="69" s="1"/>
  <c r="AQ51" i="45" l="1"/>
  <c r="AQ75" i="45" s="1"/>
  <c r="AQ77" i="45" s="1"/>
  <c r="AQ79" i="45" s="1"/>
  <c r="L54" i="26"/>
  <c r="J78" i="69"/>
  <c r="AR26" i="45"/>
  <c r="H249" i="26"/>
  <c r="AR51" i="45" l="1"/>
  <c r="AR75" i="45" s="1"/>
  <c r="AR77" i="45" s="1"/>
  <c r="AR79" i="45" s="1"/>
  <c r="AS26" i="45"/>
  <c r="E8" i="50"/>
  <c r="AS51" i="45" l="1"/>
  <c r="AS75" i="45" s="1"/>
  <c r="AS77" i="45" s="1"/>
  <c r="AS79" i="45" s="1"/>
  <c r="AT26" i="45"/>
  <c r="AT51" i="45" l="1"/>
  <c r="J81" i="69"/>
  <c r="J83" i="69" s="1"/>
  <c r="AU26" i="45"/>
  <c r="AT75" i="45" l="1"/>
  <c r="AT77" i="45" s="1"/>
  <c r="AT79" i="45" s="1"/>
  <c r="D8" i="96" s="1"/>
  <c r="L79" i="26"/>
  <c r="AU51" i="45"/>
  <c r="F35" i="50"/>
  <c r="AV26" i="45"/>
  <c r="AU75" i="45" l="1"/>
  <c r="AU77" i="45" s="1"/>
  <c r="AU79" i="45" s="1"/>
  <c r="L103" i="26"/>
  <c r="L105" i="26" s="1"/>
  <c r="L107" i="26" s="1"/>
  <c r="K175" i="26" s="1"/>
  <c r="K176" i="26" s="1"/>
  <c r="AV51" i="45"/>
  <c r="AV75" i="45" s="1"/>
  <c r="AV77" i="45" s="1"/>
  <c r="AV79" i="45" s="1"/>
  <c r="K38" i="50"/>
  <c r="L38" i="50"/>
  <c r="L108" i="45" s="1"/>
  <c r="M38" i="50"/>
  <c r="M108" i="45" s="1"/>
  <c r="N38" i="50"/>
  <c r="N108" i="45" s="1"/>
  <c r="O38" i="50"/>
  <c r="O108" i="45" s="1"/>
  <c r="P38" i="50"/>
  <c r="P108" i="45" s="1"/>
  <c r="Q38" i="50"/>
  <c r="Q108" i="45" s="1"/>
  <c r="R38" i="50"/>
  <c r="R108" i="45" s="1"/>
  <c r="Q9" i="26"/>
  <c r="DD38" i="50"/>
  <c r="DD108" i="45" s="1"/>
  <c r="DJ38" i="50"/>
  <c r="DJ108" i="45" s="1"/>
  <c r="DH38" i="50"/>
  <c r="DH108" i="45" s="1"/>
  <c r="DK38" i="50"/>
  <c r="DK108" i="45" s="1"/>
  <c r="DL38" i="50"/>
  <c r="DL108" i="45" s="1"/>
  <c r="DE38" i="50"/>
  <c r="DE108" i="45" s="1"/>
  <c r="DM38" i="50"/>
  <c r="DM108" i="45" s="1"/>
  <c r="DI38" i="50"/>
  <c r="DI108" i="45" s="1"/>
  <c r="DF38" i="50"/>
  <c r="DF108" i="45" s="1"/>
  <c r="DB38" i="50"/>
  <c r="DB108" i="45" s="1"/>
  <c r="DN38" i="50"/>
  <c r="DN108" i="45" s="1"/>
  <c r="DC38" i="50"/>
  <c r="DC108" i="45" s="1"/>
  <c r="DG38" i="50"/>
  <c r="DG108" i="45" s="1"/>
  <c r="CO38" i="50"/>
  <c r="CO108" i="45" s="1"/>
  <c r="CS38" i="50"/>
  <c r="CS108" i="45" s="1"/>
  <c r="BR38" i="50"/>
  <c r="BR108" i="45" s="1"/>
  <c r="CC38" i="50"/>
  <c r="CC108" i="45" s="1"/>
  <c r="BV38" i="50"/>
  <c r="BV108" i="45" s="1"/>
  <c r="AQ38" i="50"/>
  <c r="AQ108" i="45" s="1"/>
  <c r="AY38" i="50"/>
  <c r="AY108" i="45" s="1"/>
  <c r="AC38" i="50"/>
  <c r="AC108" i="45" s="1"/>
  <c r="AN38" i="50"/>
  <c r="AN108" i="45" s="1"/>
  <c r="V38" i="50"/>
  <c r="V108" i="45" s="1"/>
  <c r="AL38" i="50"/>
  <c r="AL108" i="45" s="1"/>
  <c r="BP38" i="50"/>
  <c r="BP108" i="45" s="1"/>
  <c r="DA38" i="50"/>
  <c r="DA108" i="45" s="1"/>
  <c r="CT38" i="50"/>
  <c r="CT108" i="45" s="1"/>
  <c r="BS38" i="50"/>
  <c r="BS108" i="45" s="1"/>
  <c r="BZ38" i="50"/>
  <c r="BZ108" i="45" s="1"/>
  <c r="T38" i="50"/>
  <c r="T108" i="45" s="1"/>
  <c r="CB38" i="50"/>
  <c r="CB108" i="45" s="1"/>
  <c r="AJ38" i="50"/>
  <c r="AJ108" i="45" s="1"/>
  <c r="U38" i="50"/>
  <c r="U108" i="45" s="1"/>
  <c r="BM38" i="50"/>
  <c r="BM108" i="45" s="1"/>
  <c r="BI38" i="50"/>
  <c r="BI108" i="45" s="1"/>
  <c r="BO38" i="50"/>
  <c r="BO108" i="45" s="1"/>
  <c r="AM38" i="50"/>
  <c r="AM108" i="45" s="1"/>
  <c r="CW38" i="50"/>
  <c r="CW108" i="45" s="1"/>
  <c r="CH38" i="50"/>
  <c r="CH108" i="45" s="1"/>
  <c r="CU38" i="50"/>
  <c r="CU108" i="45" s="1"/>
  <c r="AH38" i="50"/>
  <c r="AH108" i="45" s="1"/>
  <c r="BL38" i="50"/>
  <c r="BL108" i="45" s="1"/>
  <c r="AG38" i="50"/>
  <c r="AG108" i="45" s="1"/>
  <c r="AD38" i="50"/>
  <c r="AD108" i="45" s="1"/>
  <c r="BA38" i="50"/>
  <c r="BA108" i="45" s="1"/>
  <c r="BH38" i="50"/>
  <c r="BH108" i="45" s="1"/>
  <c r="CX38" i="50"/>
  <c r="CX108" i="45" s="1"/>
  <c r="BY38" i="50"/>
  <c r="BY108" i="45" s="1"/>
  <c r="Z38" i="50"/>
  <c r="Z108" i="45" s="1"/>
  <c r="CD38" i="50"/>
  <c r="CD108" i="45" s="1"/>
  <c r="CK38" i="50"/>
  <c r="CK108" i="45" s="1"/>
  <c r="AX38" i="50"/>
  <c r="AX108" i="45" s="1"/>
  <c r="AK38" i="50"/>
  <c r="AK108" i="45" s="1"/>
  <c r="BB38" i="50"/>
  <c r="BB108" i="45" s="1"/>
  <c r="BW38" i="50"/>
  <c r="BW108" i="45" s="1"/>
  <c r="BC38" i="50"/>
  <c r="BC108" i="45" s="1"/>
  <c r="CP38" i="50"/>
  <c r="CP108" i="45" s="1"/>
  <c r="CV38" i="50"/>
  <c r="CV108" i="45" s="1"/>
  <c r="AO38" i="50"/>
  <c r="AO108" i="45" s="1"/>
  <c r="AU38" i="50"/>
  <c r="AU108" i="45" s="1"/>
  <c r="CL38" i="50"/>
  <c r="CL108" i="45" s="1"/>
  <c r="CM38" i="50"/>
  <c r="CM108" i="45" s="1"/>
  <c r="CE38" i="50"/>
  <c r="CE108" i="45" s="1"/>
  <c r="W38" i="50"/>
  <c r="W108" i="45" s="1"/>
  <c r="AI38" i="50"/>
  <c r="AI108" i="45" s="1"/>
  <c r="BU38" i="50"/>
  <c r="BU108" i="45" s="1"/>
  <c r="S38" i="50"/>
  <c r="BD38" i="50"/>
  <c r="BD108" i="45" s="1"/>
  <c r="X38" i="50"/>
  <c r="X108" i="45" s="1"/>
  <c r="BQ38" i="50"/>
  <c r="BQ108" i="45" s="1"/>
  <c r="AW38" i="50"/>
  <c r="AW108" i="45" s="1"/>
  <c r="BT38" i="50"/>
  <c r="BT108" i="45" s="1"/>
  <c r="CJ38" i="50"/>
  <c r="CJ108" i="45" s="1"/>
  <c r="AZ38" i="50"/>
  <c r="AZ108" i="45" s="1"/>
  <c r="AA38" i="50"/>
  <c r="AA108" i="45" s="1"/>
  <c r="CY38" i="50"/>
  <c r="CY108" i="45" s="1"/>
  <c r="CQ38" i="50"/>
  <c r="CQ108" i="45" s="1"/>
  <c r="AF38" i="50"/>
  <c r="AF108" i="45" s="1"/>
  <c r="BF38" i="50"/>
  <c r="BF108" i="45" s="1"/>
  <c r="AR38" i="50"/>
  <c r="AR108" i="45" s="1"/>
  <c r="AP38" i="50"/>
  <c r="AP108" i="45" s="1"/>
  <c r="BK38" i="50"/>
  <c r="BK108" i="45" s="1"/>
  <c r="CR38" i="50"/>
  <c r="CR108" i="45" s="1"/>
  <c r="BN38" i="50"/>
  <c r="BN108" i="45" s="1"/>
  <c r="CZ38" i="50"/>
  <c r="CZ108" i="45" s="1"/>
  <c r="BG38" i="50"/>
  <c r="BG108" i="45" s="1"/>
  <c r="Y38" i="50"/>
  <c r="Y108" i="45" s="1"/>
  <c r="CI38" i="50"/>
  <c r="CI108" i="45" s="1"/>
  <c r="CF38" i="50"/>
  <c r="CF108" i="45" s="1"/>
  <c r="AS38" i="50"/>
  <c r="AS108" i="45" s="1"/>
  <c r="BX38" i="50"/>
  <c r="BX108" i="45" s="1"/>
  <c r="BE38" i="50"/>
  <c r="BE108" i="45" s="1"/>
  <c r="AB38" i="50"/>
  <c r="AB108" i="45" s="1"/>
  <c r="AV38" i="50"/>
  <c r="AV108" i="45" s="1"/>
  <c r="CN38" i="50"/>
  <c r="CN108" i="45" s="1"/>
  <c r="BJ38" i="50"/>
  <c r="BJ108" i="45" s="1"/>
  <c r="AT38" i="50"/>
  <c r="AT108" i="45" s="1"/>
  <c r="AE38" i="50"/>
  <c r="AE108" i="45" s="1"/>
  <c r="CA38" i="50"/>
  <c r="CA108" i="45" s="1"/>
  <c r="CG38" i="50"/>
  <c r="CG108" i="45" s="1"/>
  <c r="AW26" i="45"/>
  <c r="K108" i="45" l="1"/>
  <c r="I38" i="50"/>
  <c r="R136" i="26"/>
  <c r="Q136" i="26"/>
  <c r="L136" i="26"/>
  <c r="K136" i="26"/>
  <c r="P136" i="26"/>
  <c r="O136" i="26"/>
  <c r="N136" i="26"/>
  <c r="M136" i="26"/>
  <c r="AW51" i="45"/>
  <c r="AW75" i="45" s="1"/>
  <c r="AW77" i="45" s="1"/>
  <c r="AW79" i="45" s="1"/>
  <c r="S108" i="45"/>
  <c r="J136" i="26" s="1"/>
  <c r="R9" i="26"/>
  <c r="S9" i="26"/>
  <c r="AX26" i="45"/>
  <c r="DP108" i="45" l="1"/>
  <c r="AX51" i="45"/>
  <c r="AX75" i="45" s="1"/>
  <c r="AX77" i="45" s="1"/>
  <c r="AX79" i="45" s="1"/>
  <c r="AY26" i="45"/>
  <c r="AY51" i="45" l="1"/>
  <c r="AY75" i="45" s="1"/>
  <c r="AY77" i="45" s="1"/>
  <c r="AY79" i="45" s="1"/>
  <c r="AZ26" i="45"/>
  <c r="AZ51" i="45" l="1"/>
  <c r="AZ75" i="45" s="1"/>
  <c r="AZ77" i="45" s="1"/>
  <c r="AZ79" i="45" s="1"/>
  <c r="BA26" i="45"/>
  <c r="BA51" i="45" l="1"/>
  <c r="BA75" i="45" s="1"/>
  <c r="BA77" i="45" s="1"/>
  <c r="BA79" i="45" s="1"/>
  <c r="BB26" i="45"/>
  <c r="BB51" i="45" l="1"/>
  <c r="BB75" i="45" s="1"/>
  <c r="BB77" i="45" s="1"/>
  <c r="BB79" i="45" s="1"/>
  <c r="BC26" i="45"/>
  <c r="BD26" i="50"/>
  <c r="BD101" i="45" s="1"/>
  <c r="AR26" i="50"/>
  <c r="AR101" i="45" s="1"/>
  <c r="AF26" i="50"/>
  <c r="AF101" i="45" s="1"/>
  <c r="T26" i="50"/>
  <c r="BC26" i="50"/>
  <c r="BC101" i="45" s="1"/>
  <c r="AQ26" i="50"/>
  <c r="AQ101" i="45" s="1"/>
  <c r="AE26" i="50"/>
  <c r="AE101" i="45" s="1"/>
  <c r="BB26" i="50"/>
  <c r="BB101" i="45" s="1"/>
  <c r="AP26" i="50"/>
  <c r="AP101" i="45" s="1"/>
  <c r="AD26" i="50"/>
  <c r="AD101" i="45" s="1"/>
  <c r="BA26" i="50"/>
  <c r="BA101" i="45" s="1"/>
  <c r="AO26" i="50"/>
  <c r="AO101" i="45" s="1"/>
  <c r="AC26" i="50"/>
  <c r="AC101" i="45" s="1"/>
  <c r="AZ26" i="50"/>
  <c r="AZ101" i="45" s="1"/>
  <c r="AN26" i="50"/>
  <c r="AN101" i="45" s="1"/>
  <c r="AB26" i="50"/>
  <c r="AB101" i="45" s="1"/>
  <c r="AY26" i="50"/>
  <c r="AY101" i="45" s="1"/>
  <c r="AM26" i="50"/>
  <c r="AM101" i="45" s="1"/>
  <c r="AA26" i="50"/>
  <c r="AA101" i="45" s="1"/>
  <c r="AX26" i="50"/>
  <c r="AX101" i="45" s="1"/>
  <c r="AL26" i="50"/>
  <c r="AL101" i="45" s="1"/>
  <c r="Z26" i="50"/>
  <c r="Z101" i="45" s="1"/>
  <c r="AW26" i="50"/>
  <c r="AW101" i="45" s="1"/>
  <c r="AK26" i="50"/>
  <c r="AK101" i="45" s="1"/>
  <c r="Y26" i="50"/>
  <c r="Y101" i="45" s="1"/>
  <c r="AV26" i="50"/>
  <c r="AV101" i="45" s="1"/>
  <c r="AJ26" i="50"/>
  <c r="AJ101" i="45" s="1"/>
  <c r="X26" i="50"/>
  <c r="X101" i="45" s="1"/>
  <c r="AU26" i="50"/>
  <c r="AU101" i="45" s="1"/>
  <c r="AI26" i="50"/>
  <c r="AI101" i="45" s="1"/>
  <c r="W26" i="50"/>
  <c r="W101" i="45" s="1"/>
  <c r="AT26" i="50"/>
  <c r="AT101" i="45" s="1"/>
  <c r="AH26" i="50"/>
  <c r="AH101" i="45" s="1"/>
  <c r="V26" i="50"/>
  <c r="V101" i="45" s="1"/>
  <c r="BE26" i="50"/>
  <c r="BE101" i="45" s="1"/>
  <c r="AS26" i="50"/>
  <c r="AS101" i="45" s="1"/>
  <c r="AG26" i="50"/>
  <c r="AG101" i="45" s="1"/>
  <c r="U26" i="50"/>
  <c r="U101" i="45" s="1"/>
  <c r="T101" i="45" l="1"/>
  <c r="K129" i="26"/>
  <c r="L129" i="26"/>
  <c r="M129" i="26"/>
  <c r="BC51" i="45"/>
  <c r="BC75" i="45" s="1"/>
  <c r="BC77" i="45" s="1"/>
  <c r="BC79" i="45" s="1"/>
  <c r="M54" i="26"/>
  <c r="BD26" i="45"/>
  <c r="R7" i="26"/>
  <c r="S26" i="50"/>
  <c r="DP26" i="50" s="1"/>
  <c r="I26" i="50"/>
  <c r="S101" i="45" l="1"/>
  <c r="DP101" i="45" s="1"/>
  <c r="S22" i="50"/>
  <c r="U22" i="50"/>
  <c r="T22" i="50"/>
  <c r="V22" i="50"/>
  <c r="J129" i="26"/>
  <c r="BD51" i="45"/>
  <c r="BD75" i="45" s="1"/>
  <c r="BD77" i="45" s="1"/>
  <c r="BD79" i="45" s="1"/>
  <c r="BE26" i="45"/>
  <c r="BE51" i="45" l="1"/>
  <c r="BE75" i="45" s="1"/>
  <c r="BE77" i="45" s="1"/>
  <c r="BE79" i="45" s="1"/>
  <c r="BF26" i="45"/>
  <c r="BF51" i="45" l="1"/>
  <c r="S129" i="26"/>
  <c r="DB52" i="47"/>
  <c r="BG26" i="45"/>
  <c r="BF75" i="45" l="1"/>
  <c r="BF77" i="45" s="1"/>
  <c r="BF79" i="45" s="1"/>
  <c r="P8" i="96" s="1"/>
  <c r="M79" i="26"/>
  <c r="BG51" i="45"/>
  <c r="BH26" i="45"/>
  <c r="S126" i="26"/>
  <c r="M103" i="26" l="1"/>
  <c r="M105" i="26" s="1"/>
  <c r="M107" i="26" s="1"/>
  <c r="L175" i="26" s="1"/>
  <c r="L176" i="26" s="1"/>
  <c r="BG75" i="45"/>
  <c r="BG77" i="45" s="1"/>
  <c r="BG79" i="45" s="1"/>
  <c r="BH51" i="45"/>
  <c r="BH75" i="45" s="1"/>
  <c r="BH77" i="45" s="1"/>
  <c r="BH79" i="45" s="1"/>
  <c r="BI26" i="45"/>
  <c r="BI51" i="45" l="1"/>
  <c r="BI75" i="45" s="1"/>
  <c r="BI77" i="45" s="1"/>
  <c r="BI79" i="45" s="1"/>
  <c r="BJ26" i="45"/>
  <c r="BJ51" i="45" l="1"/>
  <c r="BJ75" i="45" s="1"/>
  <c r="BJ77" i="45" s="1"/>
  <c r="BJ79" i="45" s="1"/>
  <c r="BK26" i="45"/>
  <c r="BK51" i="45" l="1"/>
  <c r="BK75" i="45" s="1"/>
  <c r="BK77" i="45" s="1"/>
  <c r="BK79" i="45" s="1"/>
  <c r="BL26" i="45"/>
  <c r="BL51" i="45" l="1"/>
  <c r="BL75" i="45" s="1"/>
  <c r="BL77" i="45" s="1"/>
  <c r="BL79" i="45" s="1"/>
  <c r="BM26" i="45"/>
  <c r="BM51" i="45" l="1"/>
  <c r="BM75" i="45" s="1"/>
  <c r="BM77" i="45" s="1"/>
  <c r="BM79" i="45" s="1"/>
  <c r="BN26" i="45"/>
  <c r="G10" i="26"/>
  <c r="G20" i="44"/>
  <c r="G105" i="45"/>
  <c r="BF105" i="45" l="1"/>
  <c r="BR105" i="45"/>
  <c r="CD105" i="45"/>
  <c r="CP105" i="45"/>
  <c r="DB105" i="45"/>
  <c r="DN105" i="45"/>
  <c r="DN106" i="45" s="1"/>
  <c r="DN110" i="45" s="1"/>
  <c r="DL9" i="71" s="1"/>
  <c r="BS105" i="45"/>
  <c r="CQ105" i="45"/>
  <c r="BH105" i="45"/>
  <c r="CR105" i="45"/>
  <c r="DD105" i="45"/>
  <c r="DD106" i="45" s="1"/>
  <c r="DD110" i="45" s="1"/>
  <c r="DB9" i="71" s="1"/>
  <c r="BG105" i="45"/>
  <c r="CE105" i="45"/>
  <c r="DC105" i="45"/>
  <c r="BT105" i="45"/>
  <c r="CF105" i="45"/>
  <c r="BI105" i="45"/>
  <c r="BU105" i="45"/>
  <c r="BU106" i="45" s="1"/>
  <c r="BU110" i="45" s="1"/>
  <c r="BS9" i="71" s="1"/>
  <c r="CG105" i="45"/>
  <c r="CG106" i="45" s="1"/>
  <c r="CG110" i="45" s="1"/>
  <c r="CE9" i="71" s="1"/>
  <c r="CS105" i="45"/>
  <c r="CS106" i="45" s="1"/>
  <c r="CS110" i="45" s="1"/>
  <c r="CQ9" i="71" s="1"/>
  <c r="DE105" i="45"/>
  <c r="DE106" i="45" s="1"/>
  <c r="DE110" i="45" s="1"/>
  <c r="DC9" i="71" s="1"/>
  <c r="BJ105" i="45"/>
  <c r="BV105" i="45"/>
  <c r="BV106" i="45" s="1"/>
  <c r="BV110" i="45" s="1"/>
  <c r="BT9" i="71" s="1"/>
  <c r="CH105" i="45"/>
  <c r="CH106" i="45" s="1"/>
  <c r="CH110" i="45" s="1"/>
  <c r="CF9" i="71" s="1"/>
  <c r="CT105" i="45"/>
  <c r="DF105" i="45"/>
  <c r="BK105" i="45"/>
  <c r="BW105" i="45"/>
  <c r="CI105" i="45"/>
  <c r="CU105" i="45"/>
  <c r="CU106" i="45" s="1"/>
  <c r="CU110" i="45" s="1"/>
  <c r="CS9" i="71" s="1"/>
  <c r="DG105" i="45"/>
  <c r="CK105" i="45"/>
  <c r="CK106" i="45" s="1"/>
  <c r="CK110" i="45" s="1"/>
  <c r="CI9" i="71" s="1"/>
  <c r="DI105" i="45"/>
  <c r="DI106" i="45" s="1"/>
  <c r="DI110" i="45" s="1"/>
  <c r="DG9" i="71" s="1"/>
  <c r="DA105" i="45"/>
  <c r="DA106" i="45" s="1"/>
  <c r="DA110" i="45" s="1"/>
  <c r="CY9" i="71" s="1"/>
  <c r="BL105" i="45"/>
  <c r="BX105" i="45"/>
  <c r="BX106" i="45" s="1"/>
  <c r="BX110" i="45" s="1"/>
  <c r="BV9" i="71" s="1"/>
  <c r="CJ105" i="45"/>
  <c r="CV105" i="45"/>
  <c r="DH105" i="45"/>
  <c r="BY105" i="45"/>
  <c r="CO105" i="45"/>
  <c r="BM105" i="45"/>
  <c r="CW105" i="45"/>
  <c r="CW106" i="45" s="1"/>
  <c r="CW110" i="45" s="1"/>
  <c r="CU9" i="71" s="1"/>
  <c r="DM105" i="45"/>
  <c r="DM106" i="45" s="1"/>
  <c r="DM110" i="45" s="1"/>
  <c r="DK9" i="71" s="1"/>
  <c r="BN105" i="45"/>
  <c r="BZ105" i="45"/>
  <c r="BZ106" i="45" s="1"/>
  <c r="BZ110" i="45" s="1"/>
  <c r="BX9" i="71" s="1"/>
  <c r="CL105" i="45"/>
  <c r="CL106" i="45" s="1"/>
  <c r="CL110" i="45" s="1"/>
  <c r="CJ9" i="71" s="1"/>
  <c r="CX105" i="45"/>
  <c r="CX106" i="45" s="1"/>
  <c r="CX110" i="45" s="1"/>
  <c r="CV9" i="71" s="1"/>
  <c r="DJ105" i="45"/>
  <c r="BP105" i="45"/>
  <c r="BQ105" i="45"/>
  <c r="BO105" i="45"/>
  <c r="CA105" i="45"/>
  <c r="CM105" i="45"/>
  <c r="CY105" i="45"/>
  <c r="DK105" i="45"/>
  <c r="DK106" i="45" s="1"/>
  <c r="DK110" i="45" s="1"/>
  <c r="DI9" i="71" s="1"/>
  <c r="CB105" i="45"/>
  <c r="CB106" i="45" s="1"/>
  <c r="CB110" i="45" s="1"/>
  <c r="BZ9" i="71" s="1"/>
  <c r="CN105" i="45"/>
  <c r="CZ105" i="45"/>
  <c r="CZ106" i="45" s="1"/>
  <c r="CZ110" i="45" s="1"/>
  <c r="CX9" i="71" s="1"/>
  <c r="DL105" i="45"/>
  <c r="DL106" i="45" s="1"/>
  <c r="DL110" i="45" s="1"/>
  <c r="DJ9" i="71" s="1"/>
  <c r="CC105" i="45"/>
  <c r="L105" i="45"/>
  <c r="O105" i="45"/>
  <c r="Q105" i="45"/>
  <c r="R105" i="45"/>
  <c r="N105" i="45"/>
  <c r="P105" i="45"/>
  <c r="M105" i="45"/>
  <c r="K105" i="45"/>
  <c r="BN51" i="45"/>
  <c r="BN75" i="45" s="1"/>
  <c r="BN77" i="45" s="1"/>
  <c r="BN79" i="45" s="1"/>
  <c r="DJ106" i="45"/>
  <c r="DJ110" i="45" s="1"/>
  <c r="DH9" i="71" s="1"/>
  <c r="DG106" i="45"/>
  <c r="DG110" i="45" s="1"/>
  <c r="DE9" i="71" s="1"/>
  <c r="CV106" i="45"/>
  <c r="CV110" i="45" s="1"/>
  <c r="CT9" i="71" s="1"/>
  <c r="CT106" i="45"/>
  <c r="CT110" i="45" s="1"/>
  <c r="CR9" i="71" s="1"/>
  <c r="DH106" i="45"/>
  <c r="DH110" i="45" s="1"/>
  <c r="DF9" i="71" s="1"/>
  <c r="DF106" i="45"/>
  <c r="DF110" i="45" s="1"/>
  <c r="DD9" i="71" s="1"/>
  <c r="DB106" i="45"/>
  <c r="DB110" i="45" s="1"/>
  <c r="CZ9" i="71" s="1"/>
  <c r="CO106" i="45"/>
  <c r="CO110" i="45" s="1"/>
  <c r="CM9" i="71" s="1"/>
  <c r="CP106" i="45"/>
  <c r="CP110" i="45" s="1"/>
  <c r="CN9" i="71" s="1"/>
  <c r="CR106" i="45"/>
  <c r="CR110" i="45" s="1"/>
  <c r="CP9" i="71" s="1"/>
  <c r="BO26" i="45"/>
  <c r="CC106" i="45"/>
  <c r="CC110" i="45" s="1"/>
  <c r="CA9" i="71" s="1"/>
  <c r="BW106" i="45"/>
  <c r="BW110" i="45" s="1"/>
  <c r="BU9" i="71" s="1"/>
  <c r="BR106" i="45"/>
  <c r="BR110" i="45" s="1"/>
  <c r="BP9" i="71" s="1"/>
  <c r="BY106" i="45"/>
  <c r="BY110" i="45" s="1"/>
  <c r="BW9" i="71" s="1"/>
  <c r="BT106" i="45"/>
  <c r="BT110" i="45" s="1"/>
  <c r="BR9" i="71" s="1"/>
  <c r="CD106" i="45"/>
  <c r="CD110" i="45" s="1"/>
  <c r="CB9" i="71" s="1"/>
  <c r="CJ106" i="45"/>
  <c r="CJ110" i="45" s="1"/>
  <c r="CH9" i="71" s="1"/>
  <c r="BQ106" i="45"/>
  <c r="BQ110" i="45" s="1"/>
  <c r="BO9" i="71" s="1"/>
  <c r="CF106" i="45"/>
  <c r="CF110" i="45" s="1"/>
  <c r="CD9" i="71" s="1"/>
  <c r="BP106" i="45"/>
  <c r="BP110" i="45" s="1"/>
  <c r="BN9" i="71" s="1"/>
  <c r="CI106" i="45"/>
  <c r="CI110" i="45" s="1"/>
  <c r="CG9" i="71" s="1"/>
  <c r="N54" i="26"/>
  <c r="CQ106" i="45" l="1"/>
  <c r="CQ110" i="45" s="1"/>
  <c r="CO9" i="71" s="1"/>
  <c r="Q133" i="26"/>
  <c r="Q134" i="26" s="1"/>
  <c r="BS106" i="45"/>
  <c r="BS110" i="45" s="1"/>
  <c r="BQ9" i="71" s="1"/>
  <c r="O133" i="26"/>
  <c r="O134" i="26" s="1"/>
  <c r="DC106" i="45"/>
  <c r="DC110" i="45" s="1"/>
  <c r="DA9" i="71" s="1"/>
  <c r="R133" i="26"/>
  <c r="R134" i="26" s="1"/>
  <c r="CE106" i="45"/>
  <c r="CE110" i="45" s="1"/>
  <c r="CC9" i="71" s="1"/>
  <c r="N133" i="26"/>
  <c r="N134" i="26" s="1"/>
  <c r="BO51" i="45"/>
  <c r="BO75" i="45" s="1"/>
  <c r="BO77" i="45" s="1"/>
  <c r="BO79" i="45" s="1"/>
  <c r="CY106" i="45"/>
  <c r="CY110" i="45" s="1"/>
  <c r="CW9" i="71" s="1"/>
  <c r="CM106" i="45"/>
  <c r="CM110" i="45" s="1"/>
  <c r="CK9" i="71" s="1"/>
  <c r="BP26" i="45"/>
  <c r="BO106" i="45"/>
  <c r="CA106" i="45"/>
  <c r="BP51" i="45" l="1"/>
  <c r="BP75" i="45" s="1"/>
  <c r="BP77" i="45" s="1"/>
  <c r="BP79" i="45" s="1"/>
  <c r="R138" i="26"/>
  <c r="BQ26" i="45"/>
  <c r="CA110" i="45"/>
  <c r="BY9" i="71" s="1"/>
  <c r="BO110" i="45"/>
  <c r="BM9" i="71" s="1"/>
  <c r="O138" i="26"/>
  <c r="BQ51" i="45" l="1"/>
  <c r="BQ75" i="45" s="1"/>
  <c r="BQ77" i="45" s="1"/>
  <c r="BQ79" i="45" s="1"/>
  <c r="BR26" i="45"/>
  <c r="BS26" i="45"/>
  <c r="K5" i="26"/>
  <c r="BS51" i="45" l="1"/>
  <c r="BR51" i="45"/>
  <c r="G155" i="45"/>
  <c r="G140" i="45"/>
  <c r="G153" i="45"/>
  <c r="G152" i="45"/>
  <c r="G72" i="47"/>
  <c r="G98" i="47"/>
  <c r="DN3" i="47"/>
  <c r="BS75" i="45" l="1"/>
  <c r="BS77" i="45" s="1"/>
  <c r="BS79" i="45" s="1"/>
  <c r="BR75" i="45"/>
  <c r="BR77" i="45" s="1"/>
  <c r="BR79" i="45" s="1"/>
  <c r="AB8" i="96" s="1"/>
  <c r="N79" i="26"/>
  <c r="BT26" i="45"/>
  <c r="BU26" i="45"/>
  <c r="L28" i="46"/>
  <c r="G146" i="45"/>
  <c r="N103" i="26" l="1"/>
  <c r="N105" i="26" s="1"/>
  <c r="N107" i="26" s="1"/>
  <c r="M175" i="26" s="1"/>
  <c r="M176" i="26" s="1"/>
  <c r="BU51" i="45"/>
  <c r="BU75" i="45" s="1"/>
  <c r="BU77" i="45" s="1"/>
  <c r="BU79" i="45" s="1"/>
  <c r="BT51" i="45"/>
  <c r="D117" i="45"/>
  <c r="C116" i="45"/>
  <c r="C120" i="45"/>
  <c r="D106" i="45"/>
  <c r="D108" i="45"/>
  <c r="E98" i="45"/>
  <c r="E97" i="45"/>
  <c r="D96" i="45"/>
  <c r="G8" i="26"/>
  <c r="I15" i="47" s="1"/>
  <c r="K84" i="45" s="1"/>
  <c r="G7" i="26"/>
  <c r="G13" i="44"/>
  <c r="G5" i="44"/>
  <c r="BT75" i="45" l="1"/>
  <c r="BT77" i="45" s="1"/>
  <c r="BT79" i="45" s="1"/>
  <c r="BV26" i="45"/>
  <c r="BW26" i="45"/>
  <c r="I8" i="47"/>
  <c r="BW51" i="45" l="1"/>
  <c r="BW75" i="45" s="1"/>
  <c r="BW77" i="45" s="1"/>
  <c r="BW79" i="45" s="1"/>
  <c r="BV51" i="45"/>
  <c r="I14" i="71"/>
  <c r="K83" i="45"/>
  <c r="K90" i="45"/>
  <c r="I15" i="71"/>
  <c r="I7" i="71"/>
  <c r="L90" i="45" l="1"/>
  <c r="M90" i="45" s="1"/>
  <c r="N90" i="45" s="1"/>
  <c r="O90" i="45" s="1"/>
  <c r="P90" i="45" s="1"/>
  <c r="Q90" i="45" s="1"/>
  <c r="R90" i="45" s="1"/>
  <c r="S90" i="45" s="1"/>
  <c r="BV75" i="45"/>
  <c r="BV77" i="45" s="1"/>
  <c r="BV79" i="45" s="1"/>
  <c r="BX26" i="45"/>
  <c r="BX51" i="45" l="1"/>
  <c r="BY26" i="45"/>
  <c r="T90" i="45"/>
  <c r="U90" i="45" s="1"/>
  <c r="V90" i="45" s="1"/>
  <c r="W90" i="45" s="1"/>
  <c r="X90" i="45" l="1"/>
  <c r="Y90" i="45" s="1"/>
  <c r="Z90" i="45" s="1"/>
  <c r="AA90" i="45" s="1"/>
  <c r="AB90" i="45" s="1"/>
  <c r="AC90" i="45" s="1"/>
  <c r="AD90" i="45" s="1"/>
  <c r="AE90" i="45" s="1"/>
  <c r="J118" i="26"/>
  <c r="BX75" i="45"/>
  <c r="BX77" i="45" s="1"/>
  <c r="BX79" i="45" s="1"/>
  <c r="BY51" i="45"/>
  <c r="BY75" i="45" s="1"/>
  <c r="BY77" i="45" s="1"/>
  <c r="BY79" i="45" s="1"/>
  <c r="BZ26" i="45"/>
  <c r="BZ51" i="45" s="1"/>
  <c r="BZ75" i="45" s="1"/>
  <c r="BZ77" i="45" s="1"/>
  <c r="O54" i="26"/>
  <c r="AF90" i="45"/>
  <c r="AG90" i="45" s="1"/>
  <c r="AH90" i="45" s="1"/>
  <c r="AI90" i="45" s="1"/>
  <c r="AJ90" i="45" l="1"/>
  <c r="AK90" i="45" s="1"/>
  <c r="AL90" i="45" s="1"/>
  <c r="AM90" i="45" s="1"/>
  <c r="AN90" i="45" s="1"/>
  <c r="AO90" i="45" s="1"/>
  <c r="AP90" i="45" s="1"/>
  <c r="K118" i="26"/>
  <c r="BZ79" i="45"/>
  <c r="CA26" i="45"/>
  <c r="AQ90" i="45"/>
  <c r="CA51" i="45" l="1"/>
  <c r="CA75" i="45" s="1"/>
  <c r="CA77" i="45" s="1"/>
  <c r="CA79" i="45" s="1"/>
  <c r="CB26" i="45"/>
  <c r="AR90" i="45"/>
  <c r="CB51" i="45" l="1"/>
  <c r="CB75" i="45" s="1"/>
  <c r="CB77" i="45" s="1"/>
  <c r="CB79" i="45" s="1"/>
  <c r="CC26" i="45"/>
  <c r="AS90" i="45"/>
  <c r="CC51" i="45" l="1"/>
  <c r="CC75" i="45" s="1"/>
  <c r="CC77" i="45" s="1"/>
  <c r="CC79" i="45" s="1"/>
  <c r="CD26" i="45"/>
  <c r="AT90" i="45"/>
  <c r="L118" i="26" s="1"/>
  <c r="CD51" i="45" l="1"/>
  <c r="CE26" i="45"/>
  <c r="AU90" i="45"/>
  <c r="CD75" i="45" l="1"/>
  <c r="CD77" i="45" s="1"/>
  <c r="CD79" i="45" s="1"/>
  <c r="AN8" i="96" s="1"/>
  <c r="AN9" i="96" s="1"/>
  <c r="AN10" i="96" s="1"/>
  <c r="AN11" i="96" s="1"/>
  <c r="AN12" i="96" s="1"/>
  <c r="AO12" i="96" s="1"/>
  <c r="O79" i="26"/>
  <c r="O103" i="26" s="1"/>
  <c r="O105" i="26" s="1"/>
  <c r="O107" i="26" s="1"/>
  <c r="N175" i="26" s="1"/>
  <c r="N176" i="26" s="1"/>
  <c r="CE51" i="45"/>
  <c r="CF26" i="45"/>
  <c r="AV90" i="45"/>
  <c r="AN15" i="96" l="1"/>
  <c r="BR112" i="45" s="1"/>
  <c r="BP31" i="47" s="1"/>
  <c r="AO15" i="96"/>
  <c r="BS112" i="45" s="1"/>
  <c r="BQ31" i="47" s="1"/>
  <c r="AP12" i="96"/>
  <c r="CE75" i="45"/>
  <c r="CE77" i="45" s="1"/>
  <c r="CE79" i="45" s="1"/>
  <c r="CF51" i="45"/>
  <c r="CF75" i="45" s="1"/>
  <c r="CF77" i="45" s="1"/>
  <c r="CF79" i="45" s="1"/>
  <c r="CG26" i="45"/>
  <c r="AW90" i="45"/>
  <c r="G22" i="9"/>
  <c r="F22" i="9"/>
  <c r="A1" i="11"/>
  <c r="B6" i="11"/>
  <c r="C10" i="11"/>
  <c r="E10" i="11"/>
  <c r="G10" i="11"/>
  <c r="I10" i="11"/>
  <c r="C11" i="11"/>
  <c r="E11" i="11"/>
  <c r="G11" i="11"/>
  <c r="I11" i="11"/>
  <c r="C12" i="11"/>
  <c r="E12" i="11"/>
  <c r="G12" i="11"/>
  <c r="I12" i="11"/>
  <c r="C13" i="11"/>
  <c r="E13" i="11"/>
  <c r="G13" i="11"/>
  <c r="I13" i="11"/>
  <c r="C14" i="11"/>
  <c r="E14" i="11"/>
  <c r="G14" i="11"/>
  <c r="I14" i="11"/>
  <c r="C15" i="11"/>
  <c r="E15" i="11"/>
  <c r="G15" i="11"/>
  <c r="I15" i="11"/>
  <c r="C16" i="11"/>
  <c r="E16" i="11"/>
  <c r="G16" i="11"/>
  <c r="I16" i="11"/>
  <c r="C17" i="11"/>
  <c r="E17" i="11"/>
  <c r="G17" i="11"/>
  <c r="I17" i="11"/>
  <c r="B18" i="11"/>
  <c r="C18" i="11" s="1"/>
  <c r="D18" i="11"/>
  <c r="E18" i="11" s="1"/>
  <c r="F18" i="11"/>
  <c r="G18" i="11" s="1"/>
  <c r="H18" i="11"/>
  <c r="I18" i="11" s="1"/>
  <c r="C21" i="11"/>
  <c r="E21" i="11"/>
  <c r="G21" i="11"/>
  <c r="I21" i="11"/>
  <c r="C22" i="11"/>
  <c r="D22" i="11"/>
  <c r="E22" i="11" s="1"/>
  <c r="G22" i="11"/>
  <c r="I22" i="11"/>
  <c r="C23" i="11"/>
  <c r="E23" i="11"/>
  <c r="G23" i="11"/>
  <c r="I23" i="11"/>
  <c r="C24" i="11"/>
  <c r="E24" i="11"/>
  <c r="G24" i="11"/>
  <c r="I24" i="11"/>
  <c r="C25" i="11"/>
  <c r="E25" i="11"/>
  <c r="G25" i="11"/>
  <c r="I25" i="11"/>
  <c r="C26" i="11"/>
  <c r="E26" i="11"/>
  <c r="G26" i="11"/>
  <c r="I26" i="11"/>
  <c r="C27" i="11"/>
  <c r="E27" i="11"/>
  <c r="G27" i="11"/>
  <c r="I27" i="11"/>
  <c r="C28" i="11"/>
  <c r="E28" i="11"/>
  <c r="G28" i="11"/>
  <c r="I28" i="11"/>
  <c r="C29" i="11"/>
  <c r="E29" i="11"/>
  <c r="G29" i="11"/>
  <c r="I29" i="11"/>
  <c r="C30" i="11"/>
  <c r="E30" i="11"/>
  <c r="G30" i="11"/>
  <c r="I30" i="11"/>
  <c r="B31" i="11"/>
  <c r="C31" i="11" s="1"/>
  <c r="F31" i="11"/>
  <c r="G31" i="11" s="1"/>
  <c r="H31" i="11"/>
  <c r="I31" i="11" s="1"/>
  <c r="C33" i="11"/>
  <c r="E33" i="11"/>
  <c r="G33" i="11"/>
  <c r="I33" i="11"/>
  <c r="C34" i="11"/>
  <c r="E34" i="11"/>
  <c r="G34" i="11"/>
  <c r="I34" i="11"/>
  <c r="C35" i="11"/>
  <c r="E35" i="11"/>
  <c r="G35" i="11"/>
  <c r="I35" i="11"/>
  <c r="C36" i="11"/>
  <c r="E36" i="11"/>
  <c r="G36" i="11"/>
  <c r="I36" i="11"/>
  <c r="B37" i="11"/>
  <c r="C37" i="11" s="1"/>
  <c r="D37" i="11"/>
  <c r="E37" i="11" s="1"/>
  <c r="F37" i="11"/>
  <c r="G37" i="11" s="1"/>
  <c r="H37" i="11"/>
  <c r="I37" i="11" s="1"/>
  <c r="D7" i="4"/>
  <c r="E7" i="4"/>
  <c r="F7" i="4"/>
  <c r="G7" i="4"/>
  <c r="H7" i="4"/>
  <c r="I7" i="4"/>
  <c r="J7" i="4"/>
  <c r="K7" i="4"/>
  <c r="L7" i="4"/>
  <c r="D8" i="4"/>
  <c r="E8" i="4"/>
  <c r="F8" i="4"/>
  <c r="G8" i="4"/>
  <c r="H8" i="4"/>
  <c r="I8" i="4"/>
  <c r="J8" i="4"/>
  <c r="K8" i="4"/>
  <c r="L8" i="4"/>
  <c r="D9" i="4"/>
  <c r="E9" i="4"/>
  <c r="F9" i="4"/>
  <c r="G9" i="4"/>
  <c r="H9" i="4"/>
  <c r="I9" i="4"/>
  <c r="J9" i="4"/>
  <c r="K9" i="4"/>
  <c r="L9" i="4"/>
  <c r="D10" i="4"/>
  <c r="E10" i="4"/>
  <c r="F10" i="4"/>
  <c r="G10" i="4"/>
  <c r="H10" i="4"/>
  <c r="I10" i="4"/>
  <c r="J10" i="4"/>
  <c r="K10" i="4"/>
  <c r="L10" i="4"/>
  <c r="D11" i="4"/>
  <c r="E11" i="4"/>
  <c r="F11" i="4"/>
  <c r="G11" i="4"/>
  <c r="H11" i="4"/>
  <c r="I11" i="4"/>
  <c r="J11" i="4"/>
  <c r="K11" i="4"/>
  <c r="L11" i="4"/>
  <c r="D12" i="4"/>
  <c r="E12" i="4"/>
  <c r="F12" i="4"/>
  <c r="G12" i="4"/>
  <c r="H12" i="4"/>
  <c r="I12" i="4"/>
  <c r="J12" i="4"/>
  <c r="K12" i="4"/>
  <c r="L12" i="4"/>
  <c r="D13" i="4"/>
  <c r="E13" i="4"/>
  <c r="F13" i="4"/>
  <c r="G13" i="4"/>
  <c r="H13" i="4"/>
  <c r="I13" i="4"/>
  <c r="J13" i="4"/>
  <c r="K13" i="4"/>
  <c r="L13" i="4"/>
  <c r="D14" i="4"/>
  <c r="E14" i="4"/>
  <c r="F14" i="4"/>
  <c r="G14" i="4"/>
  <c r="H14" i="4"/>
  <c r="I14" i="4"/>
  <c r="J14" i="4"/>
  <c r="K14" i="4"/>
  <c r="L14" i="4"/>
  <c r="D15" i="4"/>
  <c r="E15" i="4"/>
  <c r="F15" i="4"/>
  <c r="G15" i="4"/>
  <c r="H15" i="4"/>
  <c r="I15" i="4"/>
  <c r="J15" i="4"/>
  <c r="K15" i="4"/>
  <c r="L15" i="4"/>
  <c r="D16" i="4"/>
  <c r="E16" i="4"/>
  <c r="F16" i="4"/>
  <c r="G16" i="4"/>
  <c r="H16" i="4"/>
  <c r="I16" i="4"/>
  <c r="J16" i="4"/>
  <c r="K16" i="4"/>
  <c r="L16" i="4"/>
  <c r="C17" i="4"/>
  <c r="E19" i="4"/>
  <c r="F19" i="4" s="1"/>
  <c r="G19" i="4" s="1"/>
  <c r="H19" i="4" s="1"/>
  <c r="I19" i="4" s="1"/>
  <c r="J19" i="4" s="1"/>
  <c r="K19" i="4" s="1"/>
  <c r="L19" i="4" s="1"/>
  <c r="E20" i="4"/>
  <c r="F20" i="4" s="1"/>
  <c r="G20" i="4" s="1"/>
  <c r="H20" i="4" s="1"/>
  <c r="I20" i="4" s="1"/>
  <c r="J20" i="4" s="1"/>
  <c r="K20" i="4" s="1"/>
  <c r="L20" i="4" s="1"/>
  <c r="D21" i="4"/>
  <c r="E21" i="4"/>
  <c r="F21" i="4"/>
  <c r="G21" i="4"/>
  <c r="H21" i="4"/>
  <c r="I21" i="4"/>
  <c r="J21" i="4"/>
  <c r="K21" i="4"/>
  <c r="L21" i="4"/>
  <c r="A24" i="4"/>
  <c r="B24" i="4"/>
  <c r="C24" i="4"/>
  <c r="A25" i="4"/>
  <c r="B25" i="4"/>
  <c r="C25" i="4"/>
  <c r="A26" i="4"/>
  <c r="B26" i="4"/>
  <c r="C26" i="4"/>
  <c r="A27" i="4"/>
  <c r="B27" i="4"/>
  <c r="C27" i="4"/>
  <c r="A28" i="4"/>
  <c r="B28" i="4"/>
  <c r="C28" i="4"/>
  <c r="A29" i="4"/>
  <c r="B29" i="4"/>
  <c r="C29" i="4"/>
  <c r="A30" i="4"/>
  <c r="B30" i="4"/>
  <c r="C30" i="4"/>
  <c r="A31" i="4"/>
  <c r="B31" i="4"/>
  <c r="C31" i="4"/>
  <c r="A32" i="4"/>
  <c r="B32" i="4"/>
  <c r="C32" i="4"/>
  <c r="A33" i="4"/>
  <c r="B33" i="4"/>
  <c r="C33" i="4"/>
  <c r="D35" i="4"/>
  <c r="E35" i="4"/>
  <c r="F35" i="4"/>
  <c r="G35" i="4"/>
  <c r="H35" i="4"/>
  <c r="H36" i="4" s="1"/>
  <c r="I35" i="4"/>
  <c r="J35" i="4"/>
  <c r="K35" i="4"/>
  <c r="L35" i="4"/>
  <c r="E3" i="9"/>
  <c r="D3" i="10" s="1"/>
  <c r="F3" i="9"/>
  <c r="E3" i="10" s="1"/>
  <c r="G3" i="9"/>
  <c r="F3" i="10" s="1"/>
  <c r="H3" i="9"/>
  <c r="G3" i="10" s="1"/>
  <c r="I3" i="9"/>
  <c r="H3" i="10" s="1"/>
  <c r="J3" i="9"/>
  <c r="I3" i="10" s="1"/>
  <c r="K3" i="9"/>
  <c r="J3" i="10" s="1"/>
  <c r="L3" i="9"/>
  <c r="K3" i="10" s="1"/>
  <c r="M3" i="9"/>
  <c r="L3" i="10" s="1"/>
  <c r="A7" i="10"/>
  <c r="B7" i="10"/>
  <c r="C7" i="10"/>
  <c r="A8" i="10"/>
  <c r="B8" i="10"/>
  <c r="C8" i="10"/>
  <c r="A9" i="10"/>
  <c r="B9" i="10"/>
  <c r="C9" i="10"/>
  <c r="A10" i="10"/>
  <c r="C10" i="10"/>
  <c r="A11" i="10"/>
  <c r="B11" i="10"/>
  <c r="C11" i="10"/>
  <c r="A12" i="10"/>
  <c r="B12" i="10"/>
  <c r="C12" i="10"/>
  <c r="A13" i="10"/>
  <c r="B13" i="10"/>
  <c r="C13" i="10"/>
  <c r="A14" i="10"/>
  <c r="B14" i="10"/>
  <c r="C14" i="10"/>
  <c r="A15" i="10"/>
  <c r="B15" i="10"/>
  <c r="C15" i="10"/>
  <c r="A16" i="10"/>
  <c r="B16" i="10"/>
  <c r="C16" i="10"/>
  <c r="E19" i="10"/>
  <c r="F19" i="10" s="1"/>
  <c r="G19" i="10" s="1"/>
  <c r="H19" i="10" s="1"/>
  <c r="I19" i="10" s="1"/>
  <c r="J19" i="10" s="1"/>
  <c r="K19" i="10" s="1"/>
  <c r="L19" i="10" s="1"/>
  <c r="E20" i="10"/>
  <c r="F20" i="10" s="1"/>
  <c r="G20" i="10" s="1"/>
  <c r="H20" i="10" s="1"/>
  <c r="I20" i="10" s="1"/>
  <c r="J20" i="10" s="1"/>
  <c r="K20" i="10" s="1"/>
  <c r="L20" i="10" s="1"/>
  <c r="D21" i="10"/>
  <c r="E21" i="10"/>
  <c r="F21" i="10"/>
  <c r="G21" i="10"/>
  <c r="H21" i="10"/>
  <c r="I21" i="10"/>
  <c r="J21" i="10"/>
  <c r="K21" i="10"/>
  <c r="L21" i="10"/>
  <c r="A9" i="9"/>
  <c r="C9" i="9"/>
  <c r="D9" i="9"/>
  <c r="E9" i="9"/>
  <c r="F9" i="9"/>
  <c r="G9" i="9"/>
  <c r="H9" i="9"/>
  <c r="I9" i="9"/>
  <c r="J9" i="9"/>
  <c r="K9" i="9"/>
  <c r="L9" i="9"/>
  <c r="M9" i="9"/>
  <c r="A10" i="9"/>
  <c r="C10" i="9"/>
  <c r="D10" i="9"/>
  <c r="E10" i="9"/>
  <c r="F10" i="9"/>
  <c r="G10" i="9"/>
  <c r="H10" i="9"/>
  <c r="I10" i="9"/>
  <c r="J10" i="9"/>
  <c r="K10" i="9"/>
  <c r="L10" i="9"/>
  <c r="M10" i="9"/>
  <c r="A11" i="9"/>
  <c r="C11" i="9"/>
  <c r="D11" i="9"/>
  <c r="E11" i="9"/>
  <c r="F11" i="9"/>
  <c r="G11" i="9"/>
  <c r="H11" i="9"/>
  <c r="I11" i="9"/>
  <c r="J11" i="9"/>
  <c r="K11" i="9"/>
  <c r="L11" i="9"/>
  <c r="M11" i="9"/>
  <c r="A12" i="9"/>
  <c r="D12" i="9"/>
  <c r="E12" i="9"/>
  <c r="F12" i="9"/>
  <c r="G12" i="9"/>
  <c r="H12" i="9"/>
  <c r="I12" i="9"/>
  <c r="J12" i="9"/>
  <c r="K12" i="9"/>
  <c r="L12" i="9"/>
  <c r="M12" i="9"/>
  <c r="A13" i="9"/>
  <c r="C13" i="9"/>
  <c r="D13" i="9"/>
  <c r="E13" i="9"/>
  <c r="F13" i="9"/>
  <c r="G13" i="9"/>
  <c r="H13" i="9"/>
  <c r="I13" i="9"/>
  <c r="J13" i="9"/>
  <c r="K13" i="9"/>
  <c r="L13" i="9"/>
  <c r="M13" i="9"/>
  <c r="A14" i="9"/>
  <c r="C14" i="9"/>
  <c r="D14" i="9"/>
  <c r="E14" i="9"/>
  <c r="F14" i="9"/>
  <c r="G14" i="9"/>
  <c r="H14" i="9"/>
  <c r="I14" i="9"/>
  <c r="J14" i="9"/>
  <c r="K14" i="9"/>
  <c r="L14" i="9"/>
  <c r="M14" i="9"/>
  <c r="A15" i="9"/>
  <c r="C15" i="9"/>
  <c r="D15" i="9"/>
  <c r="E15" i="9"/>
  <c r="F15" i="9"/>
  <c r="G15" i="9"/>
  <c r="H15" i="9"/>
  <c r="I15" i="9"/>
  <c r="J15" i="9"/>
  <c r="K15" i="9"/>
  <c r="L15" i="9"/>
  <c r="M15" i="9"/>
  <c r="A16" i="9"/>
  <c r="C16" i="9"/>
  <c r="D16" i="9"/>
  <c r="E16" i="9"/>
  <c r="F16" i="9"/>
  <c r="G16" i="9"/>
  <c r="H16" i="9"/>
  <c r="I16" i="9"/>
  <c r="J16" i="9"/>
  <c r="K16" i="9"/>
  <c r="L16" i="9"/>
  <c r="M16" i="9"/>
  <c r="A17" i="9"/>
  <c r="C17" i="9"/>
  <c r="D17" i="9"/>
  <c r="E17" i="9"/>
  <c r="F17" i="9"/>
  <c r="G17" i="9"/>
  <c r="H17" i="9"/>
  <c r="I17" i="9"/>
  <c r="J17" i="9"/>
  <c r="K17" i="9"/>
  <c r="L17" i="9"/>
  <c r="M17" i="9"/>
  <c r="A18" i="9"/>
  <c r="C18" i="9"/>
  <c r="D18" i="9"/>
  <c r="E18" i="9"/>
  <c r="F18" i="9"/>
  <c r="G18" i="9"/>
  <c r="H18" i="9"/>
  <c r="I18" i="9"/>
  <c r="J18" i="9"/>
  <c r="K18" i="9"/>
  <c r="L18" i="9"/>
  <c r="M18" i="9"/>
  <c r="D3" i="8"/>
  <c r="E3" i="8"/>
  <c r="F3" i="8"/>
  <c r="G3" i="8"/>
  <c r="H3" i="8"/>
  <c r="I3" i="8"/>
  <c r="J3" i="8"/>
  <c r="K3" i="8"/>
  <c r="L3" i="8"/>
  <c r="A7" i="8"/>
  <c r="B7" i="8"/>
  <c r="AD7" i="8"/>
  <c r="G7" i="8" s="1"/>
  <c r="AI7" i="8"/>
  <c r="L7" i="8" s="1"/>
  <c r="AA7" i="8"/>
  <c r="AB7" i="8"/>
  <c r="AC7" i="8"/>
  <c r="AE7" i="8"/>
  <c r="AF7" i="8"/>
  <c r="AG7" i="8"/>
  <c r="AH7" i="8"/>
  <c r="A8" i="8"/>
  <c r="B8" i="8"/>
  <c r="AD8" i="8"/>
  <c r="G8" i="8" s="1"/>
  <c r="AI8" i="8"/>
  <c r="L8" i="8" s="1"/>
  <c r="AA8" i="8"/>
  <c r="AB8" i="8"/>
  <c r="AC8" i="8"/>
  <c r="AE8" i="8"/>
  <c r="AF8" i="8"/>
  <c r="AG8" i="8"/>
  <c r="AH8" i="8"/>
  <c r="A9" i="8"/>
  <c r="B9" i="8"/>
  <c r="AD9" i="8"/>
  <c r="G9" i="8" s="1"/>
  <c r="AI9" i="8"/>
  <c r="L9" i="8" s="1"/>
  <c r="AA9" i="8"/>
  <c r="AB9" i="8"/>
  <c r="AC9" i="8"/>
  <c r="AE9" i="8"/>
  <c r="AF9" i="8"/>
  <c r="AG9" i="8"/>
  <c r="AH9" i="8"/>
  <c r="A10" i="8"/>
  <c r="B10" i="8"/>
  <c r="AD10" i="8"/>
  <c r="G10" i="8" s="1"/>
  <c r="AI10" i="8"/>
  <c r="L10" i="8" s="1"/>
  <c r="AA10" i="8"/>
  <c r="AB10" i="8"/>
  <c r="AC10" i="8"/>
  <c r="AE10" i="8"/>
  <c r="AF10" i="8"/>
  <c r="AG10" i="8"/>
  <c r="AH10" i="8"/>
  <c r="A11" i="8"/>
  <c r="B11" i="8"/>
  <c r="AA11" i="8"/>
  <c r="D11" i="8" s="1"/>
  <c r="AG11" i="8"/>
  <c r="J11" i="8" s="1"/>
  <c r="AB11" i="8"/>
  <c r="AC11" i="8"/>
  <c r="AD11" i="8"/>
  <c r="AE11" i="8"/>
  <c r="AF11" i="8"/>
  <c r="AH11" i="8"/>
  <c r="AI11" i="8"/>
  <c r="A12" i="8"/>
  <c r="B12" i="8"/>
  <c r="AA12" i="8"/>
  <c r="D12" i="8" s="1"/>
  <c r="AF12" i="8"/>
  <c r="I12" i="8" s="1"/>
  <c r="AG12" i="8"/>
  <c r="J12" i="8" s="1"/>
  <c r="AB12" i="8"/>
  <c r="AC12" i="8"/>
  <c r="AD12" i="8"/>
  <c r="AE12" i="8"/>
  <c r="AH12" i="8"/>
  <c r="AI12" i="8"/>
  <c r="A13" i="8"/>
  <c r="B13" i="8"/>
  <c r="AA13" i="8"/>
  <c r="D13" i="8" s="1"/>
  <c r="AB13" i="8"/>
  <c r="E13" i="8" s="1"/>
  <c r="AG13" i="8"/>
  <c r="J13" i="8" s="1"/>
  <c r="AC13" i="8"/>
  <c r="AD13" i="8"/>
  <c r="AE13" i="8"/>
  <c r="AF13" i="8"/>
  <c r="AH13" i="8"/>
  <c r="AI13" i="8"/>
  <c r="A14" i="8"/>
  <c r="B14" i="8"/>
  <c r="AA14" i="8"/>
  <c r="D14" i="8" s="1"/>
  <c r="AF14" i="8"/>
  <c r="I14" i="8" s="1"/>
  <c r="AB14" i="8"/>
  <c r="AC14" i="8"/>
  <c r="AD14" i="8"/>
  <c r="AE14" i="8"/>
  <c r="AG14" i="8"/>
  <c r="AH14" i="8"/>
  <c r="AI14" i="8"/>
  <c r="A15" i="8"/>
  <c r="B15" i="8"/>
  <c r="AA15" i="8"/>
  <c r="D15" i="8" s="1"/>
  <c r="AB15" i="8"/>
  <c r="E15" i="8" s="1"/>
  <c r="AG15" i="8"/>
  <c r="J15" i="8" s="1"/>
  <c r="AC15" i="8"/>
  <c r="AD15" i="8"/>
  <c r="AE15" i="8"/>
  <c r="AF15" i="8"/>
  <c r="AH15" i="8"/>
  <c r="AI15" i="8"/>
  <c r="A16" i="8"/>
  <c r="B16" i="8"/>
  <c r="AA16" i="8"/>
  <c r="D16" i="8" s="1"/>
  <c r="AB16" i="8"/>
  <c r="E16" i="8" s="1"/>
  <c r="AC16" i="8"/>
  <c r="F16" i="8" s="1"/>
  <c r="AH16" i="8"/>
  <c r="K16" i="8" s="1"/>
  <c r="AD16" i="8"/>
  <c r="AE16" i="8"/>
  <c r="AF16" i="8"/>
  <c r="AG16" i="8"/>
  <c r="AI16" i="8"/>
  <c r="E21" i="8"/>
  <c r="H21" i="8"/>
  <c r="D22" i="8"/>
  <c r="F22" i="8"/>
  <c r="G22" i="8"/>
  <c r="I22" i="8"/>
  <c r="J22" i="8"/>
  <c r="K22" i="8"/>
  <c r="D4" i="7"/>
  <c r="E4" i="7" s="1"/>
  <c r="F4" i="7" s="1"/>
  <c r="G4" i="7" s="1"/>
  <c r="H4" i="7" s="1"/>
  <c r="I4" i="7" s="1"/>
  <c r="J4" i="7" s="1"/>
  <c r="K4" i="7" s="1"/>
  <c r="L4" i="7" s="1"/>
  <c r="D5" i="7"/>
  <c r="E5" i="7" s="1"/>
  <c r="F5" i="7" s="1"/>
  <c r="G5" i="7" s="1"/>
  <c r="H5" i="7" s="1"/>
  <c r="I5" i="7" s="1"/>
  <c r="J5" i="7" s="1"/>
  <c r="K5" i="7" s="1"/>
  <c r="L5" i="7" s="1"/>
  <c r="A9" i="7"/>
  <c r="B9" i="7"/>
  <c r="C9" i="7"/>
  <c r="A10" i="7"/>
  <c r="B10" i="7"/>
  <c r="C10" i="7"/>
  <c r="D10" i="7" s="1"/>
  <c r="A11" i="7"/>
  <c r="B11" i="7"/>
  <c r="C11" i="7"/>
  <c r="D11" i="7" s="1"/>
  <c r="A12" i="7"/>
  <c r="C12" i="7"/>
  <c r="D12" i="7" s="1"/>
  <c r="B13" i="7"/>
  <c r="C13" i="7"/>
  <c r="D13" i="7" s="1"/>
  <c r="A14" i="7"/>
  <c r="B14" i="7"/>
  <c r="C14" i="7"/>
  <c r="D14" i="7" s="1"/>
  <c r="A15" i="7"/>
  <c r="B15" i="7"/>
  <c r="C15" i="7"/>
  <c r="D15" i="7" s="1"/>
  <c r="A16" i="7"/>
  <c r="B16" i="7"/>
  <c r="C16" i="7"/>
  <c r="D16" i="7" s="1"/>
  <c r="A17" i="7"/>
  <c r="B17" i="7"/>
  <c r="C17" i="7"/>
  <c r="D17" i="7" s="1"/>
  <c r="A18" i="7"/>
  <c r="B18" i="7"/>
  <c r="C18" i="7"/>
  <c r="D18" i="7" s="1"/>
  <c r="P23" i="7"/>
  <c r="Q23" i="7"/>
  <c r="R23" i="7"/>
  <c r="S23" i="7"/>
  <c r="T23" i="7"/>
  <c r="U23" i="7"/>
  <c r="V23" i="7"/>
  <c r="W23" i="7"/>
  <c r="X23" i="7"/>
  <c r="Y23" i="7"/>
  <c r="E8" i="6"/>
  <c r="F8" i="6" s="1"/>
  <c r="I8" i="6"/>
  <c r="J8" i="6" s="1"/>
  <c r="K8" i="6" s="1"/>
  <c r="L8" i="6" s="1"/>
  <c r="E9" i="6"/>
  <c r="F9" i="6" s="1"/>
  <c r="I9" i="6"/>
  <c r="J9" i="6" s="1"/>
  <c r="K9" i="6" s="1"/>
  <c r="E10" i="6"/>
  <c r="F10" i="6" s="1"/>
  <c r="I10" i="6"/>
  <c r="J10" i="6" s="1"/>
  <c r="K10" i="6" s="1"/>
  <c r="L10" i="6" s="1"/>
  <c r="B11" i="6"/>
  <c r="B12" i="7" s="1"/>
  <c r="E11" i="6"/>
  <c r="F11" i="6" s="1"/>
  <c r="I11" i="6"/>
  <c r="J11" i="6" s="1"/>
  <c r="K11" i="6" s="1"/>
  <c r="L11" i="6" s="1"/>
  <c r="S11" i="6"/>
  <c r="S7" i="6" s="1"/>
  <c r="E12" i="6"/>
  <c r="D12" i="6" s="1"/>
  <c r="I12" i="6"/>
  <c r="C20" i="6"/>
  <c r="C21" i="6"/>
  <c r="A54" i="6"/>
  <c r="A55" i="6"/>
  <c r="A56" i="6"/>
  <c r="A57" i="6"/>
  <c r="A58" i="6"/>
  <c r="A59" i="6"/>
  <c r="A60" i="6"/>
  <c r="A61" i="6"/>
  <c r="A62" i="6"/>
  <c r="A63" i="6"/>
  <c r="A64" i="6"/>
  <c r="C66" i="6"/>
  <c r="C15" i="12"/>
  <c r="C19" i="12"/>
  <c r="C20" i="12" s="1"/>
  <c r="C21" i="12" s="1"/>
  <c r="C32" i="12"/>
  <c r="AP15" i="96" l="1"/>
  <c r="BT112" i="45" s="1"/>
  <c r="BR31" i="47" s="1"/>
  <c r="AQ12" i="96"/>
  <c r="CG51" i="45"/>
  <c r="CG75" i="45" s="1"/>
  <c r="CG77" i="45" s="1"/>
  <c r="CG79" i="45" s="1"/>
  <c r="CH26" i="45"/>
  <c r="AX90" i="45"/>
  <c r="L27" i="4"/>
  <c r="G24" i="4"/>
  <c r="F13" i="7"/>
  <c r="I16" i="7"/>
  <c r="J29" i="4"/>
  <c r="E9" i="7"/>
  <c r="G9" i="7"/>
  <c r="K9" i="7"/>
  <c r="C17" i="10"/>
  <c r="D31" i="4"/>
  <c r="F38" i="11"/>
  <c r="G38" i="11" s="1"/>
  <c r="H38" i="11"/>
  <c r="I38" i="11" s="1"/>
  <c r="D31" i="11"/>
  <c r="E31" i="11" s="1"/>
  <c r="B38" i="11"/>
  <c r="C38" i="11" s="1"/>
  <c r="L18" i="4"/>
  <c r="L36" i="4" s="1"/>
  <c r="C22" i="6"/>
  <c r="C34" i="4"/>
  <c r="E32" i="4"/>
  <c r="J16" i="7"/>
  <c r="G14" i="7"/>
  <c r="K20" i="9"/>
  <c r="F16" i="7"/>
  <c r="I20" i="9"/>
  <c r="G20" i="9"/>
  <c r="G21" i="9" s="1"/>
  <c r="F17" i="7"/>
  <c r="J32" i="4"/>
  <c r="E30" i="4"/>
  <c r="M20" i="9"/>
  <c r="E20" i="9"/>
  <c r="H13" i="7"/>
  <c r="J13" i="7"/>
  <c r="S8" i="6"/>
  <c r="T8" i="6" s="1"/>
  <c r="U8" i="6" s="1"/>
  <c r="V8" i="6" s="1"/>
  <c r="J14" i="7"/>
  <c r="J18" i="7"/>
  <c r="K13" i="7"/>
  <c r="K33" i="4"/>
  <c r="L25" i="4"/>
  <c r="F18" i="4"/>
  <c r="F36" i="4" s="1"/>
  <c r="G27" i="4"/>
  <c r="L26" i="4"/>
  <c r="H18" i="4"/>
  <c r="D18" i="4"/>
  <c r="D36" i="4" s="1"/>
  <c r="F14" i="7"/>
  <c r="J15" i="7"/>
  <c r="J17" i="7"/>
  <c r="I14" i="7"/>
  <c r="I17" i="7"/>
  <c r="G12" i="7"/>
  <c r="G11" i="7"/>
  <c r="K10" i="7"/>
  <c r="D9" i="7"/>
  <c r="F33" i="4"/>
  <c r="I31" i="4"/>
  <c r="J30" i="4"/>
  <c r="J18" i="4"/>
  <c r="J36" i="4" s="1"/>
  <c r="G25" i="4"/>
  <c r="L24" i="4"/>
  <c r="H14" i="7"/>
  <c r="J20" i="9"/>
  <c r="F20" i="9"/>
  <c r="F21" i="9" s="1"/>
  <c r="K18" i="4"/>
  <c r="K36" i="4" s="1"/>
  <c r="G18" i="4"/>
  <c r="G36" i="4" s="1"/>
  <c r="J28" i="4"/>
  <c r="I18" i="4"/>
  <c r="I36" i="4" s="1"/>
  <c r="E18" i="4"/>
  <c r="E36" i="4" s="1"/>
  <c r="L14" i="7"/>
  <c r="E14" i="7"/>
  <c r="K12" i="7"/>
  <c r="K11" i="7"/>
  <c r="L20" i="9"/>
  <c r="H20" i="9"/>
  <c r="E28" i="4"/>
  <c r="G26" i="4"/>
  <c r="G10" i="7"/>
  <c r="E17" i="7"/>
  <c r="G16" i="7"/>
  <c r="I15" i="7"/>
  <c r="K14" i="7"/>
  <c r="I10" i="7"/>
  <c r="E10" i="7"/>
  <c r="J9" i="7"/>
  <c r="I13" i="7"/>
  <c r="I12" i="7"/>
  <c r="E12" i="7"/>
  <c r="I11" i="7"/>
  <c r="E11" i="7"/>
  <c r="F9" i="7"/>
  <c r="B17" i="8"/>
  <c r="J23" i="8" s="1"/>
  <c r="J12" i="6"/>
  <c r="K12" i="6" s="1"/>
  <c r="D20" i="6"/>
  <c r="C12" i="9"/>
  <c r="F15" i="7"/>
  <c r="F18" i="7"/>
  <c r="I20" i="6"/>
  <c r="I9" i="7"/>
  <c r="I18" i="7"/>
  <c r="B10" i="10"/>
  <c r="G18" i="7"/>
  <c r="E15" i="7"/>
  <c r="L12" i="7"/>
  <c r="J12" i="7"/>
  <c r="H12" i="7"/>
  <c r="F12" i="7"/>
  <c r="L11" i="7"/>
  <c r="J11" i="7"/>
  <c r="H11" i="7"/>
  <c r="F11" i="7"/>
  <c r="L10" i="7"/>
  <c r="J10" i="7"/>
  <c r="H10" i="7"/>
  <c r="F10" i="7"/>
  <c r="L9" i="7"/>
  <c r="H9" i="7"/>
  <c r="D19" i="9"/>
  <c r="D29" i="4"/>
  <c r="L13" i="7"/>
  <c r="H15" i="7"/>
  <c r="L15" i="7"/>
  <c r="H16" i="7"/>
  <c r="L16" i="7"/>
  <c r="H17" i="7"/>
  <c r="L17" i="7"/>
  <c r="H18" i="7"/>
  <c r="L18" i="7"/>
  <c r="E13" i="7"/>
  <c r="G13" i="7"/>
  <c r="E16" i="7"/>
  <c r="E18" i="7"/>
  <c r="C19" i="7"/>
  <c r="K18" i="7"/>
  <c r="K17" i="7"/>
  <c r="G17" i="7"/>
  <c r="K16" i="7"/>
  <c r="K15" i="7"/>
  <c r="G15" i="7"/>
  <c r="K22" i="9"/>
  <c r="E22" i="9"/>
  <c r="AR12" i="96" l="1"/>
  <c r="AQ15" i="96"/>
  <c r="BU112" i="45" s="1"/>
  <c r="BS31" i="47" s="1"/>
  <c r="CH51" i="45"/>
  <c r="CH75" i="45" s="1"/>
  <c r="CH77" i="45" s="1"/>
  <c r="CH79" i="45" s="1"/>
  <c r="CI26" i="45"/>
  <c r="AY90" i="45"/>
  <c r="F23" i="8"/>
  <c r="G6" i="9"/>
  <c r="G7" i="9" s="1"/>
  <c r="E23" i="8"/>
  <c r="L23" i="8"/>
  <c r="F6" i="9"/>
  <c r="F7" i="9" s="1"/>
  <c r="D38" i="11"/>
  <c r="E38" i="11" s="1"/>
  <c r="K20" i="7"/>
  <c r="K23" i="8"/>
  <c r="I23" i="8"/>
  <c r="H23" i="8"/>
  <c r="D23" i="8"/>
  <c r="G23" i="8"/>
  <c r="I20" i="7"/>
  <c r="H20" i="7"/>
  <c r="J20" i="6"/>
  <c r="K20" i="6" s="1"/>
  <c r="L20" i="6" s="1"/>
  <c r="H20" i="6"/>
  <c r="E20" i="6"/>
  <c r="F20" i="6" s="1"/>
  <c r="C23" i="6"/>
  <c r="G20" i="7"/>
  <c r="C11" i="12"/>
  <c r="F29" i="12" s="1"/>
  <c r="F27" i="12" s="1"/>
  <c r="K6" i="9"/>
  <c r="K7" i="9" s="1"/>
  <c r="K21" i="9"/>
  <c r="L20" i="7"/>
  <c r="D20" i="7"/>
  <c r="F20" i="7"/>
  <c r="E21" i="9"/>
  <c r="E6" i="9"/>
  <c r="E7" i="9" s="1"/>
  <c r="E20" i="7"/>
  <c r="J20" i="7"/>
  <c r="AS12" i="96" l="1"/>
  <c r="AR15" i="96"/>
  <c r="BV112" i="45" s="1"/>
  <c r="BT31" i="47" s="1"/>
  <c r="CI51" i="45"/>
  <c r="CI75" i="45" s="1"/>
  <c r="CI77" i="45" s="1"/>
  <c r="CI79" i="45" s="1"/>
  <c r="CJ26" i="45"/>
  <c r="AZ90" i="45"/>
  <c r="L21" i="7"/>
  <c r="E21" i="7"/>
  <c r="D21" i="7"/>
  <c r="I21" i="7"/>
  <c r="J21" i="7"/>
  <c r="H21" i="7"/>
  <c r="K21" i="7"/>
  <c r="F21" i="7"/>
  <c r="G21" i="7"/>
  <c r="AT12" i="96" l="1"/>
  <c r="AS15" i="96"/>
  <c r="BW112" i="45" s="1"/>
  <c r="BU31" i="47" s="1"/>
  <c r="CJ51" i="45"/>
  <c r="CJ75" i="45" s="1"/>
  <c r="CJ77" i="45" s="1"/>
  <c r="CJ79" i="45" s="1"/>
  <c r="CM26" i="45"/>
  <c r="CK26" i="45"/>
  <c r="CL26" i="45"/>
  <c r="BA90" i="45"/>
  <c r="AS11" i="50"/>
  <c r="AS97" i="45" s="1"/>
  <c r="W11" i="50"/>
  <c r="W97" i="45" s="1"/>
  <c r="BF106" i="45"/>
  <c r="BF110" i="45" s="1"/>
  <c r="BD9" i="71" s="1"/>
  <c r="AL11" i="50"/>
  <c r="AL97" i="45" s="1"/>
  <c r="X11" i="50"/>
  <c r="X97" i="45" s="1"/>
  <c r="T11" i="50"/>
  <c r="T97" i="45" s="1"/>
  <c r="BE11" i="50"/>
  <c r="BE97" i="45" s="1"/>
  <c r="BC11" i="50"/>
  <c r="BC97" i="45" s="1"/>
  <c r="BD11" i="50"/>
  <c r="BD97" i="45" s="1"/>
  <c r="AJ11" i="50"/>
  <c r="AJ97" i="45" s="1"/>
  <c r="AP11" i="50"/>
  <c r="AP97" i="45" s="1"/>
  <c r="AV11" i="50"/>
  <c r="AV97" i="45" s="1"/>
  <c r="AE11" i="50"/>
  <c r="AE97" i="45" s="1"/>
  <c r="AH11" i="50"/>
  <c r="AH97" i="45" s="1"/>
  <c r="AR11" i="50"/>
  <c r="AR97" i="45" s="1"/>
  <c r="Y11" i="50"/>
  <c r="Y97" i="45" s="1"/>
  <c r="AB11" i="50"/>
  <c r="AB97" i="45" s="1"/>
  <c r="AQ11" i="50"/>
  <c r="AQ97" i="45" s="1"/>
  <c r="BB11" i="50"/>
  <c r="BB97" i="45" s="1"/>
  <c r="AA11" i="50"/>
  <c r="AA97" i="45" s="1"/>
  <c r="S11" i="50"/>
  <c r="S97" i="45" s="1"/>
  <c r="AZ11" i="50"/>
  <c r="AZ97" i="45" s="1"/>
  <c r="AD11" i="50"/>
  <c r="AD97" i="45" s="1"/>
  <c r="AK11" i="50"/>
  <c r="AK97" i="45" s="1"/>
  <c r="AO11" i="50"/>
  <c r="AO97" i="45" s="1"/>
  <c r="AN11" i="50"/>
  <c r="AN97" i="45" s="1"/>
  <c r="AT11" i="50"/>
  <c r="AT97" i="45" s="1"/>
  <c r="AY11" i="50"/>
  <c r="AY97" i="45" s="1"/>
  <c r="U11" i="50"/>
  <c r="U97" i="45" s="1"/>
  <c r="AM11" i="50"/>
  <c r="AM97" i="45" s="1"/>
  <c r="AF11" i="50"/>
  <c r="AF97" i="45" s="1"/>
  <c r="BA11" i="50"/>
  <c r="BA97" i="45" s="1"/>
  <c r="V11" i="50"/>
  <c r="V97" i="45" s="1"/>
  <c r="AW11" i="50"/>
  <c r="AW97" i="45" s="1"/>
  <c r="AX11" i="50"/>
  <c r="AX97" i="45" s="1"/>
  <c r="AI11" i="50"/>
  <c r="AI97" i="45" s="1"/>
  <c r="AU11" i="50"/>
  <c r="AU97" i="45" s="1"/>
  <c r="AG11" i="50"/>
  <c r="AG97" i="45" s="1"/>
  <c r="AC11" i="50"/>
  <c r="AC97" i="45" s="1"/>
  <c r="Z11" i="50"/>
  <c r="Z97" i="45" s="1"/>
  <c r="Y104" i="45" l="1"/>
  <c r="Y103" i="45"/>
  <c r="AH104" i="45"/>
  <c r="AH103" i="45"/>
  <c r="W105" i="45"/>
  <c r="W104" i="45"/>
  <c r="W103" i="45"/>
  <c r="U104" i="45"/>
  <c r="U103" i="45"/>
  <c r="AN104" i="45"/>
  <c r="AN103" i="45"/>
  <c r="AS105" i="45"/>
  <c r="AS104" i="45"/>
  <c r="AS103" i="45"/>
  <c r="AR105" i="45"/>
  <c r="AR104" i="45"/>
  <c r="AR103" i="45"/>
  <c r="AV105" i="45"/>
  <c r="AV104" i="45"/>
  <c r="AV103" i="45"/>
  <c r="X104" i="45"/>
  <c r="X103" i="45"/>
  <c r="AX105" i="45"/>
  <c r="AX104" i="45"/>
  <c r="AX103" i="45"/>
  <c r="AD103" i="45"/>
  <c r="AD104" i="45"/>
  <c r="AP103" i="45"/>
  <c r="AP104" i="45"/>
  <c r="AB104" i="45"/>
  <c r="AB103" i="45"/>
  <c r="AT105" i="45"/>
  <c r="AT104" i="45"/>
  <c r="AT103" i="45"/>
  <c r="AI105" i="45"/>
  <c r="AI104" i="45"/>
  <c r="AI103" i="45"/>
  <c r="AZ105" i="45"/>
  <c r="AZ104" i="45"/>
  <c r="AZ103" i="45"/>
  <c r="AJ104" i="45"/>
  <c r="AJ103" i="45"/>
  <c r="AO104" i="45"/>
  <c r="AO103" i="45"/>
  <c r="V104" i="45"/>
  <c r="V103" i="45"/>
  <c r="S104" i="45"/>
  <c r="S103" i="45"/>
  <c r="BD105" i="45"/>
  <c r="BD104" i="45"/>
  <c r="BD103" i="45"/>
  <c r="Z104" i="45"/>
  <c r="Z103" i="45"/>
  <c r="AC104" i="45"/>
  <c r="AC103" i="45"/>
  <c r="AG104" i="45"/>
  <c r="AG103" i="45"/>
  <c r="AK104" i="45"/>
  <c r="AK103" i="45"/>
  <c r="BA105" i="45"/>
  <c r="BA104" i="45"/>
  <c r="BA103" i="45"/>
  <c r="AA103" i="45"/>
  <c r="AA104" i="45"/>
  <c r="BC105" i="45"/>
  <c r="BC104" i="45"/>
  <c r="BC103" i="45"/>
  <c r="BC106" i="45" s="1"/>
  <c r="BC110" i="45" s="1"/>
  <c r="BA9" i="71" s="1"/>
  <c r="AY105" i="45"/>
  <c r="AY104" i="45"/>
  <c r="AY103" i="45"/>
  <c r="AU105" i="45"/>
  <c r="AU104" i="45"/>
  <c r="AU103" i="45"/>
  <c r="AF104" i="45"/>
  <c r="AF103" i="45"/>
  <c r="BB105" i="45"/>
  <c r="BB103" i="45"/>
  <c r="BB104" i="45"/>
  <c r="BE105" i="45"/>
  <c r="BE104" i="45"/>
  <c r="BE103" i="45"/>
  <c r="AL104" i="45"/>
  <c r="AL103" i="45"/>
  <c r="AE104" i="45"/>
  <c r="AE103" i="45"/>
  <c r="AW105" i="45"/>
  <c r="AW104" i="45"/>
  <c r="AW103" i="45"/>
  <c r="AM104" i="45"/>
  <c r="AM103" i="45"/>
  <c r="AQ105" i="45"/>
  <c r="AQ104" i="45"/>
  <c r="AQ103" i="45"/>
  <c r="T104" i="45"/>
  <c r="T103" i="45"/>
  <c r="V51" i="47"/>
  <c r="V52" i="47" s="1"/>
  <c r="X105" i="45"/>
  <c r="AJ51" i="47"/>
  <c r="AL105" i="45"/>
  <c r="AL51" i="47"/>
  <c r="AL52" i="47" s="1"/>
  <c r="AN105" i="45"/>
  <c r="AI51" i="47"/>
  <c r="AK105" i="45"/>
  <c r="AA51" i="47"/>
  <c r="AC105" i="45"/>
  <c r="AN51" i="47"/>
  <c r="AN52" i="47" s="1"/>
  <c r="AP105" i="45"/>
  <c r="AF51" i="47"/>
  <c r="AH105" i="45"/>
  <c r="AC51" i="47"/>
  <c r="AC52" i="47" s="1"/>
  <c r="AE105" i="45"/>
  <c r="AH51" i="47"/>
  <c r="AJ105" i="45"/>
  <c r="Z51" i="47"/>
  <c r="AB105" i="45"/>
  <c r="T51" i="47"/>
  <c r="T52" i="47" s="1"/>
  <c r="V105" i="45"/>
  <c r="DP97" i="45"/>
  <c r="S105" i="45"/>
  <c r="AB51" i="47"/>
  <c r="AB52" i="47" s="1"/>
  <c r="AD105" i="45"/>
  <c r="Y51" i="47"/>
  <c r="AA105" i="45"/>
  <c r="AD51" i="47"/>
  <c r="AF105" i="45"/>
  <c r="S51" i="47"/>
  <c r="U105" i="45"/>
  <c r="X51" i="47"/>
  <c r="X52" i="47" s="1"/>
  <c r="Z105" i="45"/>
  <c r="W51" i="47"/>
  <c r="W52" i="47" s="1"/>
  <c r="Y105" i="45"/>
  <c r="AE51" i="47"/>
  <c r="AE52" i="47" s="1"/>
  <c r="AG105" i="45"/>
  <c r="AM51" i="47"/>
  <c r="AO105" i="45"/>
  <c r="AK51" i="47"/>
  <c r="AM105" i="45"/>
  <c r="R51" i="47"/>
  <c r="T105" i="45"/>
  <c r="AW51" i="47"/>
  <c r="AR51" i="47"/>
  <c r="AP51" i="47"/>
  <c r="AP52" i="47" s="1"/>
  <c r="K125" i="26"/>
  <c r="U51" i="47"/>
  <c r="U52" i="47" s="1"/>
  <c r="AQ51" i="47"/>
  <c r="M125" i="26"/>
  <c r="AS51" i="47"/>
  <c r="L125" i="26"/>
  <c r="AG51" i="47"/>
  <c r="AG52" i="47" s="1"/>
  <c r="AT51" i="47"/>
  <c r="AV51" i="47"/>
  <c r="AU51" i="47"/>
  <c r="AW106" i="45"/>
  <c r="AW110" i="45" s="1"/>
  <c r="AU9" i="71" s="1"/>
  <c r="AX51" i="47"/>
  <c r="BB51" i="47"/>
  <c r="AY51" i="47"/>
  <c r="BA51" i="47"/>
  <c r="BA52" i="47" s="1"/>
  <c r="J125" i="26"/>
  <c r="Q51" i="47"/>
  <c r="Q52" i="47" s="1"/>
  <c r="AZ51" i="47"/>
  <c r="BC51" i="47"/>
  <c r="BC52" i="47" s="1"/>
  <c r="AO51" i="47"/>
  <c r="AO52" i="47" s="1"/>
  <c r="AU12" i="96"/>
  <c r="AT15" i="96"/>
  <c r="BX112" i="45" s="1"/>
  <c r="BV31" i="47" s="1"/>
  <c r="CL51" i="45"/>
  <c r="CL75" i="45" s="1"/>
  <c r="CL77" i="45" s="1"/>
  <c r="CL79" i="45" s="1"/>
  <c r="CK51" i="45"/>
  <c r="CK75" i="45" s="1"/>
  <c r="CK77" i="45" s="1"/>
  <c r="CK79" i="45" s="1"/>
  <c r="CM51" i="45"/>
  <c r="CM75" i="45" s="1"/>
  <c r="CM77" i="45" s="1"/>
  <c r="CM79" i="45" s="1"/>
  <c r="CN26" i="45"/>
  <c r="BD52" i="47"/>
  <c r="Z52" i="47"/>
  <c r="S52" i="47"/>
  <c r="Y52" i="47"/>
  <c r="AM52" i="47"/>
  <c r="AD52" i="47"/>
  <c r="AA52" i="47"/>
  <c r="BB90" i="45"/>
  <c r="I11" i="50"/>
  <c r="DP11" i="50"/>
  <c r="BG106" i="45"/>
  <c r="BG110" i="45" s="1"/>
  <c r="BE9" i="71" s="1"/>
  <c r="H22" i="9"/>
  <c r="AQ106" i="45" l="1"/>
  <c r="AQ110" i="45" s="1"/>
  <c r="AO9" i="71" s="1"/>
  <c r="AV106" i="45"/>
  <c r="AV110" i="45" s="1"/>
  <c r="AT9" i="71" s="1"/>
  <c r="L132" i="26"/>
  <c r="AS106" i="45"/>
  <c r="AS110" i="45" s="1"/>
  <c r="AQ9" i="71" s="1"/>
  <c r="AX106" i="45"/>
  <c r="AX110" i="45" s="1"/>
  <c r="AV9" i="71" s="1"/>
  <c r="BA106" i="45"/>
  <c r="BA110" i="45" s="1"/>
  <c r="AY9" i="71" s="1"/>
  <c r="BD106" i="45"/>
  <c r="BD110" i="45" s="1"/>
  <c r="BB9" i="71" s="1"/>
  <c r="BB106" i="45"/>
  <c r="BB110" i="45" s="1"/>
  <c r="AZ9" i="71" s="1"/>
  <c r="J132" i="26"/>
  <c r="AT106" i="45"/>
  <c r="AT110" i="45" s="1"/>
  <c r="AR9" i="71" s="1"/>
  <c r="AZ106" i="45"/>
  <c r="AZ110" i="45" s="1"/>
  <c r="AX9" i="71" s="1"/>
  <c r="AY106" i="45"/>
  <c r="AY110" i="45" s="1"/>
  <c r="AW9" i="71" s="1"/>
  <c r="BE106" i="45"/>
  <c r="BE110" i="45" s="1"/>
  <c r="BC9" i="71" s="1"/>
  <c r="DP103" i="45"/>
  <c r="J131" i="26"/>
  <c r="K131" i="26"/>
  <c r="AU106" i="45"/>
  <c r="AU110" i="45" s="1"/>
  <c r="AS9" i="71" s="1"/>
  <c r="M132" i="26"/>
  <c r="K132" i="26"/>
  <c r="M131" i="26"/>
  <c r="L131" i="26"/>
  <c r="DP104" i="45"/>
  <c r="DP105" i="45"/>
  <c r="M133" i="26"/>
  <c r="J133" i="26"/>
  <c r="K133" i="26"/>
  <c r="L133" i="26"/>
  <c r="AV12" i="96"/>
  <c r="AU15" i="96"/>
  <c r="BY112" i="45" s="1"/>
  <c r="BW31" i="47" s="1"/>
  <c r="CN51" i="45"/>
  <c r="CN75" i="45" s="1"/>
  <c r="CN77" i="45" s="1"/>
  <c r="CN79" i="45" s="1"/>
  <c r="R52" i="47"/>
  <c r="DN51" i="47"/>
  <c r="CO26" i="45"/>
  <c r="P54" i="26"/>
  <c r="AF52" i="47"/>
  <c r="AU52" i="47"/>
  <c r="S125" i="26"/>
  <c r="P133" i="26"/>
  <c r="P134" i="26" s="1"/>
  <c r="P138" i="26" s="1"/>
  <c r="AS52" i="47"/>
  <c r="AI52" i="47"/>
  <c r="AQ52" i="47"/>
  <c r="AW52" i="47"/>
  <c r="AK52" i="47"/>
  <c r="AR52" i="47"/>
  <c r="AJ52" i="47"/>
  <c r="AT52" i="47"/>
  <c r="AY52" i="47"/>
  <c r="AH52" i="47"/>
  <c r="BB52" i="47"/>
  <c r="AX52" i="47"/>
  <c r="AZ52" i="47"/>
  <c r="AV52" i="47"/>
  <c r="BC90" i="45"/>
  <c r="BH106" i="45"/>
  <c r="BH110" i="45" s="1"/>
  <c r="BF9" i="71" s="1"/>
  <c r="H21" i="9"/>
  <c r="H6" i="9"/>
  <c r="H7" i="9" s="1"/>
  <c r="S132" i="26" l="1"/>
  <c r="M134" i="26"/>
  <c r="M138" i="26" s="1"/>
  <c r="S131" i="26"/>
  <c r="AW12" i="96"/>
  <c r="AV15" i="96"/>
  <c r="BZ112" i="45" s="1"/>
  <c r="BX31" i="47" s="1"/>
  <c r="CO51" i="45"/>
  <c r="CO75" i="45" s="1"/>
  <c r="CO77" i="45" s="1"/>
  <c r="CO79" i="45" s="1"/>
  <c r="DN55" i="47"/>
  <c r="DN52" i="47"/>
  <c r="CP26" i="45"/>
  <c r="S100" i="45"/>
  <c r="AE100" i="45"/>
  <c r="AJ100" i="45"/>
  <c r="AO100" i="45"/>
  <c r="AI100" i="45"/>
  <c r="O100" i="45"/>
  <c r="AC100" i="45"/>
  <c r="Q100" i="45"/>
  <c r="Z100" i="45"/>
  <c r="BD90" i="45"/>
  <c r="BI106" i="45"/>
  <c r="BI110" i="45" s="1"/>
  <c r="BG9" i="71" s="1"/>
  <c r="AX12" i="96" l="1"/>
  <c r="AW15" i="96"/>
  <c r="CA112" i="45" s="1"/>
  <c r="BY31" i="47" s="1"/>
  <c r="CP51" i="45"/>
  <c r="V100" i="45"/>
  <c r="AL100" i="45"/>
  <c r="AM100" i="45"/>
  <c r="AA100" i="45"/>
  <c r="T100" i="45"/>
  <c r="Y100" i="45"/>
  <c r="X100" i="45"/>
  <c r="AN100" i="45"/>
  <c r="R100" i="45"/>
  <c r="AP100" i="45"/>
  <c r="AB100" i="45"/>
  <c r="U100" i="45"/>
  <c r="AH100" i="45"/>
  <c r="CQ26" i="45"/>
  <c r="W100" i="45"/>
  <c r="AD100" i="45"/>
  <c r="L100" i="45"/>
  <c r="AG100" i="45"/>
  <c r="N100" i="45"/>
  <c r="K100" i="45"/>
  <c r="M100" i="45"/>
  <c r="AK100" i="45"/>
  <c r="P100" i="45"/>
  <c r="AF100" i="45"/>
  <c r="BE90" i="45"/>
  <c r="BJ106" i="45"/>
  <c r="BJ110" i="45" s="1"/>
  <c r="BH9" i="71" s="1"/>
  <c r="I22" i="9"/>
  <c r="DP100" i="45" l="1"/>
  <c r="J128" i="26"/>
  <c r="L128" i="26"/>
  <c r="L134" i="26" s="1"/>
  <c r="K128" i="26"/>
  <c r="K134" i="26" s="1"/>
  <c r="AY12" i="96"/>
  <c r="AY15" i="96" s="1"/>
  <c r="CC112" i="45" s="1"/>
  <c r="CA31" i="47" s="1"/>
  <c r="AX15" i="96"/>
  <c r="CB112" i="45" s="1"/>
  <c r="BZ31" i="47" s="1"/>
  <c r="CP75" i="45"/>
  <c r="CP77" i="45" s="1"/>
  <c r="CP79" i="45" s="1"/>
  <c r="AZ8" i="96" s="1"/>
  <c r="AZ9" i="96" s="1"/>
  <c r="AZ10" i="96" s="1"/>
  <c r="AZ11" i="96" s="1"/>
  <c r="AZ12" i="96" s="1"/>
  <c r="AZ13" i="96" s="1"/>
  <c r="P79" i="26"/>
  <c r="P103" i="26" s="1"/>
  <c r="P105" i="26" s="1"/>
  <c r="P107" i="26" s="1"/>
  <c r="O175" i="26" s="1"/>
  <c r="O176" i="26" s="1"/>
  <c r="CQ51" i="45"/>
  <c r="BZ89" i="45"/>
  <c r="AN106" i="45"/>
  <c r="AN110" i="45" s="1"/>
  <c r="AL9" i="71" s="1"/>
  <c r="AP106" i="45"/>
  <c r="AP110" i="45" s="1"/>
  <c r="AN9" i="71" s="1"/>
  <c r="CR26" i="45"/>
  <c r="BF90" i="45"/>
  <c r="M118" i="26" s="1"/>
  <c r="BK106" i="45"/>
  <c r="BK110" i="45" s="1"/>
  <c r="BI9" i="71" s="1"/>
  <c r="J22" i="9"/>
  <c r="I6" i="9"/>
  <c r="I7" i="9" s="1"/>
  <c r="I21" i="9"/>
  <c r="CD119" i="45" l="1"/>
  <c r="O147" i="26" s="1"/>
  <c r="CB30" i="47"/>
  <c r="BA12" i="96"/>
  <c r="AZ15" i="96"/>
  <c r="CD112" i="45" s="1"/>
  <c r="CB31" i="47" s="1"/>
  <c r="CQ75" i="45"/>
  <c r="CQ77" i="45" s="1"/>
  <c r="CQ79" i="45" s="1"/>
  <c r="CR51" i="45"/>
  <c r="CR75" i="45" s="1"/>
  <c r="CR77" i="45" s="1"/>
  <c r="CR79" i="45" s="1"/>
  <c r="CS26" i="45"/>
  <c r="BG90" i="45"/>
  <c r="BL106" i="45"/>
  <c r="BL110" i="45" s="1"/>
  <c r="BJ9" i="71" s="1"/>
  <c r="L22" i="9"/>
  <c r="L21" i="9" s="1"/>
  <c r="J21" i="9"/>
  <c r="J6" i="9"/>
  <c r="J7" i="9" s="1"/>
  <c r="CD89" i="45" l="1"/>
  <c r="O117" i="26" s="1"/>
  <c r="BB12" i="96"/>
  <c r="BA15" i="96"/>
  <c r="CE112" i="45" s="1"/>
  <c r="CC31" i="47" s="1"/>
  <c r="CS51" i="45"/>
  <c r="CS75" i="45" s="1"/>
  <c r="CS77" i="45" s="1"/>
  <c r="CS79" i="45" s="1"/>
  <c r="CT26" i="45"/>
  <c r="BH90" i="45"/>
  <c r="BN106" i="45"/>
  <c r="BM106" i="45"/>
  <c r="BM110" i="45" s="1"/>
  <c r="BK9" i="71" s="1"/>
  <c r="L6" i="9"/>
  <c r="L7" i="9" s="1"/>
  <c r="BC12" i="96" l="1"/>
  <c r="BB15" i="96"/>
  <c r="CF112" i="45" s="1"/>
  <c r="CD31" i="47" s="1"/>
  <c r="CT51" i="45"/>
  <c r="CT75" i="45" s="1"/>
  <c r="CT77" i="45" s="1"/>
  <c r="CT79" i="45" s="1"/>
  <c r="CU26" i="45"/>
  <c r="BN110" i="45"/>
  <c r="BL9" i="71" s="1"/>
  <c r="BI90" i="45"/>
  <c r="M22" i="9"/>
  <c r="M6" i="9" s="1"/>
  <c r="M7" i="9" s="1"/>
  <c r="BC15" i="96" l="1"/>
  <c r="CG112" i="45" s="1"/>
  <c r="CE31" i="47" s="1"/>
  <c r="BD12" i="96"/>
  <c r="CU51" i="45"/>
  <c r="CU75" i="45" s="1"/>
  <c r="CU77" i="45" s="1"/>
  <c r="CU79" i="45" s="1"/>
  <c r="CV26" i="45"/>
  <c r="N138" i="26"/>
  <c r="BJ90" i="45"/>
  <c r="M21" i="9"/>
  <c r="BE12" i="96" l="1"/>
  <c r="BD15" i="96"/>
  <c r="CV51" i="45"/>
  <c r="CV75" i="45" s="1"/>
  <c r="CV77" i="45" s="1"/>
  <c r="CV79" i="45" s="1"/>
  <c r="CW26" i="45"/>
  <c r="BK90" i="45"/>
  <c r="O140" i="26" l="1"/>
  <c r="CH112" i="45"/>
  <c r="CF31" i="47" s="1"/>
  <c r="BF12" i="96"/>
  <c r="BE15" i="96"/>
  <c r="CI112" i="45" s="1"/>
  <c r="CG31" i="47" s="1"/>
  <c r="CW51" i="45"/>
  <c r="CW75" i="45" s="1"/>
  <c r="CW77" i="45" s="1"/>
  <c r="CW79" i="45" s="1"/>
  <c r="CX26" i="45"/>
  <c r="CX51" i="45" s="1"/>
  <c r="CX75" i="45" s="1"/>
  <c r="CX77" i="45" s="1"/>
  <c r="BL90" i="45"/>
  <c r="BF15" i="96" l="1"/>
  <c r="CJ112" i="45" s="1"/>
  <c r="CH31" i="47" s="1"/>
  <c r="BG12" i="96"/>
  <c r="CX79" i="45"/>
  <c r="CY26" i="45"/>
  <c r="BM90" i="45"/>
  <c r="BH12" i="96" l="1"/>
  <c r="BG15" i="96"/>
  <c r="CK112" i="45" s="1"/>
  <c r="CI31" i="47" s="1"/>
  <c r="CY51" i="45"/>
  <c r="CY75" i="45" s="1"/>
  <c r="CY77" i="45" s="1"/>
  <c r="CY79" i="45" s="1"/>
  <c r="CL89" i="45"/>
  <c r="CZ26" i="45"/>
  <c r="Q54" i="26"/>
  <c r="BN90" i="45"/>
  <c r="BO90" i="45" s="1"/>
  <c r="BI12" i="96" l="1"/>
  <c r="BH15" i="96"/>
  <c r="CL112" i="45" s="1"/>
  <c r="CJ31" i="47" s="1"/>
  <c r="CZ51" i="45"/>
  <c r="CZ75" i="45" s="1"/>
  <c r="CZ77" i="45" s="1"/>
  <c r="CZ79" i="45" s="1"/>
  <c r="DA26" i="45"/>
  <c r="BP90" i="45"/>
  <c r="BQ90" i="45" s="1"/>
  <c r="BR90" i="45" s="1"/>
  <c r="BS90" i="45" l="1"/>
  <c r="N118" i="26"/>
  <c r="BI15" i="96"/>
  <c r="CM112" i="45" s="1"/>
  <c r="CK31" i="47" s="1"/>
  <c r="BJ12" i="96"/>
  <c r="DA51" i="45"/>
  <c r="DA75" i="45" s="1"/>
  <c r="DA77" i="45" s="1"/>
  <c r="DA79" i="45" s="1"/>
  <c r="DB26" i="45"/>
  <c r="BT90" i="45" l="1"/>
  <c r="BU90" i="45" s="1"/>
  <c r="BV90" i="45" s="1"/>
  <c r="BW90" i="45" s="1"/>
  <c r="BX90" i="45" s="1"/>
  <c r="BY90" i="45" s="1"/>
  <c r="BZ90" i="45" s="1"/>
  <c r="CA90" i="45" s="1"/>
  <c r="CB90" i="45" s="1"/>
  <c r="CC90" i="45" s="1"/>
  <c r="CD90" i="45" s="1"/>
  <c r="CE90" i="45" s="1"/>
  <c r="BK12" i="96"/>
  <c r="BK15" i="96" s="1"/>
  <c r="CO112" i="45" s="1"/>
  <c r="CM31" i="47" s="1"/>
  <c r="BJ15" i="96"/>
  <c r="CN112" i="45" s="1"/>
  <c r="CL31" i="47" s="1"/>
  <c r="DB51" i="45"/>
  <c r="DC26" i="45"/>
  <c r="O118" i="26" l="1"/>
  <c r="CF90" i="45"/>
  <c r="CG90" i="45" s="1"/>
  <c r="CH90" i="45" s="1"/>
  <c r="CI90" i="45" s="1"/>
  <c r="CJ90" i="45" s="1"/>
  <c r="CK90" i="45" s="1"/>
  <c r="CL90" i="45" s="1"/>
  <c r="CM90" i="45" s="1"/>
  <c r="CN90" i="45" s="1"/>
  <c r="CO90" i="45" s="1"/>
  <c r="CP90" i="45" s="1"/>
  <c r="CQ90" i="45" s="1"/>
  <c r="DB75" i="45"/>
  <c r="DB77" i="45" s="1"/>
  <c r="DB79" i="45" s="1"/>
  <c r="BL8" i="96" s="1"/>
  <c r="BL9" i="96" s="1"/>
  <c r="BL10" i="96" s="1"/>
  <c r="BL11" i="96" s="1"/>
  <c r="BL12" i="96" s="1"/>
  <c r="BL13" i="96" s="1"/>
  <c r="CN30" i="47" s="1"/>
  <c r="Q79" i="26"/>
  <c r="Q103" i="26" s="1"/>
  <c r="Q105" i="26" s="1"/>
  <c r="Q107" i="26" s="1"/>
  <c r="P175" i="26" s="1"/>
  <c r="P176" i="26" s="1"/>
  <c r="DC51" i="45"/>
  <c r="DD26" i="45"/>
  <c r="CR90" i="45" l="1"/>
  <c r="CS90" i="45" s="1"/>
  <c r="CT90" i="45" s="1"/>
  <c r="CU90" i="45" s="1"/>
  <c r="CV90" i="45" s="1"/>
  <c r="CW90" i="45" s="1"/>
  <c r="CX90" i="45" s="1"/>
  <c r="CY90" i="45" s="1"/>
  <c r="P118" i="26"/>
  <c r="BM12" i="96"/>
  <c r="BN12" i="96" s="1"/>
  <c r="BL15" i="96"/>
  <c r="CP112" i="45" s="1"/>
  <c r="CN31" i="47" s="1"/>
  <c r="BM15" i="96"/>
  <c r="CQ112" i="45" s="1"/>
  <c r="CO31" i="47" s="1"/>
  <c r="CP119" i="45"/>
  <c r="DC75" i="45"/>
  <c r="DC77" i="45" s="1"/>
  <c r="DC79" i="45" s="1"/>
  <c r="DD51" i="45"/>
  <c r="DD75" i="45" s="1"/>
  <c r="DD77" i="45" s="1"/>
  <c r="DD79" i="45" s="1"/>
  <c r="DE26" i="45"/>
  <c r="CZ90" i="45"/>
  <c r="DA90" i="45" s="1"/>
  <c r="DB90" i="45" s="1"/>
  <c r="DC90" i="45" s="1"/>
  <c r="DD90" i="45" l="1"/>
  <c r="DE90" i="45" s="1"/>
  <c r="DF90" i="45" s="1"/>
  <c r="DG90" i="45" s="1"/>
  <c r="DH90" i="45" s="1"/>
  <c r="DI90" i="45" s="1"/>
  <c r="DJ90" i="45" s="1"/>
  <c r="Q118" i="26"/>
  <c r="P147" i="26"/>
  <c r="CP89" i="45"/>
  <c r="P117" i="26" s="1"/>
  <c r="BO12" i="96"/>
  <c r="BN15" i="96"/>
  <c r="CR112" i="45" s="1"/>
  <c r="CP31" i="47" s="1"/>
  <c r="DP90" i="45"/>
  <c r="DK90" i="45"/>
  <c r="DE51" i="45"/>
  <c r="DE75" i="45" s="1"/>
  <c r="DE77" i="45" s="1"/>
  <c r="DE79" i="45" s="1"/>
  <c r="DF26" i="45"/>
  <c r="AB9" i="96"/>
  <c r="AB10" i="96" s="1"/>
  <c r="AB11" i="96" s="1"/>
  <c r="AB12" i="96" s="1"/>
  <c r="BO15" i="96" l="1"/>
  <c r="CS112" i="45" s="1"/>
  <c r="CQ31" i="47" s="1"/>
  <c r="BP12" i="96"/>
  <c r="DL90" i="45"/>
  <c r="DK91" i="45"/>
  <c r="DK93" i="45" s="1"/>
  <c r="DF51" i="45"/>
  <c r="AN13" i="96"/>
  <c r="AC12" i="96"/>
  <c r="AB15" i="96"/>
  <c r="BF112" i="45" s="1"/>
  <c r="BD31" i="47" s="1"/>
  <c r="DG26" i="45"/>
  <c r="BR119" i="45" l="1"/>
  <c r="BP30" i="47"/>
  <c r="BQ12" i="96"/>
  <c r="BP15" i="96"/>
  <c r="N147" i="26"/>
  <c r="BR89" i="45"/>
  <c r="DF75" i="45"/>
  <c r="DF77" i="45" s="1"/>
  <c r="DF79" i="45" s="1"/>
  <c r="DM90" i="45"/>
  <c r="DL91" i="45"/>
  <c r="DL93" i="45" s="1"/>
  <c r="DG51" i="45"/>
  <c r="DG75" i="45" s="1"/>
  <c r="DG77" i="45" s="1"/>
  <c r="DG79" i="45" s="1"/>
  <c r="AD12" i="96"/>
  <c r="AC15" i="96"/>
  <c r="BG112" i="45" s="1"/>
  <c r="BE31" i="47" s="1"/>
  <c r="DH26" i="45"/>
  <c r="P140" i="26" l="1"/>
  <c r="CT112" i="45"/>
  <c r="CR31" i="47" s="1"/>
  <c r="BR12" i="96"/>
  <c r="BQ15" i="96"/>
  <c r="CU112" i="45" s="1"/>
  <c r="CS31" i="47" s="1"/>
  <c r="DN90" i="45"/>
  <c r="DN91" i="45" s="1"/>
  <c r="DN93" i="45" s="1"/>
  <c r="DM91" i="45"/>
  <c r="DM93" i="45" s="1"/>
  <c r="DH51" i="45"/>
  <c r="DH75" i="45" s="1"/>
  <c r="DH77" i="45" s="1"/>
  <c r="DH79" i="45" s="1"/>
  <c r="BN89" i="45"/>
  <c r="N117" i="26" s="1"/>
  <c r="AE12" i="96"/>
  <c r="AD15" i="96"/>
  <c r="BH112" i="45" s="1"/>
  <c r="BF31" i="47" s="1"/>
  <c r="DI26" i="45"/>
  <c r="D9" i="96"/>
  <c r="D10" i="96" s="1"/>
  <c r="D11" i="96" s="1"/>
  <c r="D12" i="96" s="1"/>
  <c r="D13" i="96" s="1"/>
  <c r="P9" i="96"/>
  <c r="P10" i="96" s="1"/>
  <c r="P11" i="96" s="1"/>
  <c r="P12" i="96" s="1"/>
  <c r="R118" i="26" l="1"/>
  <c r="S118" i="26" s="1"/>
  <c r="AH119" i="45"/>
  <c r="K147" i="26" s="1"/>
  <c r="AF30" i="47"/>
  <c r="AF32" i="47" s="1"/>
  <c r="AG29" i="47" s="1"/>
  <c r="BR15" i="96"/>
  <c r="CV112" i="45" s="1"/>
  <c r="CT31" i="47" s="1"/>
  <c r="BS12" i="96"/>
  <c r="DI51" i="45"/>
  <c r="DI75" i="45" s="1"/>
  <c r="DI77" i="45" s="1"/>
  <c r="DI79" i="45" s="1"/>
  <c r="P15" i="96"/>
  <c r="AT112" i="45" s="1"/>
  <c r="AR31" i="47" s="1"/>
  <c r="P13" i="96"/>
  <c r="AB13" i="96"/>
  <c r="AF12" i="96"/>
  <c r="AE15" i="96"/>
  <c r="BI112" i="45" s="1"/>
  <c r="BG31" i="47" s="1"/>
  <c r="Q12" i="96"/>
  <c r="E12" i="96"/>
  <c r="AH89" i="45" l="1"/>
  <c r="BF119" i="45"/>
  <c r="BD30" i="47"/>
  <c r="AT119" i="45"/>
  <c r="AT89" i="45" s="1"/>
  <c r="AR30" i="47"/>
  <c r="AI86" i="45"/>
  <c r="M147" i="26"/>
  <c r="BF89" i="45"/>
  <c r="BT12" i="96"/>
  <c r="BS15" i="96"/>
  <c r="CW112" i="45" s="1"/>
  <c r="CU31" i="47" s="1"/>
  <c r="AD89" i="45"/>
  <c r="S133" i="26"/>
  <c r="Q11" i="26" s="1"/>
  <c r="R12" i="96"/>
  <c r="Q15" i="96"/>
  <c r="AU112" i="45" s="1"/>
  <c r="AS31" i="47" s="1"/>
  <c r="F12" i="96"/>
  <c r="E15" i="96"/>
  <c r="AI112" i="45" s="1"/>
  <c r="AG31" i="47" s="1"/>
  <c r="AG32" i="47" s="1"/>
  <c r="AH29" i="47" s="1"/>
  <c r="AG12" i="96"/>
  <c r="AF15" i="96"/>
  <c r="BJ112" i="45" s="1"/>
  <c r="BH31" i="47" s="1"/>
  <c r="DJ26" i="45"/>
  <c r="K117" i="26" l="1"/>
  <c r="AJ86" i="45"/>
  <c r="L147" i="26"/>
  <c r="BT15" i="96"/>
  <c r="CX112" i="45" s="1"/>
  <c r="CV31" i="47" s="1"/>
  <c r="BU12" i="96"/>
  <c r="DJ51" i="45"/>
  <c r="AP89" i="45"/>
  <c r="L117" i="26" s="1"/>
  <c r="BB89" i="45"/>
  <c r="M117" i="26" s="1"/>
  <c r="G12" i="96"/>
  <c r="F15" i="96"/>
  <c r="AJ112" i="45" s="1"/>
  <c r="AH31" i="47" s="1"/>
  <c r="AH32" i="47" s="1"/>
  <c r="AI29" i="47" s="1"/>
  <c r="AH12" i="96"/>
  <c r="AG15" i="96"/>
  <c r="BK112" i="45" s="1"/>
  <c r="BI31" i="47" s="1"/>
  <c r="S12" i="96"/>
  <c r="R15" i="96"/>
  <c r="AV112" i="45" s="1"/>
  <c r="AT31" i="47" s="1"/>
  <c r="DP26" i="45"/>
  <c r="R54" i="26"/>
  <c r="S11" i="26"/>
  <c r="R11" i="26"/>
  <c r="AK86" i="45" l="1"/>
  <c r="BU15" i="96"/>
  <c r="CY112" i="45" s="1"/>
  <c r="CW31" i="47" s="1"/>
  <c r="BV12" i="96"/>
  <c r="DJ75" i="45"/>
  <c r="DP51" i="45"/>
  <c r="R79" i="26"/>
  <c r="S54" i="26"/>
  <c r="AI12" i="96"/>
  <c r="AH15" i="96"/>
  <c r="BL112" i="45" s="1"/>
  <c r="BJ31" i="47" s="1"/>
  <c r="T12" i="96"/>
  <c r="S15" i="96"/>
  <c r="AW112" i="45" s="1"/>
  <c r="AU31" i="47" s="1"/>
  <c r="H12" i="96"/>
  <c r="G15" i="96"/>
  <c r="AK112" i="45" s="1"/>
  <c r="AI31" i="47" s="1"/>
  <c r="AI32" i="47" s="1"/>
  <c r="AJ29" i="47" s="1"/>
  <c r="AL86" i="45" l="1"/>
  <c r="DP75" i="45"/>
  <c r="DJ77" i="45"/>
  <c r="DJ79" i="45" s="1"/>
  <c r="BW12" i="96"/>
  <c r="BW15" i="96" s="1"/>
  <c r="DA112" i="45" s="1"/>
  <c r="CY31" i="47" s="1"/>
  <c r="BV15" i="96"/>
  <c r="CZ112" i="45" s="1"/>
  <c r="CX31" i="47" s="1"/>
  <c r="R103" i="26"/>
  <c r="R105" i="26" s="1"/>
  <c r="R107" i="26" s="1"/>
  <c r="Q175" i="26" s="1"/>
  <c r="Q176" i="26" s="1"/>
  <c r="S79" i="26"/>
  <c r="S103" i="26" s="1"/>
  <c r="S105" i="26" s="1"/>
  <c r="S107" i="26" s="1"/>
  <c r="I12" i="96"/>
  <c r="H15" i="96"/>
  <c r="U12" i="96"/>
  <c r="T15" i="96"/>
  <c r="AX112" i="45" s="1"/>
  <c r="AV31" i="47" s="1"/>
  <c r="AJ12" i="96"/>
  <c r="AI15" i="96"/>
  <c r="BM112" i="45" s="1"/>
  <c r="BK31" i="47" s="1"/>
  <c r="K140" i="26" l="1"/>
  <c r="AL112" i="45"/>
  <c r="AJ31" i="47" s="1"/>
  <c r="AJ32" i="47" s="1"/>
  <c r="AK29" i="47" s="1"/>
  <c r="BX8" i="96"/>
  <c r="BX9" i="96" s="1"/>
  <c r="BX10" i="96" s="1"/>
  <c r="BX11" i="96" s="1"/>
  <c r="BX12" i="96" s="1"/>
  <c r="DP79" i="45"/>
  <c r="R175" i="26"/>
  <c r="R176" i="26" s="1"/>
  <c r="CX89" i="45"/>
  <c r="V12" i="96"/>
  <c r="U15" i="96"/>
  <c r="AY112" i="45" s="1"/>
  <c r="AW31" i="47" s="1"/>
  <c r="AK12" i="96"/>
  <c r="AJ15" i="96"/>
  <c r="BN112" i="45" s="1"/>
  <c r="BL31" i="47" s="1"/>
  <c r="J12" i="96"/>
  <c r="I15" i="96"/>
  <c r="AM112" i="45" s="1"/>
  <c r="AK31" i="47" s="1"/>
  <c r="AK32" i="47" l="1"/>
  <c r="AL29" i="47" s="1"/>
  <c r="AM86" i="45"/>
  <c r="BX13" i="96"/>
  <c r="CZ30" i="47" s="1"/>
  <c r="BY12" i="96"/>
  <c r="BX15" i="96"/>
  <c r="DB112" i="45" s="1"/>
  <c r="CZ31" i="47" s="1"/>
  <c r="K28" i="26"/>
  <c r="K12" i="96"/>
  <c r="J15" i="96"/>
  <c r="AN112" i="45" s="1"/>
  <c r="AL31" i="47" s="1"/>
  <c r="AL12" i="96"/>
  <c r="AK15" i="96"/>
  <c r="BO112" i="45" s="1"/>
  <c r="BM31" i="47" s="1"/>
  <c r="W12" i="96"/>
  <c r="V15" i="96"/>
  <c r="AZ112" i="45" s="1"/>
  <c r="AX31" i="47" s="1"/>
  <c r="AL32" i="47" l="1"/>
  <c r="AM29" i="47" s="1"/>
  <c r="AN86" i="45"/>
  <c r="BY15" i="96"/>
  <c r="DC112" i="45" s="1"/>
  <c r="DA31" i="47" s="1"/>
  <c r="BZ12" i="96"/>
  <c r="DB119" i="45"/>
  <c r="DN30" i="47"/>
  <c r="X12" i="96"/>
  <c r="W15" i="96"/>
  <c r="BA112" i="45" s="1"/>
  <c r="AY31" i="47" s="1"/>
  <c r="L12" i="96"/>
  <c r="K15" i="96"/>
  <c r="AO112" i="45" s="1"/>
  <c r="AM31" i="47" s="1"/>
  <c r="AM12" i="96"/>
  <c r="AM15" i="96" s="1"/>
  <c r="BQ112" i="45" s="1"/>
  <c r="BO31" i="47" s="1"/>
  <c r="AL15" i="96"/>
  <c r="BP112" i="45" s="1"/>
  <c r="BN31" i="47" s="1"/>
  <c r="AM32" i="47" l="1"/>
  <c r="AN29" i="47" s="1"/>
  <c r="AO86" i="45"/>
  <c r="Q147" i="26"/>
  <c r="S147" i="26" s="1"/>
  <c r="DB89" i="45"/>
  <c r="CA12" i="96"/>
  <c r="BZ15" i="96"/>
  <c r="DD112" i="45" s="1"/>
  <c r="DB31" i="47" s="1"/>
  <c r="N140" i="26"/>
  <c r="M12" i="96"/>
  <c r="L15" i="96"/>
  <c r="AP112" i="45" s="1"/>
  <c r="AN31" i="47" s="1"/>
  <c r="Y12" i="96"/>
  <c r="X15" i="96"/>
  <c r="BB112" i="45" s="1"/>
  <c r="AZ31" i="47" s="1"/>
  <c r="AN32" i="47" l="1"/>
  <c r="AO29" i="47" s="1"/>
  <c r="AP86" i="45"/>
  <c r="CA15" i="96"/>
  <c r="DE112" i="45" s="1"/>
  <c r="DC31" i="47" s="1"/>
  <c r="CB12" i="96"/>
  <c r="DP89" i="45"/>
  <c r="Q117" i="26"/>
  <c r="S117" i="26" s="1"/>
  <c r="Z12" i="96"/>
  <c r="Y15" i="96"/>
  <c r="BC112" i="45" s="1"/>
  <c r="BA31" i="47" s="1"/>
  <c r="N12" i="96"/>
  <c r="M15" i="96"/>
  <c r="AQ112" i="45" s="1"/>
  <c r="AO31" i="47" s="1"/>
  <c r="AO32" i="47" l="1"/>
  <c r="AP29" i="47" s="1"/>
  <c r="AQ86" i="45"/>
  <c r="CC12" i="96"/>
  <c r="CB15" i="96"/>
  <c r="O12" i="96"/>
  <c r="O15" i="96" s="1"/>
  <c r="AS112" i="45" s="1"/>
  <c r="AQ31" i="47" s="1"/>
  <c r="N15" i="96"/>
  <c r="AR112" i="45" s="1"/>
  <c r="AP31" i="47" s="1"/>
  <c r="AA12" i="96"/>
  <c r="AA15" i="96" s="1"/>
  <c r="BE112" i="45" s="1"/>
  <c r="BC31" i="47" s="1"/>
  <c r="Z15" i="96"/>
  <c r="BD112" i="45" s="1"/>
  <c r="BB31" i="47" s="1"/>
  <c r="Q140" i="26" l="1"/>
  <c r="DF112" i="45"/>
  <c r="DD31" i="47" s="1"/>
  <c r="AP32" i="47"/>
  <c r="AQ29" i="47" s="1"/>
  <c r="AR86" i="45"/>
  <c r="CD12" i="96"/>
  <c r="CC15" i="96"/>
  <c r="DG112" i="45" s="1"/>
  <c r="DE31" i="47" s="1"/>
  <c r="L140" i="26"/>
  <c r="M140" i="26"/>
  <c r="AQ32" i="47" l="1"/>
  <c r="AR29" i="47" s="1"/>
  <c r="AS86" i="45"/>
  <c r="CE12" i="96"/>
  <c r="CD15" i="96"/>
  <c r="DH112" i="45" s="1"/>
  <c r="DF31" i="47" s="1"/>
  <c r="AR32" i="47" l="1"/>
  <c r="AS29" i="47" s="1"/>
  <c r="AT86" i="45"/>
  <c r="L114" i="26" s="1"/>
  <c r="CE15" i="96"/>
  <c r="DI112" i="45" s="1"/>
  <c r="DG31" i="47" s="1"/>
  <c r="CF12" i="96"/>
  <c r="CG12" i="96" l="1"/>
  <c r="CF15" i="96"/>
  <c r="DJ112" i="45" s="1"/>
  <c r="DH31" i="47" s="1"/>
  <c r="CH12" i="96" l="1"/>
  <c r="CG15" i="96"/>
  <c r="DK112" i="45" s="1"/>
  <c r="DI31" i="47" l="1"/>
  <c r="DK114" i="45"/>
  <c r="DK116" i="45" s="1"/>
  <c r="CI12" i="96"/>
  <c r="CH15" i="96"/>
  <c r="DL112" i="45" s="1"/>
  <c r="DJ31" i="47" l="1"/>
  <c r="DL114" i="45"/>
  <c r="DL116" i="45" s="1"/>
  <c r="DJ44" i="47" s="1"/>
  <c r="CJ12" i="96"/>
  <c r="CJ15" i="96" s="1"/>
  <c r="DN112" i="45" s="1"/>
  <c r="CI15" i="96"/>
  <c r="G11" i="44"/>
  <c r="G24" i="44" s="1"/>
  <c r="G25" i="44" s="1"/>
  <c r="G26" i="44" s="1"/>
  <c r="G28" i="44" s="1"/>
  <c r="G9" i="26" s="1"/>
  <c r="L22" i="26"/>
  <c r="H7" i="26"/>
  <c r="DP112" i="45" l="1"/>
  <c r="DM112" i="45"/>
  <c r="DL31" i="47"/>
  <c r="DN114" i="45"/>
  <c r="DN116" i="45" s="1"/>
  <c r="DL44" i="47" s="1"/>
  <c r="R140" i="26"/>
  <c r="S140" i="26" s="1"/>
  <c r="G14" i="26"/>
  <c r="G22" i="26" s="1"/>
  <c r="H190" i="26" s="1"/>
  <c r="G16" i="26"/>
  <c r="DK31" i="47" l="1"/>
  <c r="DM114" i="45"/>
  <c r="DM116" i="45" s="1"/>
  <c r="DK44" i="47" s="1"/>
  <c r="G212" i="26"/>
  <c r="G29" i="26"/>
  <c r="H191" i="26"/>
  <c r="H192" i="26" s="1"/>
  <c r="H193" i="26" s="1"/>
  <c r="H194" i="26" s="1"/>
  <c r="H195" i="26" s="1"/>
  <c r="H196" i="26" s="1"/>
  <c r="H197" i="26" s="1"/>
  <c r="H198" i="26" s="1"/>
  <c r="J17" i="26"/>
  <c r="H6" i="46"/>
  <c r="H211" i="26" s="1"/>
  <c r="G79" i="47"/>
  <c r="G80" i="47" s="1"/>
  <c r="H78" i="47" s="1"/>
  <c r="H131" i="47"/>
  <c r="G18" i="26"/>
  <c r="I91" i="47" l="1"/>
  <c r="I98" i="47" s="1"/>
  <c r="G20" i="46"/>
  <c r="H19" i="46" s="1"/>
  <c r="I14" i="46" s="1"/>
  <c r="H105" i="47" s="1"/>
  <c r="H212" i="26"/>
  <c r="I4" i="46"/>
  <c r="I66" i="47" s="1"/>
  <c r="I72" i="47" s="1"/>
  <c r="H79" i="47"/>
  <c r="H80" i="47" s="1"/>
  <c r="H250" i="26"/>
  <c r="G21" i="26"/>
  <c r="H205" i="26" l="1"/>
  <c r="H207" i="26"/>
  <c r="H248" i="26"/>
  <c r="H251" i="26" s="1"/>
  <c r="J14" i="26"/>
  <c r="J18" i="26" s="1"/>
  <c r="G27" i="26"/>
  <c r="I28" i="46"/>
  <c r="G31" i="26" l="1"/>
  <c r="G206" i="26"/>
  <c r="H206" i="26" s="1"/>
  <c r="E19" i="53"/>
  <c r="F19" i="53" s="1"/>
  <c r="G19" i="53" s="1"/>
  <c r="H19" i="53" s="1"/>
  <c r="H27" i="26" l="1"/>
  <c r="H28" i="26"/>
  <c r="H29" i="26"/>
  <c r="H26" i="26"/>
  <c r="H30" i="26"/>
  <c r="I19" i="53"/>
  <c r="H31" i="26" l="1"/>
  <c r="J19" i="53"/>
  <c r="K19" i="53" l="1"/>
  <c r="L19" i="53" l="1"/>
  <c r="M19" i="53" l="1"/>
  <c r="N19" i="53" l="1"/>
  <c r="O19" i="53" l="1"/>
  <c r="P19" i="53" l="1"/>
  <c r="Q19" i="53" l="1"/>
  <c r="R19" i="53" l="1"/>
  <c r="S19" i="53" l="1"/>
  <c r="T19" i="53" l="1"/>
  <c r="U19" i="53" l="1"/>
  <c r="V19" i="53" l="1"/>
  <c r="W19" i="53" l="1"/>
  <c r="X19" i="53" l="1"/>
  <c r="Y19" i="53" l="1"/>
  <c r="Z19" i="53" l="1"/>
  <c r="AA19" i="53" l="1"/>
  <c r="AB19" i="53" l="1"/>
  <c r="AC19" i="53" l="1"/>
  <c r="AD19" i="53" l="1"/>
  <c r="AE19" i="53" l="1"/>
  <c r="AF19" i="53" l="1"/>
  <c r="AG19" i="53" l="1"/>
  <c r="AH19" i="53" l="1"/>
  <c r="AI19" i="53" l="1"/>
  <c r="AJ19" i="53" l="1"/>
  <c r="AK19" i="53" l="1"/>
  <c r="AL19" i="53" l="1"/>
  <c r="AM19" i="53" l="1"/>
  <c r="AN19" i="53" l="1"/>
  <c r="AO19" i="53" s="1"/>
  <c r="AP19" i="53" l="1"/>
  <c r="AQ19" i="53" s="1"/>
  <c r="AO22" i="53"/>
  <c r="AR19" i="53" l="1"/>
  <c r="AQ22" i="53"/>
  <c r="AS19" i="53" l="1"/>
  <c r="AR22" i="53"/>
  <c r="AS22" i="53" l="1"/>
  <c r="AT19" i="53"/>
  <c r="AT22" i="53" l="1"/>
  <c r="AU19" i="53"/>
  <c r="AU22" i="53" l="1"/>
  <c r="AV19" i="53"/>
  <c r="AV22" i="53" l="1"/>
  <c r="AW19" i="53"/>
  <c r="AW22" i="53" l="1"/>
  <c r="AX19" i="53"/>
  <c r="AX22" i="53" l="1"/>
  <c r="AY19" i="53"/>
  <c r="AZ19" i="53" l="1"/>
  <c r="AY22" i="53"/>
  <c r="AZ22" i="53" l="1"/>
  <c r="BA19" i="53"/>
  <c r="BB19" i="53" l="1"/>
  <c r="BA22" i="53"/>
  <c r="BC19" i="53" l="1"/>
  <c r="BB22" i="53"/>
  <c r="BC22" i="53" l="1"/>
  <c r="BD19" i="53"/>
  <c r="BD22" i="53" l="1"/>
  <c r="BE19" i="53"/>
  <c r="BF19" i="53" l="1"/>
  <c r="BE22" i="53"/>
  <c r="BG19" i="53" l="1"/>
  <c r="BF22" i="53"/>
  <c r="BG22" i="53" l="1"/>
  <c r="BH19" i="53"/>
  <c r="I18" i="47"/>
  <c r="E31" i="53" l="1"/>
  <c r="BH22" i="53"/>
  <c r="BI19" i="53"/>
  <c r="J15" i="47"/>
  <c r="L84" i="45" s="1"/>
  <c r="BI22" i="53" l="1"/>
  <c r="BJ19" i="53"/>
  <c r="BJ22" i="53" l="1"/>
  <c r="BK19" i="53"/>
  <c r="BK22" i="53" l="1"/>
  <c r="BL19" i="53"/>
  <c r="BM19" i="53" l="1"/>
  <c r="BL22" i="53"/>
  <c r="BM22" i="53" l="1"/>
  <c r="BN19" i="53"/>
  <c r="BN22" i="53" l="1"/>
  <c r="BO19" i="53"/>
  <c r="BO22" i="53" l="1"/>
  <c r="BP19" i="53"/>
  <c r="BP22" i="53" l="1"/>
  <c r="BQ19" i="53"/>
  <c r="J18" i="47"/>
  <c r="F31" i="53" l="1"/>
  <c r="BQ22" i="53"/>
  <c r="BR19" i="53"/>
  <c r="K15" i="47"/>
  <c r="M84" i="45" s="1"/>
  <c r="BR22" i="53" l="1"/>
  <c r="BS19" i="53"/>
  <c r="BS22" i="53" l="1"/>
  <c r="BT19" i="53"/>
  <c r="BT22" i="53" l="1"/>
  <c r="BU19" i="53"/>
  <c r="BU22" i="53" l="1"/>
  <c r="BV19" i="53"/>
  <c r="BW19" i="53" l="1"/>
  <c r="BV22" i="53"/>
  <c r="BW22" i="53" l="1"/>
  <c r="BX19" i="53"/>
  <c r="BX22" i="53" l="1"/>
  <c r="BY19" i="53"/>
  <c r="BZ19" i="53" l="1"/>
  <c r="BY22" i="53"/>
  <c r="K18" i="47"/>
  <c r="G31" i="53" l="1"/>
  <c r="BZ22" i="53"/>
  <c r="CA19" i="53"/>
  <c r="L15" i="47"/>
  <c r="N84" i="45" s="1"/>
  <c r="CA22" i="53" l="1"/>
  <c r="CB19" i="53"/>
  <c r="CB22" i="53" l="1"/>
  <c r="CC19" i="53"/>
  <c r="CC22" i="53" l="1"/>
  <c r="CD19" i="53"/>
  <c r="CD22" i="53" l="1"/>
  <c r="CE19" i="53"/>
  <c r="CE22" i="53" l="1"/>
  <c r="CF19" i="53"/>
  <c r="CF22" i="53" l="1"/>
  <c r="CG19" i="53"/>
  <c r="CG22" i="53" l="1"/>
  <c r="CH19" i="53"/>
  <c r="L18" i="47"/>
  <c r="H31" i="53" l="1"/>
  <c r="CH22" i="53"/>
  <c r="CI19" i="53"/>
  <c r="M15" i="47"/>
  <c r="O84" i="45" s="1"/>
  <c r="CJ19" i="53" l="1"/>
  <c r="CI22" i="53"/>
  <c r="CJ22" i="53" l="1"/>
  <c r="CK19" i="53"/>
  <c r="CL19" i="53" l="1"/>
  <c r="CK22" i="53"/>
  <c r="CM19" i="53" l="1"/>
  <c r="CL22" i="53"/>
  <c r="CN19" i="53" l="1"/>
  <c r="CM22" i="53"/>
  <c r="CO19" i="53" l="1"/>
  <c r="CN22" i="53"/>
  <c r="CP19" i="53" l="1"/>
  <c r="CO22" i="53"/>
  <c r="M18" i="47"/>
  <c r="I31" i="53" l="1"/>
  <c r="CP22" i="53"/>
  <c r="CQ19" i="53"/>
  <c r="N15" i="47"/>
  <c r="P84" i="45" s="1"/>
  <c r="CR19" i="53" l="1"/>
  <c r="CQ22" i="53"/>
  <c r="N18" i="47"/>
  <c r="J31" i="53" s="1"/>
  <c r="CS19" i="53" l="1"/>
  <c r="CR22" i="53"/>
  <c r="O15" i="47"/>
  <c r="Q84" i="45" s="1"/>
  <c r="CT19" i="53" l="1"/>
  <c r="CS22" i="53"/>
  <c r="O18" i="47"/>
  <c r="K31" i="53" s="1"/>
  <c r="CT22" i="53" l="1"/>
  <c r="CU19" i="53"/>
  <c r="P15" i="47"/>
  <c r="R84" i="45" s="1"/>
  <c r="CU22" i="53" l="1"/>
  <c r="CV19" i="53"/>
  <c r="P18" i="47"/>
  <c r="L31" i="53" s="1"/>
  <c r="CV22" i="53" l="1"/>
  <c r="CW19" i="53"/>
  <c r="Q15" i="47"/>
  <c r="S84" i="45" s="1"/>
  <c r="CX19" i="53" l="1"/>
  <c r="CW22" i="53"/>
  <c r="Q18" i="47"/>
  <c r="M31" i="53" s="1"/>
  <c r="CX22" i="53" l="1"/>
  <c r="CY19" i="53"/>
  <c r="R15" i="47"/>
  <c r="T84" i="45" s="1"/>
  <c r="CY22" i="53" l="1"/>
  <c r="CZ19" i="53"/>
  <c r="CZ22" i="53" l="1"/>
  <c r="DA19" i="53"/>
  <c r="DA22" i="53" l="1"/>
  <c r="DB19" i="53"/>
  <c r="DB22" i="53" l="1"/>
  <c r="DC19" i="53"/>
  <c r="DC22" i="53" l="1"/>
  <c r="DD19" i="53"/>
  <c r="DE19" i="53" l="1"/>
  <c r="DD22" i="53"/>
  <c r="DE22" i="53" l="1"/>
  <c r="DF19" i="53"/>
  <c r="DF22" i="53" l="1"/>
  <c r="DG19" i="53"/>
  <c r="DG22" i="53" l="1"/>
  <c r="DH19" i="53"/>
  <c r="DH22" i="53" l="1"/>
  <c r="I58" i="47" l="1"/>
  <c r="DN56" i="47" l="1"/>
  <c r="DN57" i="47" l="1"/>
  <c r="S128" i="26"/>
  <c r="K106" i="45" l="1"/>
  <c r="K110" i="45" l="1"/>
  <c r="I36" i="47"/>
  <c r="I9" i="71"/>
  <c r="L106" i="45"/>
  <c r="L110" i="45" s="1"/>
  <c r="J36" i="47" l="1"/>
  <c r="J9" i="71"/>
  <c r="M106" i="45"/>
  <c r="M110" i="45" s="1"/>
  <c r="K36" i="47" l="1"/>
  <c r="K9" i="71"/>
  <c r="N106" i="45"/>
  <c r="N110" i="45" s="1"/>
  <c r="L36" i="47" l="1"/>
  <c r="L9" i="71"/>
  <c r="O106" i="45"/>
  <c r="O110" i="45" s="1"/>
  <c r="M36" i="47" l="1"/>
  <c r="M9" i="71"/>
  <c r="P106" i="45"/>
  <c r="P110" i="45" s="1"/>
  <c r="N36" i="47" l="1"/>
  <c r="N9" i="71"/>
  <c r="Q106" i="45"/>
  <c r="Q110" i="45" s="1"/>
  <c r="AJ106" i="45"/>
  <c r="AJ110" i="45" s="1"/>
  <c r="AH9" i="71" s="1"/>
  <c r="O36" i="47" l="1"/>
  <c r="O9" i="71"/>
  <c r="J134" i="26"/>
  <c r="R106" i="45"/>
  <c r="R110" i="45" s="1"/>
  <c r="AK106" i="45"/>
  <c r="AK110" i="45" s="1"/>
  <c r="AI9" i="71" s="1"/>
  <c r="P36" i="47" l="1"/>
  <c r="P9" i="71"/>
  <c r="J138" i="26"/>
  <c r="S106" i="45" l="1"/>
  <c r="S110" i="45" s="1"/>
  <c r="AL106" i="45"/>
  <c r="AL110" i="45" s="1"/>
  <c r="AJ9" i="71" s="1"/>
  <c r="Q36" i="47" l="1"/>
  <c r="Q9" i="71"/>
  <c r="T106" i="45"/>
  <c r="T110" i="45" s="1"/>
  <c r="AM106" i="45"/>
  <c r="AM110" i="45" s="1"/>
  <c r="AK9" i="71" s="1"/>
  <c r="R36" i="47" l="1"/>
  <c r="R9" i="71"/>
  <c r="U106" i="45"/>
  <c r="U110" i="45" s="1"/>
  <c r="S36" i="47" l="1"/>
  <c r="V106" i="45"/>
  <c r="V110" i="45" s="1"/>
  <c r="T36" i="47" l="1"/>
  <c r="W106" i="45"/>
  <c r="W110" i="45" s="1"/>
  <c r="U36" i="47" l="1"/>
  <c r="X106" i="45"/>
  <c r="X110" i="45" s="1"/>
  <c r="V36" i="47" l="1"/>
  <c r="V9" i="71"/>
  <c r="AO106" i="45"/>
  <c r="AO110" i="45" l="1"/>
  <c r="AM9" i="71" s="1"/>
  <c r="Y106" i="45" l="1"/>
  <c r="AI106" i="45"/>
  <c r="AI110" i="45" s="1"/>
  <c r="AG9" i="71" s="1"/>
  <c r="Y110" i="45" l="1"/>
  <c r="AH106" i="45"/>
  <c r="W36" i="47" l="1"/>
  <c r="W9" i="71"/>
  <c r="AH110" i="45"/>
  <c r="AF9" i="71" s="1"/>
  <c r="Z106" i="45" l="1"/>
  <c r="Z110" i="45" l="1"/>
  <c r="X9" i="71" s="1"/>
  <c r="X36" i="47" l="1"/>
  <c r="AA106" i="45"/>
  <c r="AA110" i="45" s="1"/>
  <c r="Y9" i="71" s="1"/>
  <c r="Y36" i="47" l="1"/>
  <c r="AB106" i="45"/>
  <c r="AB110" i="45" s="1"/>
  <c r="Z9" i="71" s="1"/>
  <c r="Z36" i="47" l="1"/>
  <c r="AC106" i="45" l="1"/>
  <c r="AC110" i="45" s="1"/>
  <c r="AA9" i="71" s="1"/>
  <c r="AA36" i="47" l="1"/>
  <c r="AR106" i="45"/>
  <c r="AR110" i="45" s="1"/>
  <c r="AP9" i="71" s="1"/>
  <c r="AD106" i="45"/>
  <c r="AD110" i="45" s="1"/>
  <c r="AB9" i="71" s="1"/>
  <c r="AB36" i="47" l="1"/>
  <c r="DN112" i="47"/>
  <c r="K138" i="26"/>
  <c r="CN106" i="45"/>
  <c r="S127" i="26"/>
  <c r="Q10" i="26" s="1"/>
  <c r="S9" i="71" s="1"/>
  <c r="AE106" i="45"/>
  <c r="AE110" i="45" s="1"/>
  <c r="AC9" i="71" s="1"/>
  <c r="AC36" i="47" l="1"/>
  <c r="L5" i="100"/>
  <c r="M5" i="100" s="1"/>
  <c r="S10" i="26"/>
  <c r="U9" i="71" s="1"/>
  <c r="CN110" i="45"/>
  <c r="CL9" i="71" s="1"/>
  <c r="S136" i="26"/>
  <c r="R10" i="26"/>
  <c r="T9" i="71" s="1"/>
  <c r="Q12" i="26"/>
  <c r="S12" i="26" s="1"/>
  <c r="Q138" i="26" l="1"/>
  <c r="R12" i="26"/>
  <c r="AF106" i="45"/>
  <c r="AG106" i="45"/>
  <c r="DP106" i="45" l="1"/>
  <c r="AF110" i="45"/>
  <c r="S134" i="26"/>
  <c r="AG110" i="45"/>
  <c r="AE9" i="71" s="1"/>
  <c r="AD36" i="47" l="1"/>
  <c r="AE36" i="47" s="1"/>
  <c r="AF36" i="47" s="1"/>
  <c r="AG36" i="47" s="1"/>
  <c r="AH36" i="47" s="1"/>
  <c r="AI36" i="47" s="1"/>
  <c r="AJ36" i="47" s="1"/>
  <c r="AK36" i="47" s="1"/>
  <c r="AL36" i="47" s="1"/>
  <c r="AM36" i="47" s="1"/>
  <c r="AN36" i="47" s="1"/>
  <c r="AO36" i="47" s="1"/>
  <c r="AP36" i="47" s="1"/>
  <c r="AQ36" i="47" s="1"/>
  <c r="AR36" i="47" s="1"/>
  <c r="AS36" i="47" s="1"/>
  <c r="AT36" i="47" s="1"/>
  <c r="AU36" i="47" s="1"/>
  <c r="AV36" i="47" s="1"/>
  <c r="AW36" i="47" s="1"/>
  <c r="AX36" i="47" s="1"/>
  <c r="AY36" i="47" s="1"/>
  <c r="AZ36" i="47" s="1"/>
  <c r="BA36" i="47" s="1"/>
  <c r="BB36" i="47" s="1"/>
  <c r="BC36" i="47" s="1"/>
  <c r="BD36" i="47" s="1"/>
  <c r="BE36" i="47" s="1"/>
  <c r="BF36" i="47" s="1"/>
  <c r="BG36" i="47" s="1"/>
  <c r="BH36" i="47" s="1"/>
  <c r="BI36" i="47" s="1"/>
  <c r="BJ36" i="47" s="1"/>
  <c r="BK36" i="47" s="1"/>
  <c r="BL36" i="47" s="1"/>
  <c r="BM36" i="47" s="1"/>
  <c r="BN36" i="47" s="1"/>
  <c r="BO36" i="47" s="1"/>
  <c r="BP36" i="47" s="1"/>
  <c r="BQ36" i="47" s="1"/>
  <c r="BR36" i="47" s="1"/>
  <c r="BS36" i="47" s="1"/>
  <c r="BT36" i="47" s="1"/>
  <c r="BU36" i="47" s="1"/>
  <c r="BV36" i="47" s="1"/>
  <c r="BW36" i="47" s="1"/>
  <c r="BX36" i="47" s="1"/>
  <c r="BY36" i="47" s="1"/>
  <c r="BZ36" i="47" s="1"/>
  <c r="CA36" i="47" s="1"/>
  <c r="CB36" i="47" s="1"/>
  <c r="CC36" i="47" s="1"/>
  <c r="CD36" i="47" s="1"/>
  <c r="CE36" i="47" s="1"/>
  <c r="CF36" i="47" s="1"/>
  <c r="CG36" i="47" s="1"/>
  <c r="CH36" i="47" s="1"/>
  <c r="CI36" i="47" s="1"/>
  <c r="CJ36" i="47" s="1"/>
  <c r="CK36" i="47" s="1"/>
  <c r="CL36" i="47" s="1"/>
  <c r="CM36" i="47" s="1"/>
  <c r="CN36" i="47" s="1"/>
  <c r="CO36" i="47" s="1"/>
  <c r="CP36" i="47" s="1"/>
  <c r="CQ36" i="47" s="1"/>
  <c r="CR36" i="47" s="1"/>
  <c r="CS36" i="47" s="1"/>
  <c r="CT36" i="47" s="1"/>
  <c r="CU36" i="47" s="1"/>
  <c r="CV36" i="47" s="1"/>
  <c r="CW36" i="47" s="1"/>
  <c r="CX36" i="47" s="1"/>
  <c r="CY36" i="47" s="1"/>
  <c r="CZ36" i="47" s="1"/>
  <c r="DA36" i="47" s="1"/>
  <c r="DB36" i="47" s="1"/>
  <c r="DC36" i="47" s="1"/>
  <c r="DD36" i="47" s="1"/>
  <c r="DE36" i="47" s="1"/>
  <c r="DF36" i="47" s="1"/>
  <c r="DG36" i="47" s="1"/>
  <c r="DH36" i="47" s="1"/>
  <c r="DI36" i="47" s="1"/>
  <c r="DJ36" i="47" s="1"/>
  <c r="DK36" i="47" s="1"/>
  <c r="DL36" i="47" s="1"/>
  <c r="AD9" i="71"/>
  <c r="DP110" i="45"/>
  <c r="L138" i="26"/>
  <c r="S138" i="26" s="1"/>
  <c r="D118" i="45" l="1"/>
  <c r="J32" i="47" l="1"/>
  <c r="K32" i="47" l="1"/>
  <c r="F32" i="53"/>
  <c r="L32" i="47" l="1"/>
  <c r="G32" i="53"/>
  <c r="M32" i="47" l="1"/>
  <c r="H32" i="53"/>
  <c r="N32" i="47" l="1"/>
  <c r="I32" i="53"/>
  <c r="O32" i="47" l="1"/>
  <c r="J32" i="53"/>
  <c r="P32" i="47" l="1"/>
  <c r="K32" i="53"/>
  <c r="Q32" i="47" l="1"/>
  <c r="L32" i="53"/>
  <c r="R32" i="47" l="1"/>
  <c r="M32" i="53"/>
  <c r="S32" i="47" l="1"/>
  <c r="N32" i="53"/>
  <c r="O32" i="53" l="1"/>
  <c r="T32" i="47" l="1"/>
  <c r="P32" i="53" l="1"/>
  <c r="U32" i="47" l="1"/>
  <c r="Q32" i="53" l="1"/>
  <c r="V32" i="47" l="1"/>
  <c r="R32" i="53" l="1"/>
  <c r="W32" i="47" l="1"/>
  <c r="S32" i="53" l="1"/>
  <c r="X32" i="47" l="1"/>
  <c r="T32" i="53" l="1"/>
  <c r="Y32" i="47" l="1"/>
  <c r="U32" i="53" l="1"/>
  <c r="Z32" i="47" l="1"/>
  <c r="V32" i="53" l="1"/>
  <c r="AA32" i="47" l="1"/>
  <c r="W32" i="53" l="1"/>
  <c r="AB32" i="47" l="1"/>
  <c r="X32" i="53" l="1"/>
  <c r="AC32" i="47" l="1"/>
  <c r="Y32" i="53" l="1"/>
  <c r="AD32" i="47" l="1"/>
  <c r="Z32" i="53" l="1"/>
  <c r="AE32" i="47" l="1"/>
  <c r="AA32" i="53" l="1"/>
  <c r="AB32" i="53" l="1"/>
  <c r="AC32" i="53" l="1"/>
  <c r="AD32" i="53" l="1"/>
  <c r="AE32" i="53" l="1"/>
  <c r="AF32" i="53" l="1"/>
  <c r="AG32" i="53" l="1"/>
  <c r="R18" i="47" l="1"/>
  <c r="AH32" i="53" l="1"/>
  <c r="N31" i="53"/>
  <c r="S15" i="47"/>
  <c r="U84" i="45" s="1"/>
  <c r="AI32" i="53" l="1"/>
  <c r="AJ32" i="53" l="1"/>
  <c r="AK32" i="53" l="1"/>
  <c r="AL32" i="53" l="1"/>
  <c r="AM32" i="53" l="1"/>
  <c r="AS32" i="47" l="1"/>
  <c r="AT29" i="47" s="1"/>
  <c r="AN32" i="53"/>
  <c r="AU86" i="45" l="1"/>
  <c r="S18" i="47" l="1"/>
  <c r="T15" i="47" l="1"/>
  <c r="V84" i="45" s="1"/>
  <c r="J112" i="26" s="1"/>
  <c r="O31" i="53"/>
  <c r="T18" i="47" l="1"/>
  <c r="P31" i="53" l="1"/>
  <c r="U15" i="47"/>
  <c r="W84" i="45" s="1"/>
  <c r="I190" i="26" l="1"/>
  <c r="I191" i="26"/>
  <c r="I192" i="26" s="1"/>
  <c r="I193" i="26" s="1"/>
  <c r="I194" i="26" s="1"/>
  <c r="I195" i="26" s="1"/>
  <c r="I196" i="26" s="1"/>
  <c r="I197" i="26" s="1"/>
  <c r="I198" i="26" s="1"/>
  <c r="U18" i="47" l="1"/>
  <c r="V15" i="47" l="1"/>
  <c r="X84" i="45" s="1"/>
  <c r="Q31" i="53"/>
  <c r="V18" i="47" l="1"/>
  <c r="W15" i="47" l="1"/>
  <c r="Y84" i="45" s="1"/>
  <c r="R31" i="53"/>
  <c r="W18" i="47" l="1"/>
  <c r="X15" i="47" l="1"/>
  <c r="Z84" i="45" s="1"/>
  <c r="S31" i="53"/>
  <c r="X18" i="47" l="1"/>
  <c r="Y15" i="47" l="1"/>
  <c r="AA84" i="45" s="1"/>
  <c r="T31" i="53"/>
  <c r="Y18" i="47" l="1"/>
  <c r="Z15" i="47" l="1"/>
  <c r="AB84" i="45" s="1"/>
  <c r="U31" i="53"/>
  <c r="Z18" i="47" l="1"/>
  <c r="V31" i="53" l="1"/>
  <c r="AA15" i="47"/>
  <c r="AC84" i="45" s="1"/>
  <c r="AA18" i="47" l="1"/>
  <c r="AB15" i="47" l="1"/>
  <c r="AD84" i="45" s="1"/>
  <c r="W31" i="53"/>
  <c r="AB18" i="47" l="1"/>
  <c r="AC15" i="47" l="1"/>
  <c r="AE84" i="45" s="1"/>
  <c r="X31" i="53"/>
  <c r="AC18" i="47" l="1"/>
  <c r="AD15" i="47" l="1"/>
  <c r="AF84" i="45" s="1"/>
  <c r="Y31" i="53"/>
  <c r="AD18" i="47" l="1"/>
  <c r="AE15" i="47" l="1"/>
  <c r="AG84" i="45" s="1"/>
  <c r="Z31" i="53"/>
  <c r="AE18" i="47" l="1"/>
  <c r="AA31" i="53" l="1"/>
  <c r="AF15" i="47"/>
  <c r="AH84" i="45" s="1"/>
  <c r="K112" i="26" s="1"/>
  <c r="AF18" i="47" l="1"/>
  <c r="AG15" i="47" l="1"/>
  <c r="AI84" i="45" s="1"/>
  <c r="AB31" i="53"/>
  <c r="AG18" i="47" l="1"/>
  <c r="AH15" i="47" l="1"/>
  <c r="AJ84" i="45" s="1"/>
  <c r="AC31" i="53"/>
  <c r="AH18" i="47" l="1"/>
  <c r="AI15" i="47" l="1"/>
  <c r="AK84" i="45" s="1"/>
  <c r="AD31" i="53"/>
  <c r="AI18" i="47" l="1"/>
  <c r="AJ15" i="47" l="1"/>
  <c r="AL84" i="45" s="1"/>
  <c r="AE31" i="53"/>
  <c r="AJ18" i="47" l="1"/>
  <c r="AK15" i="47" l="1"/>
  <c r="AM84" i="45" s="1"/>
  <c r="AF31" i="53"/>
  <c r="AK18" i="47" l="1"/>
  <c r="AL15" i="47" l="1"/>
  <c r="AN84" i="45" s="1"/>
  <c r="AG31" i="53"/>
  <c r="AL18" i="47" l="1"/>
  <c r="AM15" i="47" l="1"/>
  <c r="AO84" i="45" s="1"/>
  <c r="AH31" i="53"/>
  <c r="AM18" i="47" l="1"/>
  <c r="AI31" i="53" l="1"/>
  <c r="AN15" i="47"/>
  <c r="AP84" i="45" s="1"/>
  <c r="AN18" i="47" l="1"/>
  <c r="AO15" i="47" l="1"/>
  <c r="AQ84" i="45" s="1"/>
  <c r="AJ31" i="53"/>
  <c r="AO18" i="47" l="1"/>
  <c r="AK31" i="53" l="1"/>
  <c r="AP15" i="47"/>
  <c r="AR84" i="45" s="1"/>
  <c r="AP18" i="47" l="1"/>
  <c r="AQ15" i="47" l="1"/>
  <c r="AS84" i="45" s="1"/>
  <c r="AL31" i="53"/>
  <c r="AQ18" i="47" l="1"/>
  <c r="AR15" i="47" l="1"/>
  <c r="AT84" i="45" s="1"/>
  <c r="L112" i="26" s="1"/>
  <c r="AM31" i="53"/>
  <c r="AR18" i="47" l="1"/>
  <c r="DJ12" i="53"/>
  <c r="AN31" i="53" l="1"/>
  <c r="AS15" i="47"/>
  <c r="AU84" i="45" s="1"/>
  <c r="AS18" i="47" l="1"/>
  <c r="AT15" i="47" l="1"/>
  <c r="AV84" i="45" s="1"/>
  <c r="AO31" i="53"/>
  <c r="AT18" i="47" l="1"/>
  <c r="AU15" i="47" l="1"/>
  <c r="AW84" i="45" s="1"/>
  <c r="AP31" i="53"/>
  <c r="AU18" i="47" l="1"/>
  <c r="AQ31" i="53" l="1"/>
  <c r="AV15" i="47"/>
  <c r="AX84" i="45" s="1"/>
  <c r="AV18" i="47" l="1"/>
  <c r="AW15" i="47" l="1"/>
  <c r="AY84" i="45" s="1"/>
  <c r="AR31" i="53"/>
  <c r="AW18" i="47" l="1"/>
  <c r="AX15" i="47" l="1"/>
  <c r="AZ84" i="45" s="1"/>
  <c r="AS31" i="53"/>
  <c r="AX18" i="47" l="1"/>
  <c r="AY15" i="47" l="1"/>
  <c r="BA84" i="45" s="1"/>
  <c r="AT31" i="53"/>
  <c r="AY18" i="47" l="1"/>
  <c r="AU31" i="53" l="1"/>
  <c r="AZ15" i="47"/>
  <c r="BB84" i="45" s="1"/>
  <c r="AZ18" i="47" l="1"/>
  <c r="AV31" i="53" l="1"/>
  <c r="BA15" i="47"/>
  <c r="BC84" i="45" s="1"/>
  <c r="BA18" i="47" l="1"/>
  <c r="AW31" i="53" l="1"/>
  <c r="BB15" i="47"/>
  <c r="BD84" i="45" s="1"/>
  <c r="BB18" i="47" l="1"/>
  <c r="AX31" i="53" l="1"/>
  <c r="BC15" i="47"/>
  <c r="BE84" i="45" s="1"/>
  <c r="BC18" i="47" l="1"/>
  <c r="BD15" i="47" l="1"/>
  <c r="BF84" i="45" s="1"/>
  <c r="M112" i="26" s="1"/>
  <c r="AY31" i="53"/>
  <c r="BD18" i="47" l="1"/>
  <c r="BE15" i="47" l="1"/>
  <c r="AZ31" i="53"/>
  <c r="BE18" i="47" l="1"/>
  <c r="BF15" i="47" s="1"/>
  <c r="BG84" i="45"/>
  <c r="BA31" i="53" l="1"/>
  <c r="BF18" i="47"/>
  <c r="BB31" i="53" s="1"/>
  <c r="BH84" i="45"/>
  <c r="BG15" i="47" l="1"/>
  <c r="BG18" i="47" s="1"/>
  <c r="BI84" i="45" l="1"/>
  <c r="BH15" i="47"/>
  <c r="BH18" i="47" s="1"/>
  <c r="BD31" i="53" s="1"/>
  <c r="BC31" i="53"/>
  <c r="BJ84" i="45" l="1"/>
  <c r="BI15" i="47"/>
  <c r="BI18" i="47" s="1"/>
  <c r="BE31" i="53" s="1"/>
  <c r="BK84" i="45" l="1"/>
  <c r="BJ15" i="47"/>
  <c r="BJ18" i="47" s="1"/>
  <c r="BK15" i="47" s="1"/>
  <c r="BL84" i="45" l="1"/>
  <c r="BF31" i="53"/>
  <c r="BK18" i="47"/>
  <c r="BG31" i="53" s="1"/>
  <c r="BM84" i="45"/>
  <c r="BL15" i="47" l="1"/>
  <c r="BL18" i="47" s="1"/>
  <c r="BM15" i="47" s="1"/>
  <c r="BN84" i="45" l="1"/>
  <c r="BH31" i="53"/>
  <c r="BM18" i="47"/>
  <c r="BN15" i="47" s="1"/>
  <c r="BO84" i="45"/>
  <c r="BI31" i="53" l="1"/>
  <c r="BN18" i="47"/>
  <c r="BO15" i="47" s="1"/>
  <c r="BP84" i="45"/>
  <c r="BJ31" i="53" l="1"/>
  <c r="BO18" i="47"/>
  <c r="BP15" i="47" s="1"/>
  <c r="BQ84" i="45"/>
  <c r="BK31" i="53" l="1"/>
  <c r="BP18" i="47"/>
  <c r="BQ15" i="47" s="1"/>
  <c r="BR84" i="45"/>
  <c r="N112" i="26" s="1"/>
  <c r="BL31" i="53" l="1"/>
  <c r="BQ18" i="47"/>
  <c r="BM31" i="53" s="1"/>
  <c r="BS84" i="45"/>
  <c r="BR15" i="47" l="1"/>
  <c r="BR18" i="47" s="1"/>
  <c r="BS15" i="47" s="1"/>
  <c r="BT84" i="45" l="1"/>
  <c r="BN31" i="53"/>
  <c r="BS18" i="47"/>
  <c r="BO31" i="53" s="1"/>
  <c r="BU84" i="45"/>
  <c r="BT15" i="47" l="1"/>
  <c r="BT18" i="47" s="1"/>
  <c r="BU15" i="47" s="1"/>
  <c r="BV84" i="45" l="1"/>
  <c r="BU18" i="47"/>
  <c r="BQ31" i="53" s="1"/>
  <c r="BW84" i="45"/>
  <c r="BP31" i="53"/>
  <c r="BV15" i="47" l="1"/>
  <c r="BV18" i="47" s="1"/>
  <c r="BR31" i="53" s="1"/>
  <c r="BX84" i="45" l="1"/>
  <c r="BW15" i="47"/>
  <c r="BW18" i="47" s="1"/>
  <c r="BX15" i="47" s="1"/>
  <c r="BY84" i="45" l="1"/>
  <c r="BS31" i="53"/>
  <c r="BX18" i="47"/>
  <c r="BT31" i="53" s="1"/>
  <c r="BZ84" i="45"/>
  <c r="BY15" i="47" l="1"/>
  <c r="BY18" i="47" s="1"/>
  <c r="BZ15" i="47" s="1"/>
  <c r="CA84" i="45" l="1"/>
  <c r="BU31" i="53"/>
  <c r="BZ18" i="47"/>
  <c r="CA15" i="47" s="1"/>
  <c r="CB84" i="45"/>
  <c r="BV31" i="53" l="1"/>
  <c r="CA18" i="47"/>
  <c r="CB15" i="47" s="1"/>
  <c r="CC84" i="45"/>
  <c r="BW31" i="53" l="1"/>
  <c r="CB18" i="47"/>
  <c r="CC15" i="47" s="1"/>
  <c r="CD84" i="45"/>
  <c r="O112" i="26" s="1"/>
  <c r="BX31" i="53" l="1"/>
  <c r="CC18" i="47"/>
  <c r="CD15" i="47" s="1"/>
  <c r="CE84" i="45"/>
  <c r="CD18" i="47" l="1"/>
  <c r="CE15" i="47" s="1"/>
  <c r="CF84" i="45"/>
  <c r="CE18" i="47" l="1"/>
  <c r="CF15" i="47" s="1"/>
  <c r="CG84" i="45"/>
  <c r="CF18" i="47" l="1"/>
  <c r="CG15" i="47" s="1"/>
  <c r="CH84" i="45"/>
  <c r="CG18" i="47" l="1"/>
  <c r="CH15" i="47" s="1"/>
  <c r="CI84" i="45"/>
  <c r="CH18" i="47" l="1"/>
  <c r="CI15" i="47" s="1"/>
  <c r="CJ84" i="45"/>
  <c r="CI18" i="47" l="1"/>
  <c r="CJ15" i="47" s="1"/>
  <c r="CK84" i="45"/>
  <c r="CJ18" i="47" l="1"/>
  <c r="CK15" i="47" s="1"/>
  <c r="CL84" i="45"/>
  <c r="CK18" i="47" l="1"/>
  <c r="CL15" i="47" s="1"/>
  <c r="CM84" i="45"/>
  <c r="CL18" i="47" l="1"/>
  <c r="CM15" i="47" s="1"/>
  <c r="CN84" i="45"/>
  <c r="CM18" i="47" l="1"/>
  <c r="CN15" i="47" s="1"/>
  <c r="CO84" i="45"/>
  <c r="CN18" i="47" l="1"/>
  <c r="CO15" i="47" s="1"/>
  <c r="CP84" i="45"/>
  <c r="P112" i="26" s="1"/>
  <c r="CO18" i="47" l="1"/>
  <c r="CP15" i="47" s="1"/>
  <c r="CQ84" i="45"/>
  <c r="CP18" i="47" l="1"/>
  <c r="CQ15" i="47" s="1"/>
  <c r="CR84" i="45"/>
  <c r="CQ18" i="47" l="1"/>
  <c r="CR15" i="47" s="1"/>
  <c r="CS84" i="45"/>
  <c r="CR18" i="47" l="1"/>
  <c r="CS15" i="47" s="1"/>
  <c r="CT84" i="45"/>
  <c r="CS18" i="47" l="1"/>
  <c r="CT15" i="47" s="1"/>
  <c r="CU84" i="45"/>
  <c r="CT18" i="47" l="1"/>
  <c r="CU15" i="47" s="1"/>
  <c r="CV84" i="45"/>
  <c r="CU18" i="47" l="1"/>
  <c r="CV15" i="47" s="1"/>
  <c r="CW84" i="45"/>
  <c r="CV18" i="47" l="1"/>
  <c r="CW15" i="47" s="1"/>
  <c r="CX84" i="45"/>
  <c r="CW18" i="47" l="1"/>
  <c r="CX15" i="47" s="1"/>
  <c r="CY84" i="45"/>
  <c r="CX18" i="47" l="1"/>
  <c r="CY15" i="47" s="1"/>
  <c r="CZ84" i="45"/>
  <c r="CY18" i="47" l="1"/>
  <c r="CZ15" i="47" s="1"/>
  <c r="DA84" i="45"/>
  <c r="CZ18" i="47" l="1"/>
  <c r="DA15" i="47" s="1"/>
  <c r="DB84" i="45"/>
  <c r="Q112" i="26" s="1"/>
  <c r="DA18" i="47" l="1"/>
  <c r="DB15" i="47" s="1"/>
  <c r="DC84" i="45"/>
  <c r="DB18" i="47" l="1"/>
  <c r="DC15" i="47" s="1"/>
  <c r="DD84" i="45"/>
  <c r="DC18" i="47" l="1"/>
  <c r="DD15" i="47" s="1"/>
  <c r="DE84" i="45"/>
  <c r="DD18" i="47" l="1"/>
  <c r="DE15" i="47" s="1"/>
  <c r="DF84" i="45"/>
  <c r="DE18" i="47" l="1"/>
  <c r="DF15" i="47" s="1"/>
  <c r="DG84" i="45"/>
  <c r="DF18" i="47" l="1"/>
  <c r="DG15" i="47" s="1"/>
  <c r="DH84" i="45"/>
  <c r="DG18" i="47" l="1"/>
  <c r="DH15" i="47" s="1"/>
  <c r="DI84" i="45"/>
  <c r="DH18" i="47" l="1"/>
  <c r="DI15" i="47" s="1"/>
  <c r="DJ84" i="45"/>
  <c r="DP84" i="45" l="1"/>
  <c r="DI18" i="47"/>
  <c r="DJ15" i="47" s="1"/>
  <c r="DK84" i="45"/>
  <c r="DJ18" i="47" l="1"/>
  <c r="DK15" i="47" s="1"/>
  <c r="DL84" i="45"/>
  <c r="DK18" i="47" l="1"/>
  <c r="DL15" i="47" s="1"/>
  <c r="DM84" i="45"/>
  <c r="DL18" i="47" l="1"/>
  <c r="DN84" i="45"/>
  <c r="R112" i="26" s="1"/>
  <c r="S112" i="26" s="1"/>
  <c r="K87" i="45" l="1"/>
  <c r="K91" i="45" l="1"/>
  <c r="K93" i="45" l="1"/>
  <c r="K114" i="45" l="1"/>
  <c r="K116" i="45" s="1"/>
  <c r="K117" i="45" s="1"/>
  <c r="R247" i="26" l="1"/>
  <c r="R248" i="26"/>
  <c r="R249" i="26" l="1"/>
  <c r="R250" i="26" l="1"/>
  <c r="R251" i="26" l="1"/>
  <c r="I44" i="47" l="1"/>
  <c r="K130" i="45" s="1"/>
  <c r="K118" i="45"/>
  <c r="K120" i="45" l="1"/>
  <c r="K122" i="45" s="1"/>
  <c r="E5" i="53" s="1"/>
  <c r="I8" i="71"/>
  <c r="I23" i="47"/>
  <c r="I10" i="71" l="1"/>
  <c r="I16" i="71"/>
  <c r="K125" i="45"/>
  <c r="E6" i="53" s="1"/>
  <c r="E7" i="53" s="1"/>
  <c r="I17" i="71" l="1"/>
  <c r="I18" i="71" s="1"/>
  <c r="I24" i="47"/>
  <c r="I32" i="47" l="1"/>
  <c r="E32" i="53" s="1"/>
  <c r="I25" i="47"/>
  <c r="E30" i="53" l="1"/>
  <c r="K126" i="45"/>
  <c r="J22" i="47"/>
  <c r="E9" i="53" l="1"/>
  <c r="E10" i="53" s="1"/>
  <c r="E13" i="53" s="1"/>
  <c r="I10" i="47"/>
  <c r="I11" i="47" s="1"/>
  <c r="L85" i="45"/>
  <c r="K128" i="45"/>
  <c r="E29" i="53" l="1"/>
  <c r="E33" i="53" s="1"/>
  <c r="I35" i="47"/>
  <c r="I37" i="47" s="1"/>
  <c r="J8" i="47"/>
  <c r="K132" i="45"/>
  <c r="J14" i="71" l="1"/>
  <c r="L83" i="45"/>
  <c r="L87" i="45" s="1"/>
  <c r="L91" i="45" s="1"/>
  <c r="K134" i="45"/>
  <c r="J15" i="71" l="1"/>
  <c r="J7" i="71"/>
  <c r="K135" i="45"/>
  <c r="I43" i="47" s="1"/>
  <c r="I45" i="47" s="1"/>
  <c r="K140" i="45"/>
  <c r="L93" i="45"/>
  <c r="K141" i="45" l="1"/>
  <c r="K142" i="45" s="1"/>
  <c r="I93" i="47" s="1"/>
  <c r="I99" i="47"/>
  <c r="I100" i="47" s="1"/>
  <c r="J97" i="47" s="1"/>
  <c r="L114" i="45"/>
  <c r="L116" i="45" s="1"/>
  <c r="E20" i="53"/>
  <c r="J41" i="47"/>
  <c r="K143" i="45" l="1"/>
  <c r="K146" i="45" s="1"/>
  <c r="I73" i="47" s="1"/>
  <c r="I74" i="47" s="1"/>
  <c r="J71" i="47" s="1"/>
  <c r="I94" i="47"/>
  <c r="J91" i="47" s="1"/>
  <c r="K147" i="45" l="1"/>
  <c r="K148" i="45" s="1"/>
  <c r="I67" i="47" s="1"/>
  <c r="I68" i="47" s="1"/>
  <c r="J66" i="47" s="1"/>
  <c r="J98" i="47"/>
  <c r="E21" i="53" l="1"/>
  <c r="E22" i="53" s="1"/>
  <c r="J72" i="47"/>
  <c r="K149" i="45"/>
  <c r="K152" i="45" l="1"/>
  <c r="I76" i="47" s="1"/>
  <c r="K153" i="45"/>
  <c r="I102" i="47" s="1"/>
  <c r="K154" i="45"/>
  <c r="I114" i="47" s="1"/>
  <c r="I115" i="47" l="1"/>
  <c r="I118" i="47" s="1"/>
  <c r="D8" i="97"/>
  <c r="D6" i="97"/>
  <c r="I105" i="47"/>
  <c r="I78" i="47"/>
  <c r="I79" i="47" s="1"/>
  <c r="I125" i="47" s="1"/>
  <c r="K155" i="45"/>
  <c r="K157" i="45" s="1"/>
  <c r="I127" i="47" l="1"/>
  <c r="I128" i="47" s="1"/>
  <c r="I131" i="47" s="1"/>
  <c r="D7" i="97"/>
  <c r="D9" i="97" s="1"/>
  <c r="I83" i="47"/>
  <c r="I80" i="47"/>
  <c r="D11" i="97" l="1"/>
  <c r="J44" i="47"/>
  <c r="D12" i="97" l="1"/>
  <c r="L117" i="45"/>
  <c r="L130" i="45"/>
  <c r="L118" i="45" l="1"/>
  <c r="J8" i="71" s="1"/>
  <c r="L120" i="45" l="1"/>
  <c r="L122" i="45" s="1"/>
  <c r="J23" i="47"/>
  <c r="J16" i="71"/>
  <c r="J10" i="71"/>
  <c r="F5" i="53" l="1"/>
  <c r="L125" i="45"/>
  <c r="J17" i="71"/>
  <c r="J24" i="47" l="1"/>
  <c r="F6" i="53"/>
  <c r="F7" i="53" s="1"/>
  <c r="J18" i="71"/>
  <c r="J25" i="47" l="1"/>
  <c r="F30" i="53" l="1"/>
  <c r="K22" i="47"/>
  <c r="L126" i="45"/>
  <c r="J10" i="47" s="1"/>
  <c r="J11" i="47" s="1"/>
  <c r="K8" i="47" s="1"/>
  <c r="J35" i="47" l="1"/>
  <c r="J37" i="47" s="1"/>
  <c r="F29" i="53"/>
  <c r="F33" i="53" s="1"/>
  <c r="M83" i="45"/>
  <c r="K14" i="71"/>
  <c r="M85" i="45"/>
  <c r="F9" i="53"/>
  <c r="L128" i="45"/>
  <c r="F10" i="53" l="1"/>
  <c r="F13" i="53" s="1"/>
  <c r="K15" i="71"/>
  <c r="K7" i="71"/>
  <c r="M87" i="45"/>
  <c r="M91" i="45" l="1"/>
  <c r="M93" i="45" l="1"/>
  <c r="M114" i="45" l="1"/>
  <c r="M116" i="45" s="1"/>
  <c r="DL117" i="45" l="1"/>
  <c r="DL118" i="45" l="1"/>
  <c r="DL120" i="45" s="1"/>
  <c r="DL122" i="45" s="1"/>
  <c r="DF5" i="53" l="1"/>
  <c r="DJ8" i="71"/>
  <c r="DJ23" i="47"/>
  <c r="DM117" i="45" l="1"/>
  <c r="DM118" i="45" l="1"/>
  <c r="DM120" i="45" s="1"/>
  <c r="DM122" i="45" s="1"/>
  <c r="DG5" i="53" l="1"/>
  <c r="DK23" i="47"/>
  <c r="DK8" i="71"/>
  <c r="DN117" i="45" l="1"/>
  <c r="DN118" i="45" l="1"/>
  <c r="DN120" i="45" s="1"/>
  <c r="DN122" i="45" s="1"/>
  <c r="DH5" i="53" l="1"/>
  <c r="DL8" i="71"/>
  <c r="DL23" i="47"/>
  <c r="L132" i="45" l="1"/>
  <c r="L134" i="45" s="1"/>
  <c r="L140" i="45" s="1"/>
  <c r="J99" i="47" s="1"/>
  <c r="J100" i="47" s="1"/>
  <c r="K97" i="47" s="1"/>
  <c r="L135" i="45" l="1"/>
  <c r="J43" i="47" s="1"/>
  <c r="J45" i="47" s="1"/>
  <c r="F20" i="53" s="1"/>
  <c r="L141" i="45"/>
  <c r="K41" i="47" l="1"/>
  <c r="K44" i="47" s="1"/>
  <c r="M117" i="45" s="1"/>
  <c r="L142" i="45"/>
  <c r="L143" i="45" l="1"/>
  <c r="L146" i="45" s="1"/>
  <c r="L147" i="45" s="1"/>
  <c r="J93" i="47"/>
  <c r="M130" i="45"/>
  <c r="M118" i="45"/>
  <c r="J94" i="47" l="1"/>
  <c r="K91" i="47" s="1"/>
  <c r="K98" i="47" s="1"/>
  <c r="K8" i="71"/>
  <c r="K23" i="47"/>
  <c r="M120" i="45"/>
  <c r="J73" i="47"/>
  <c r="L148" i="45"/>
  <c r="L149" i="45" s="1"/>
  <c r="M122" i="45" l="1"/>
  <c r="K16" i="71"/>
  <c r="K10" i="71"/>
  <c r="J74" i="47"/>
  <c r="K71" i="47" s="1"/>
  <c r="L153" i="45"/>
  <c r="J102" i="47" s="1"/>
  <c r="L154" i="45"/>
  <c r="J114" i="47" s="1"/>
  <c r="L152" i="45"/>
  <c r="J67" i="47"/>
  <c r="J115" i="47" l="1"/>
  <c r="J118" i="47" s="1"/>
  <c r="E8" i="97"/>
  <c r="E6" i="97"/>
  <c r="J105" i="47"/>
  <c r="K17" i="71"/>
  <c r="K18" i="71" s="1"/>
  <c r="L155" i="45"/>
  <c r="G5" i="53"/>
  <c r="M125" i="45"/>
  <c r="J76" i="47"/>
  <c r="J68" i="47"/>
  <c r="K66" i="47" s="1"/>
  <c r="F21" i="53"/>
  <c r="F22" i="53" s="1"/>
  <c r="L157" i="45" l="1"/>
  <c r="J127" i="47"/>
  <c r="K24" i="47"/>
  <c r="G6" i="53"/>
  <c r="G7" i="53" s="1"/>
  <c r="J78" i="47"/>
  <c r="K72" i="47"/>
  <c r="E11" i="97" l="1"/>
  <c r="K25" i="47"/>
  <c r="E7" i="97"/>
  <c r="E9" i="97" s="1"/>
  <c r="J83" i="47"/>
  <c r="J79" i="47"/>
  <c r="J80" i="47" s="1"/>
  <c r="E12" i="97" l="1"/>
  <c r="L22" i="47"/>
  <c r="N85" i="45" s="1"/>
  <c r="G30" i="53"/>
  <c r="M126" i="45"/>
  <c r="K10" i="47" s="1"/>
  <c r="K11" i="47" s="1"/>
  <c r="L8" i="47" s="1"/>
  <c r="J125" i="47"/>
  <c r="G29" i="53" l="1"/>
  <c r="G33" i="53" s="1"/>
  <c r="K35" i="47"/>
  <c r="K37" i="47" s="1"/>
  <c r="N83" i="45"/>
  <c r="L14" i="71"/>
  <c r="G9" i="53"/>
  <c r="M128" i="45"/>
  <c r="J128" i="47"/>
  <c r="J131" i="47" l="1"/>
  <c r="M132" i="45"/>
  <c r="G10" i="53"/>
  <c r="G13" i="53" s="1"/>
  <c r="L15" i="71"/>
  <c r="L7" i="71"/>
  <c r="M14" i="71"/>
  <c r="N87" i="45"/>
  <c r="N91" i="45" l="1"/>
  <c r="N14" i="71"/>
  <c r="M7" i="71"/>
  <c r="M15" i="71"/>
  <c r="M134" i="45"/>
  <c r="M135" i="45" s="1"/>
  <c r="K43" i="47" s="1"/>
  <c r="K45" i="47" s="1"/>
  <c r="G20" i="53" l="1"/>
  <c r="L41" i="47"/>
  <c r="M140" i="45"/>
  <c r="O14" i="71"/>
  <c r="N7" i="71"/>
  <c r="N15" i="71"/>
  <c r="N93" i="45"/>
  <c r="M141" i="45" l="1"/>
  <c r="M142" i="45" s="1"/>
  <c r="K93" i="47" s="1"/>
  <c r="K99" i="47"/>
  <c r="N114" i="45"/>
  <c r="N116" i="45" s="1"/>
  <c r="O7" i="71"/>
  <c r="O15" i="71"/>
  <c r="K100" i="47" l="1"/>
  <c r="L97" i="47" s="1"/>
  <c r="K94" i="47"/>
  <c r="L91" i="47" s="1"/>
  <c r="L44" i="47"/>
  <c r="M143" i="45"/>
  <c r="L98" i="47" l="1"/>
  <c r="M146" i="45"/>
  <c r="M147" i="45" s="1"/>
  <c r="N117" i="45"/>
  <c r="N130" i="45"/>
  <c r="N118" i="45" l="1"/>
  <c r="M148" i="45"/>
  <c r="K73" i="47"/>
  <c r="K67" i="47" l="1"/>
  <c r="L8" i="71"/>
  <c r="L23" i="47"/>
  <c r="N120" i="45"/>
  <c r="K74" i="47"/>
  <c r="L71" i="47" s="1"/>
  <c r="M149" i="45"/>
  <c r="M153" i="45" l="1"/>
  <c r="K102" i="47" s="1"/>
  <c r="M152" i="45"/>
  <c r="M154" i="45"/>
  <c r="K114" i="47" s="1"/>
  <c r="L16" i="71"/>
  <c r="L10" i="71"/>
  <c r="N122" i="45"/>
  <c r="G21" i="53"/>
  <c r="G22" i="53" s="1"/>
  <c r="K68" i="47"/>
  <c r="L66" i="47" s="1"/>
  <c r="K115" i="47" l="1"/>
  <c r="K118" i="47" s="1"/>
  <c r="F8" i="97"/>
  <c r="K105" i="47"/>
  <c r="F6" i="97"/>
  <c r="M155" i="45"/>
  <c r="K127" i="47" s="1"/>
  <c r="N125" i="45"/>
  <c r="H5" i="53"/>
  <c r="L72" i="47"/>
  <c r="K76" i="47"/>
  <c r="L17" i="71"/>
  <c r="L18" i="71" s="1"/>
  <c r="F11" i="97" l="1"/>
  <c r="M157" i="45"/>
  <c r="K78" i="47"/>
  <c r="K79" i="47" s="1"/>
  <c r="H6" i="53"/>
  <c r="L24" i="47"/>
  <c r="K125" i="47" l="1"/>
  <c r="L25" i="47"/>
  <c r="H7" i="53"/>
  <c r="F7" i="97"/>
  <c r="F9" i="97" s="1"/>
  <c r="K80" i="47"/>
  <c r="K83" i="47"/>
  <c r="F12" i="97" l="1"/>
  <c r="N126" i="45"/>
  <c r="L10" i="47" s="1"/>
  <c r="L11" i="47" s="1"/>
  <c r="L35" i="47" s="1"/>
  <c r="L37" i="47" s="1"/>
  <c r="H30" i="53"/>
  <c r="M22" i="47"/>
  <c r="O85" i="45" s="1"/>
  <c r="K128" i="47"/>
  <c r="H29" i="53" l="1"/>
  <c r="H33" i="53" s="1"/>
  <c r="M8" i="47"/>
  <c r="O83" i="45" s="1"/>
  <c r="O87" i="45" s="1"/>
  <c r="K131" i="47"/>
  <c r="H9" i="53"/>
  <c r="N128" i="45"/>
  <c r="N132" i="45" l="1"/>
  <c r="O91" i="45"/>
  <c r="H10" i="53"/>
  <c r="H13" i="53" s="1"/>
  <c r="O93" i="45" l="1"/>
  <c r="N134" i="45"/>
  <c r="N140" i="45" s="1"/>
  <c r="L99" i="47" s="1"/>
  <c r="L100" i="47" l="1"/>
  <c r="M97" i="47" s="1"/>
  <c r="N135" i="45"/>
  <c r="L43" i="47" s="1"/>
  <c r="L45" i="47" s="1"/>
  <c r="N141" i="45"/>
  <c r="O114" i="45"/>
  <c r="O116" i="45" s="1"/>
  <c r="N142" i="45" l="1"/>
  <c r="L93" i="47" s="1"/>
  <c r="H20" i="53"/>
  <c r="M41" i="47"/>
  <c r="L94" i="47" l="1"/>
  <c r="M91" i="47" s="1"/>
  <c r="N143" i="45"/>
  <c r="M44" i="47"/>
  <c r="O117" i="45" s="1"/>
  <c r="M98" i="47" l="1"/>
  <c r="O118" i="45"/>
  <c r="N146" i="45"/>
  <c r="O130" i="45"/>
  <c r="M8" i="71" l="1"/>
  <c r="M23" i="47"/>
  <c r="L73" i="47"/>
  <c r="O120" i="45"/>
  <c r="N147" i="45"/>
  <c r="L74" i="47" l="1"/>
  <c r="M71" i="47" s="1"/>
  <c r="N148" i="45"/>
  <c r="N149" i="45" s="1"/>
  <c r="O122" i="45"/>
  <c r="M16" i="71"/>
  <c r="M10" i="71"/>
  <c r="I5" i="53" l="1"/>
  <c r="O125" i="45"/>
  <c r="M17" i="71"/>
  <c r="M18" i="71" s="1"/>
  <c r="N153" i="45"/>
  <c r="L102" i="47" s="1"/>
  <c r="N154" i="45"/>
  <c r="L114" i="47" s="1"/>
  <c r="N152" i="45"/>
  <c r="L67" i="47"/>
  <c r="G6" i="97" l="1"/>
  <c r="L105" i="47"/>
  <c r="L115" i="47"/>
  <c r="L118" i="47" s="1"/>
  <c r="G8" i="97"/>
  <c r="L76" i="47"/>
  <c r="L78" i="47" s="1"/>
  <c r="N155" i="45"/>
  <c r="H21" i="53"/>
  <c r="H22" i="53" s="1"/>
  <c r="L68" i="47"/>
  <c r="M66" i="47" s="1"/>
  <c r="I6" i="53"/>
  <c r="M24" i="47"/>
  <c r="N157" i="45" l="1"/>
  <c r="L127" i="47"/>
  <c r="G7" i="97"/>
  <c r="G9" i="97" s="1"/>
  <c r="L83" i="47"/>
  <c r="M25" i="47"/>
  <c r="I7" i="53"/>
  <c r="M72" i="47"/>
  <c r="L79" i="47"/>
  <c r="G11" i="97" l="1"/>
  <c r="G12" i="97" s="1"/>
  <c r="N22" i="47"/>
  <c r="I30" i="53"/>
  <c r="O126" i="45"/>
  <c r="M10" i="47" s="1"/>
  <c r="M11" i="47" s="1"/>
  <c r="I29" i="53" s="1"/>
  <c r="L125" i="47"/>
  <c r="L80" i="47"/>
  <c r="N8" i="47" l="1"/>
  <c r="P83" i="45" s="1"/>
  <c r="M35" i="47"/>
  <c r="M37" i="47" s="1"/>
  <c r="L128" i="47"/>
  <c r="I9" i="53"/>
  <c r="O128" i="45"/>
  <c r="P85" i="45"/>
  <c r="I33" i="53"/>
  <c r="L131" i="47" l="1"/>
  <c r="O132" i="45"/>
  <c r="I10" i="53"/>
  <c r="I13" i="53" s="1"/>
  <c r="P87" i="45"/>
  <c r="P91" i="45" l="1"/>
  <c r="O134" i="45"/>
  <c r="O140" i="45" l="1"/>
  <c r="M99" i="47" s="1"/>
  <c r="O135" i="45"/>
  <c r="M43" i="47" s="1"/>
  <c r="M45" i="47" s="1"/>
  <c r="P93" i="45"/>
  <c r="O141" i="45" l="1"/>
  <c r="O142" i="45" s="1"/>
  <c r="M93" i="47" s="1"/>
  <c r="M100" i="47"/>
  <c r="N97" i="47" s="1"/>
  <c r="P114" i="45"/>
  <c r="P116" i="45" s="1"/>
  <c r="I20" i="53"/>
  <c r="N41" i="47"/>
  <c r="M94" i="47" l="1"/>
  <c r="N91" i="47" s="1"/>
  <c r="O143" i="45"/>
  <c r="N44" i="47"/>
  <c r="P117" i="45" s="1"/>
  <c r="P118" i="45" s="1"/>
  <c r="N98" i="47" l="1"/>
  <c r="N23" i="47"/>
  <c r="N8" i="71"/>
  <c r="P120" i="45"/>
  <c r="P130" i="45"/>
  <c r="O146" i="45"/>
  <c r="M73" i="47" l="1"/>
  <c r="P122" i="45"/>
  <c r="N16" i="71"/>
  <c r="N10" i="71"/>
  <c r="O147" i="45"/>
  <c r="O148" i="45" l="1"/>
  <c r="O149" i="45" s="1"/>
  <c r="N17" i="71"/>
  <c r="N18" i="71" s="1"/>
  <c r="P125" i="45"/>
  <c r="J5" i="53"/>
  <c r="M74" i="47"/>
  <c r="N71" i="47" s="1"/>
  <c r="N24" i="47" l="1"/>
  <c r="J6" i="53"/>
  <c r="O152" i="45"/>
  <c r="O154" i="45"/>
  <c r="M114" i="47" s="1"/>
  <c r="O153" i="45"/>
  <c r="M102" i="47" s="1"/>
  <c r="M67" i="47"/>
  <c r="M105" i="47" l="1"/>
  <c r="H6" i="97"/>
  <c r="M115" i="47"/>
  <c r="M118" i="47" s="1"/>
  <c r="H8" i="97"/>
  <c r="O155" i="45"/>
  <c r="M127" i="47" s="1"/>
  <c r="M76" i="47"/>
  <c r="N25" i="47"/>
  <c r="I21" i="53"/>
  <c r="I22" i="53" s="1"/>
  <c r="M68" i="47"/>
  <c r="N66" i="47" s="1"/>
  <c r="J7" i="53"/>
  <c r="O157" i="45" l="1"/>
  <c r="H11" i="97"/>
  <c r="O22" i="47"/>
  <c r="Q85" i="45" s="1"/>
  <c r="J30" i="53"/>
  <c r="P126" i="45"/>
  <c r="N10" i="47" s="1"/>
  <c r="N11" i="47" s="1"/>
  <c r="N35" i="47" s="1"/>
  <c r="N37" i="47" s="1"/>
  <c r="N72" i="47"/>
  <c r="M78" i="47"/>
  <c r="J29" i="53" l="1"/>
  <c r="J33" i="53" s="1"/>
  <c r="O8" i="47"/>
  <c r="Q83" i="45" s="1"/>
  <c r="Q87" i="45" s="1"/>
  <c r="H7" i="97"/>
  <c r="H9" i="97" s="1"/>
  <c r="H12" i="97" s="1"/>
  <c r="M83" i="47"/>
  <c r="M79" i="47"/>
  <c r="J9" i="53"/>
  <c r="P128" i="45"/>
  <c r="J10" i="53" l="1"/>
  <c r="J13" i="53" s="1"/>
  <c r="Q91" i="45"/>
  <c r="M125" i="47"/>
  <c r="M80" i="47"/>
  <c r="P132" i="45"/>
  <c r="M128" i="47" l="1"/>
  <c r="Q93" i="45"/>
  <c r="P134" i="45"/>
  <c r="P140" i="45" s="1"/>
  <c r="N99" i="47" s="1"/>
  <c r="M131" i="47" l="1"/>
  <c r="N100" i="47"/>
  <c r="O97" i="47" s="1"/>
  <c r="P135" i="45"/>
  <c r="N43" i="47" s="1"/>
  <c r="N45" i="47" s="1"/>
  <c r="O41" i="47" s="1"/>
  <c r="P141" i="45"/>
  <c r="Q114" i="45"/>
  <c r="Q116" i="45" s="1"/>
  <c r="J20" i="53" l="1"/>
  <c r="O44" i="47"/>
  <c r="Q117" i="45" s="1"/>
  <c r="Q118" i="45" s="1"/>
  <c r="P142" i="45"/>
  <c r="N93" i="47" s="1"/>
  <c r="Q130" i="45" l="1"/>
  <c r="N94" i="47"/>
  <c r="O91" i="47" s="1"/>
  <c r="O8" i="71"/>
  <c r="O23" i="47"/>
  <c r="P143" i="45"/>
  <c r="Q120" i="45"/>
  <c r="O98" i="47" l="1"/>
  <c r="P146" i="45"/>
  <c r="P147" i="45" s="1"/>
  <c r="Q122" i="45"/>
  <c r="O16" i="71"/>
  <c r="O10" i="71"/>
  <c r="O17" i="71" l="1"/>
  <c r="O18" i="71" s="1"/>
  <c r="K5" i="53"/>
  <c r="Q125" i="45"/>
  <c r="P148" i="45"/>
  <c r="N73" i="47"/>
  <c r="N74" i="47" l="1"/>
  <c r="O71" i="47" s="1"/>
  <c r="P149" i="45"/>
  <c r="N67" i="47"/>
  <c r="K6" i="53"/>
  <c r="K7" i="53" s="1"/>
  <c r="O24" i="47"/>
  <c r="O25" i="47" l="1"/>
  <c r="J21" i="53"/>
  <c r="J22" i="53" s="1"/>
  <c r="N68" i="47"/>
  <c r="O66" i="47" s="1"/>
  <c r="P154" i="45"/>
  <c r="N114" i="47" s="1"/>
  <c r="P152" i="45"/>
  <c r="P153" i="45"/>
  <c r="N102" i="47" s="1"/>
  <c r="N115" i="47" l="1"/>
  <c r="N118" i="47" s="1"/>
  <c r="I8" i="97"/>
  <c r="I6" i="97"/>
  <c r="N105" i="47"/>
  <c r="N76" i="47"/>
  <c r="O72" i="47"/>
  <c r="P22" i="47"/>
  <c r="Q126" i="45"/>
  <c r="O10" i="47" s="1"/>
  <c r="O11" i="47" s="1"/>
  <c r="K29" i="53" s="1"/>
  <c r="K30" i="53"/>
  <c r="P155" i="45"/>
  <c r="P8" i="47" l="1"/>
  <c r="R83" i="45" s="1"/>
  <c r="O35" i="47"/>
  <c r="O37" i="47" s="1"/>
  <c r="P157" i="45"/>
  <c r="N127" i="47"/>
  <c r="I11" i="97" s="1"/>
  <c r="K9" i="53"/>
  <c r="Q128" i="45"/>
  <c r="R85" i="45"/>
  <c r="K33" i="53"/>
  <c r="P14" i="71"/>
  <c r="N78" i="47"/>
  <c r="N79" i="47" s="1"/>
  <c r="P7" i="71" l="1"/>
  <c r="P15" i="71"/>
  <c r="Q14" i="71"/>
  <c r="R87" i="45"/>
  <c r="Q132" i="45"/>
  <c r="N125" i="47"/>
  <c r="N83" i="47"/>
  <c r="N80" i="47"/>
  <c r="I7" i="97"/>
  <c r="I9" i="97" s="1"/>
  <c r="I12" i="97" s="1"/>
  <c r="K10" i="53"/>
  <c r="K13" i="53" s="1"/>
  <c r="R91" i="45" l="1"/>
  <c r="Q7" i="71"/>
  <c r="R14" i="71"/>
  <c r="Q15" i="71"/>
  <c r="N128" i="47"/>
  <c r="Q134" i="45"/>
  <c r="N131" i="47" l="1"/>
  <c r="Q140" i="45"/>
  <c r="Q135" i="45"/>
  <c r="O43" i="47" s="1"/>
  <c r="O45" i="47" s="1"/>
  <c r="R93" i="45"/>
  <c r="R7" i="71"/>
  <c r="R15" i="71"/>
  <c r="S14" i="71"/>
  <c r="Q141" i="45" l="1"/>
  <c r="Q142" i="45" s="1"/>
  <c r="O99" i="47"/>
  <c r="R114" i="45"/>
  <c r="R116" i="45" s="1"/>
  <c r="P41" i="47"/>
  <c r="K20" i="53"/>
  <c r="T14" i="71"/>
  <c r="S15" i="71"/>
  <c r="S7" i="71"/>
  <c r="O100" i="47" l="1"/>
  <c r="P97" i="47" s="1"/>
  <c r="Q143" i="45"/>
  <c r="Q146" i="45" s="1"/>
  <c r="O93" i="47"/>
  <c r="P44" i="47"/>
  <c r="R117" i="45" s="1"/>
  <c r="T15" i="71"/>
  <c r="T7" i="71"/>
  <c r="U14" i="71"/>
  <c r="O94" i="47" l="1"/>
  <c r="P91" i="47" s="1"/>
  <c r="R118" i="45"/>
  <c r="R120" i="45" s="1"/>
  <c r="R122" i="45" s="1"/>
  <c r="R130" i="45"/>
  <c r="U15" i="71"/>
  <c r="U7" i="71"/>
  <c r="V14" i="71"/>
  <c r="Q147" i="45"/>
  <c r="O73" i="47"/>
  <c r="P98" i="47" l="1"/>
  <c r="L5" i="53"/>
  <c r="V15" i="71"/>
  <c r="V7" i="71"/>
  <c r="W14" i="71"/>
  <c r="O74" i="47"/>
  <c r="P71" i="47" s="1"/>
  <c r="Q148" i="45"/>
  <c r="P23" i="47"/>
  <c r="R125" i="45" s="1"/>
  <c r="P8" i="71"/>
  <c r="X14" i="71" l="1"/>
  <c r="W7" i="71"/>
  <c r="W15" i="71"/>
  <c r="P16" i="71"/>
  <c r="P10" i="71"/>
  <c r="O67" i="47"/>
  <c r="Q149" i="45"/>
  <c r="L6" i="53"/>
  <c r="L7" i="53" s="1"/>
  <c r="P24" i="47"/>
  <c r="P25" i="47" s="1"/>
  <c r="P17" i="71" l="1"/>
  <c r="P18" i="71" s="1"/>
  <c r="Q22" i="47"/>
  <c r="S85" i="45" s="1"/>
  <c r="L30" i="53"/>
  <c r="R126" i="45"/>
  <c r="P10" i="47" s="1"/>
  <c r="P11" i="47" s="1"/>
  <c r="Q8" i="47" s="1"/>
  <c r="S83" i="45" s="1"/>
  <c r="K21" i="53"/>
  <c r="K22" i="53" s="1"/>
  <c r="O68" i="47"/>
  <c r="P66" i="47" s="1"/>
  <c r="Q152" i="45"/>
  <c r="Q153" i="45"/>
  <c r="O102" i="47" s="1"/>
  <c r="Q154" i="45"/>
  <c r="O114" i="47" s="1"/>
  <c r="X7" i="71"/>
  <c r="Y14" i="71"/>
  <c r="X15" i="71"/>
  <c r="P35" i="47" l="1"/>
  <c r="P37" i="47" s="1"/>
  <c r="L29" i="53"/>
  <c r="L33" i="53" s="1"/>
  <c r="O115" i="47"/>
  <c r="O118" i="47" s="1"/>
  <c r="J8" i="97"/>
  <c r="O105" i="47"/>
  <c r="J6" i="97"/>
  <c r="Y7" i="71"/>
  <c r="Y15" i="71"/>
  <c r="Z14" i="71"/>
  <c r="P72" i="47"/>
  <c r="Q155" i="45"/>
  <c r="O127" i="47" s="1"/>
  <c r="J11" i="97" s="1"/>
  <c r="O76" i="47"/>
  <c r="L9" i="53"/>
  <c r="L10" i="53" s="1"/>
  <c r="L13" i="53" s="1"/>
  <c r="R128" i="45"/>
  <c r="S87" i="45"/>
  <c r="S91" i="45" s="1"/>
  <c r="S93" i="45" s="1"/>
  <c r="S114" i="45" s="1"/>
  <c r="S116" i="45" s="1"/>
  <c r="Q157" i="45" l="1"/>
  <c r="R132" i="45"/>
  <c r="J156" i="26"/>
  <c r="Z7" i="71"/>
  <c r="AA14" i="71"/>
  <c r="Z15" i="71"/>
  <c r="O78" i="47"/>
  <c r="O79" i="47" s="1"/>
  <c r="R134" i="45" l="1"/>
  <c r="R140" i="45" s="1"/>
  <c r="P99" i="47" s="1"/>
  <c r="P100" i="47" s="1"/>
  <c r="Q97" i="47" s="1"/>
  <c r="O125" i="47"/>
  <c r="J7" i="97"/>
  <c r="J9" i="97" s="1"/>
  <c r="J12" i="97" s="1"/>
  <c r="O83" i="47"/>
  <c r="O80" i="47"/>
  <c r="AB14" i="71"/>
  <c r="AA15" i="71"/>
  <c r="AA7" i="71"/>
  <c r="AB7" i="71" l="1"/>
  <c r="AB15" i="71"/>
  <c r="AC14" i="71"/>
  <c r="O128" i="47"/>
  <c r="O131" i="47" s="1"/>
  <c r="R141" i="45"/>
  <c r="R135" i="45"/>
  <c r="P43" i="47" s="1"/>
  <c r="P45" i="47" s="1"/>
  <c r="AC15" i="71" l="1"/>
  <c r="AD14" i="71"/>
  <c r="AC7" i="71"/>
  <c r="Q41" i="47"/>
  <c r="L20" i="53"/>
  <c r="R142" i="45"/>
  <c r="R143" i="45" l="1"/>
  <c r="R146" i="45" s="1"/>
  <c r="P73" i="47" s="1"/>
  <c r="P74" i="47" s="1"/>
  <c r="Q71" i="47" s="1"/>
  <c r="P93" i="47"/>
  <c r="Q44" i="47"/>
  <c r="S117" i="45" s="1"/>
  <c r="AD7" i="71"/>
  <c r="AD15" i="71"/>
  <c r="AE14" i="71"/>
  <c r="R147" i="45" l="1"/>
  <c r="R148" i="45" s="1"/>
  <c r="R149" i="45" s="1"/>
  <c r="P94" i="47"/>
  <c r="Q91" i="47" s="1"/>
  <c r="S118" i="45"/>
  <c r="S120" i="45" s="1"/>
  <c r="S122" i="45" s="1"/>
  <c r="S130" i="45"/>
  <c r="AE7" i="71"/>
  <c r="AF14" i="71"/>
  <c r="AE15" i="71"/>
  <c r="Q98" i="47" l="1"/>
  <c r="M5" i="53"/>
  <c r="AG14" i="71"/>
  <c r="AF15" i="71"/>
  <c r="AF7" i="71"/>
  <c r="Q23" i="47"/>
  <c r="S125" i="45" s="1"/>
  <c r="Q8" i="71"/>
  <c r="R152" i="45"/>
  <c r="R153" i="45"/>
  <c r="P102" i="47" s="1"/>
  <c r="R154" i="45"/>
  <c r="P114" i="47" s="1"/>
  <c r="P67" i="47"/>
  <c r="P115" i="47" l="1"/>
  <c r="P118" i="47" s="1"/>
  <c r="K8" i="97"/>
  <c r="K6" i="97"/>
  <c r="P105" i="47"/>
  <c r="AH14" i="71"/>
  <c r="AG7" i="71"/>
  <c r="AG15" i="71"/>
  <c r="R155" i="45"/>
  <c r="P127" i="47" s="1"/>
  <c r="K11" i="97" s="1"/>
  <c r="P76" i="47"/>
  <c r="P78" i="47" s="1"/>
  <c r="L21" i="53"/>
  <c r="L22" i="53" s="1"/>
  <c r="P68" i="47"/>
  <c r="Q66" i="47" s="1"/>
  <c r="Q16" i="71"/>
  <c r="Q10" i="71"/>
  <c r="Q24" i="47"/>
  <c r="Q25" i="47" s="1"/>
  <c r="M6" i="53"/>
  <c r="M7" i="53" s="1"/>
  <c r="Q17" i="71" l="1"/>
  <c r="Q18" i="71" s="1"/>
  <c r="R157" i="45"/>
  <c r="AH15" i="71"/>
  <c r="AH7" i="71"/>
  <c r="AI14" i="71"/>
  <c r="S126" i="45"/>
  <c r="Q10" i="47" s="1"/>
  <c r="Q11" i="47" s="1"/>
  <c r="Q35" i="47" s="1"/>
  <c r="Q37" i="47" s="1"/>
  <c r="R22" i="47"/>
  <c r="M30" i="53"/>
  <c r="Q72" i="47"/>
  <c r="P79" i="47"/>
  <c r="P125" i="47" s="1"/>
  <c r="P128" i="47" s="1"/>
  <c r="P131" i="47" s="1"/>
  <c r="P83" i="47"/>
  <c r="K7" i="97"/>
  <c r="K9" i="97" s="1"/>
  <c r="K12" i="97" s="1"/>
  <c r="M29" i="53" l="1"/>
  <c r="M33" i="53" s="1"/>
  <c r="R8" i="47"/>
  <c r="T83" i="45" s="1"/>
  <c r="P80" i="47"/>
  <c r="AI7" i="71"/>
  <c r="AI15" i="71"/>
  <c r="AJ14" i="71"/>
  <c r="T85" i="45"/>
  <c r="M9" i="53"/>
  <c r="M10" i="53" s="1"/>
  <c r="M13" i="53" s="1"/>
  <c r="S128" i="45"/>
  <c r="AJ15" i="71" l="1"/>
  <c r="AK14" i="71"/>
  <c r="AJ7" i="71"/>
  <c r="S132" i="45"/>
  <c r="T87" i="45"/>
  <c r="T91" i="45" s="1"/>
  <c r="T93" i="45" s="1"/>
  <c r="T114" i="45" s="1"/>
  <c r="T116" i="45" s="1"/>
  <c r="S134" i="45" l="1"/>
  <c r="AK15" i="71"/>
  <c r="AK7" i="71"/>
  <c r="AL14" i="71"/>
  <c r="AL7" i="71" l="1"/>
  <c r="AL15" i="71"/>
  <c r="AM14" i="71"/>
  <c r="S140" i="45"/>
  <c r="Q99" i="47" s="1"/>
  <c r="Q100" i="47" s="1"/>
  <c r="R97" i="47" s="1"/>
  <c r="S135" i="45"/>
  <c r="Q43" i="47" s="1"/>
  <c r="Q45" i="47" s="1"/>
  <c r="S141" i="45" l="1"/>
  <c r="S142" i="45" s="1"/>
  <c r="Q93" i="47" s="1"/>
  <c r="Q94" i="47" s="1"/>
  <c r="R91" i="47" s="1"/>
  <c r="M20" i="53"/>
  <c r="R41" i="47"/>
  <c r="AM7" i="71"/>
  <c r="AM15" i="71"/>
  <c r="AN14" i="71"/>
  <c r="S143" i="45" l="1"/>
  <c r="S146" i="45" s="1"/>
  <c r="S147" i="45" s="1"/>
  <c r="R98" i="47"/>
  <c r="AN7" i="71"/>
  <c r="AO14" i="71"/>
  <c r="AN15" i="71"/>
  <c r="R44" i="47"/>
  <c r="T117" i="45" s="1"/>
  <c r="T130" i="45" l="1"/>
  <c r="AO15" i="71"/>
  <c r="AO7" i="71"/>
  <c r="AP14" i="71"/>
  <c r="S148" i="45"/>
  <c r="Q67" i="47" s="1"/>
  <c r="Q73" i="47"/>
  <c r="Q74" i="47" s="1"/>
  <c r="R71" i="47" s="1"/>
  <c r="T118" i="45"/>
  <c r="S149" i="45" l="1"/>
  <c r="M21" i="53"/>
  <c r="M22" i="53" s="1"/>
  <c r="Q68" i="47"/>
  <c r="R66" i="47" s="1"/>
  <c r="R23" i="47"/>
  <c r="R8" i="71"/>
  <c r="AQ14" i="71"/>
  <c r="AP15" i="71"/>
  <c r="AP7" i="71"/>
  <c r="T120" i="45"/>
  <c r="T122" i="45" s="1"/>
  <c r="R72" i="47" l="1"/>
  <c r="AQ15" i="71"/>
  <c r="AQ7" i="71"/>
  <c r="AR14" i="71"/>
  <c r="S153" i="45"/>
  <c r="Q102" i="47" s="1"/>
  <c r="S152" i="45"/>
  <c r="S154" i="45"/>
  <c r="Q114" i="47" s="1"/>
  <c r="R16" i="71"/>
  <c r="R10" i="71"/>
  <c r="N5" i="53"/>
  <c r="T125" i="45"/>
  <c r="R17" i="71" l="1"/>
  <c r="R18" i="71" s="1"/>
  <c r="L6" i="97"/>
  <c r="Q105" i="47"/>
  <c r="Q115" i="47"/>
  <c r="Q118" i="47" s="1"/>
  <c r="L8" i="97"/>
  <c r="S155" i="45"/>
  <c r="S157" i="45" s="1"/>
  <c r="Q76" i="47"/>
  <c r="Q78" i="47" s="1"/>
  <c r="AR7" i="71"/>
  <c r="AS14" i="71"/>
  <c r="AR15" i="71"/>
  <c r="DN15" i="71" s="1"/>
  <c r="DN14" i="71"/>
  <c r="N6" i="53"/>
  <c r="N7" i="53" s="1"/>
  <c r="R24" i="47"/>
  <c r="R25" i="47" s="1"/>
  <c r="Q127" i="47" l="1"/>
  <c r="L11" i="97" s="1"/>
  <c r="AS15" i="71"/>
  <c r="AT14" i="71"/>
  <c r="AS7" i="71"/>
  <c r="DN7" i="71"/>
  <c r="N30" i="53"/>
  <c r="T126" i="45"/>
  <c r="R10" i="47" s="1"/>
  <c r="R11" i="47" s="1"/>
  <c r="N29" i="53" s="1"/>
  <c r="S22" i="47"/>
  <c r="Q79" i="47"/>
  <c r="Q125" i="47" s="1"/>
  <c r="Q83" i="47"/>
  <c r="L7" i="97"/>
  <c r="L9" i="97" s="1"/>
  <c r="R35" i="47" l="1"/>
  <c r="R37" i="47" s="1"/>
  <c r="S8" i="47"/>
  <c r="U83" i="45" s="1"/>
  <c r="Q128" i="47"/>
  <c r="Q131" i="47" s="1"/>
  <c r="L12" i="97"/>
  <c r="Q80" i="47"/>
  <c r="N33" i="53"/>
  <c r="N9" i="53"/>
  <c r="N10" i="53" s="1"/>
  <c r="N13" i="53" s="1"/>
  <c r="T128" i="45"/>
  <c r="U85" i="45"/>
  <c r="AT15" i="71"/>
  <c r="AU14" i="71"/>
  <c r="AT7" i="71"/>
  <c r="U87" i="45" l="1"/>
  <c r="U91" i="45" s="1"/>
  <c r="U93" i="45" s="1"/>
  <c r="U114" i="45" s="1"/>
  <c r="U116" i="45" s="1"/>
  <c r="AU15" i="71"/>
  <c r="AV14" i="71"/>
  <c r="AU7" i="71"/>
  <c r="T132" i="45"/>
  <c r="AV15" i="71" l="1"/>
  <c r="AW14" i="71"/>
  <c r="AV7" i="71"/>
  <c r="T134" i="45"/>
  <c r="T140" i="45" l="1"/>
  <c r="R99" i="47" s="1"/>
  <c r="R100" i="47" s="1"/>
  <c r="S97" i="47" s="1"/>
  <c r="T135" i="45"/>
  <c r="R43" i="47" s="1"/>
  <c r="R45" i="47" s="1"/>
  <c r="AW7" i="71"/>
  <c r="AW15" i="71"/>
  <c r="AX14" i="71"/>
  <c r="T141" i="45" l="1"/>
  <c r="T142" i="45" s="1"/>
  <c r="R93" i="47" s="1"/>
  <c r="AX15" i="71"/>
  <c r="AY14" i="71"/>
  <c r="AX7" i="71"/>
  <c r="N20" i="53"/>
  <c r="S41" i="47"/>
  <c r="R94" i="47" l="1"/>
  <c r="S91" i="47" s="1"/>
  <c r="T143" i="45"/>
  <c r="T146" i="45" s="1"/>
  <c r="R73" i="47" s="1"/>
  <c r="R74" i="47" s="1"/>
  <c r="S71" i="47" s="1"/>
  <c r="S44" i="47"/>
  <c r="U117" i="45" s="1"/>
  <c r="AY7" i="71"/>
  <c r="AZ14" i="71"/>
  <c r="AY15" i="71"/>
  <c r="S98" i="47" l="1"/>
  <c r="T147" i="45"/>
  <c r="T148" i="45" s="1"/>
  <c r="R67" i="47" s="1"/>
  <c r="U118" i="45"/>
  <c r="U120" i="45" s="1"/>
  <c r="U122" i="45" s="1"/>
  <c r="U130" i="45"/>
  <c r="AZ7" i="71"/>
  <c r="AZ15" i="71"/>
  <c r="BA14" i="71"/>
  <c r="T149" i="45" l="1"/>
  <c r="T153" i="45" s="1"/>
  <c r="R102" i="47" s="1"/>
  <c r="O5" i="53"/>
  <c r="N21" i="53"/>
  <c r="N22" i="53" s="1"/>
  <c r="R68" i="47"/>
  <c r="S66" i="47" s="1"/>
  <c r="S8" i="71"/>
  <c r="S23" i="47"/>
  <c r="U125" i="45" s="1"/>
  <c r="BA15" i="71"/>
  <c r="BB14" i="71"/>
  <c r="BA7" i="71"/>
  <c r="T154" i="45" l="1"/>
  <c r="R114" i="47" s="1"/>
  <c r="R115" i="47" s="1"/>
  <c r="R118" i="47" s="1"/>
  <c r="T152" i="45"/>
  <c r="R76" i="47" s="1"/>
  <c r="R78" i="47" s="1"/>
  <c r="M6" i="97"/>
  <c r="R105" i="47"/>
  <c r="BB15" i="71"/>
  <c r="BB7" i="71"/>
  <c r="BC14" i="71"/>
  <c r="S16" i="71"/>
  <c r="S10" i="71"/>
  <c r="S24" i="47"/>
  <c r="S25" i="47" s="1"/>
  <c r="O6" i="53"/>
  <c r="O7" i="53" s="1"/>
  <c r="S72" i="47"/>
  <c r="T155" i="45" l="1"/>
  <c r="T157" i="45" s="1"/>
  <c r="M8" i="97"/>
  <c r="S17" i="71"/>
  <c r="S18" i="71" s="1"/>
  <c r="R79" i="47"/>
  <c r="R125" i="47" s="1"/>
  <c r="M7" i="97"/>
  <c r="R83" i="47"/>
  <c r="BC15" i="71"/>
  <c r="BD14" i="71"/>
  <c r="BC7" i="71"/>
  <c r="O30" i="53"/>
  <c r="T22" i="47"/>
  <c r="V85" i="45" s="1"/>
  <c r="J113" i="26" s="1"/>
  <c r="U126" i="45"/>
  <c r="S10" i="47" s="1"/>
  <c r="S11" i="47" s="1"/>
  <c r="T8" i="47" s="1"/>
  <c r="V83" i="45" s="1"/>
  <c r="J111" i="26" s="1"/>
  <c r="M9" i="97" l="1"/>
  <c r="R127" i="47"/>
  <c r="M11" i="97" s="1"/>
  <c r="O29" i="53"/>
  <c r="O33" i="53" s="1"/>
  <c r="S35" i="47"/>
  <c r="S37" i="47" s="1"/>
  <c r="J115" i="26"/>
  <c r="J119" i="26" s="1"/>
  <c r="J121" i="26" s="1"/>
  <c r="J142" i="26" s="1"/>
  <c r="R80" i="47"/>
  <c r="V87" i="45"/>
  <c r="V91" i="45" s="1"/>
  <c r="V93" i="45" s="1"/>
  <c r="V114" i="45" s="1"/>
  <c r="V116" i="45" s="1"/>
  <c r="BD15" i="71"/>
  <c r="BD7" i="71"/>
  <c r="BE14" i="71"/>
  <c r="O9" i="53"/>
  <c r="O10" i="53" s="1"/>
  <c r="O13" i="53" s="1"/>
  <c r="U128" i="45"/>
  <c r="M12" i="97" l="1"/>
  <c r="R128" i="47"/>
  <c r="R131" i="47" s="1"/>
  <c r="U132" i="45"/>
  <c r="BF14" i="71"/>
  <c r="BE7" i="71"/>
  <c r="BG14" i="71" l="1"/>
  <c r="BF7" i="71"/>
  <c r="U134" i="45"/>
  <c r="U135" i="45" s="1"/>
  <c r="S43" i="47" s="1"/>
  <c r="S45" i="47" s="1"/>
  <c r="T41" i="47" l="1"/>
  <c r="T44" i="47" s="1"/>
  <c r="V117" i="45" s="1"/>
  <c r="O20" i="53"/>
  <c r="BH14" i="71"/>
  <c r="BG7" i="71"/>
  <c r="U140" i="45"/>
  <c r="V118" i="45" l="1"/>
  <c r="V120" i="45" s="1"/>
  <c r="V122" i="45" s="1"/>
  <c r="P5" i="53" s="1"/>
  <c r="J145" i="26"/>
  <c r="U141" i="45"/>
  <c r="U142" i="45" s="1"/>
  <c r="S93" i="47" s="1"/>
  <c r="S99" i="47"/>
  <c r="S100" i="47" s="1"/>
  <c r="T97" i="47" s="1"/>
  <c r="BI14" i="71"/>
  <c r="BH7" i="71"/>
  <c r="V130" i="45"/>
  <c r="J158" i="26" s="1"/>
  <c r="T23" i="47" l="1"/>
  <c r="V125" i="45" s="1"/>
  <c r="T8" i="71"/>
  <c r="J146" i="26"/>
  <c r="J148" i="26" s="1"/>
  <c r="J150" i="26" s="1"/>
  <c r="U143" i="45"/>
  <c r="U146" i="45" s="1"/>
  <c r="U147" i="45" s="1"/>
  <c r="S94" i="47"/>
  <c r="T91" i="47" s="1"/>
  <c r="BI7" i="71"/>
  <c r="BJ14" i="71"/>
  <c r="J153" i="26" l="1"/>
  <c r="P6" i="53"/>
  <c r="P7" i="53" s="1"/>
  <c r="T24" i="47"/>
  <c r="T25" i="47" s="1"/>
  <c r="V126" i="45" s="1"/>
  <c r="T10" i="71"/>
  <c r="T16" i="71"/>
  <c r="S73" i="47"/>
  <c r="S74" i="47" s="1"/>
  <c r="T71" i="47" s="1"/>
  <c r="T98" i="47"/>
  <c r="U148" i="45"/>
  <c r="BJ7" i="71"/>
  <c r="BK14" i="71"/>
  <c r="P30" i="53" l="1"/>
  <c r="U22" i="47"/>
  <c r="W85" i="45" s="1"/>
  <c r="J154" i="26"/>
  <c r="T10" i="47"/>
  <c r="T11" i="47" s="1"/>
  <c r="J177" i="26" s="1"/>
  <c r="T17" i="71"/>
  <c r="T18" i="71" s="1"/>
  <c r="P9" i="53"/>
  <c r="P10" i="53" s="1"/>
  <c r="P13" i="53" s="1"/>
  <c r="V128" i="45"/>
  <c r="S67" i="47"/>
  <c r="BK7" i="71"/>
  <c r="BL14" i="71"/>
  <c r="U149" i="45"/>
  <c r="U8" i="47" l="1"/>
  <c r="W83" i="45" s="1"/>
  <c r="W87" i="45" s="1"/>
  <c r="W91" i="45" s="1"/>
  <c r="W93" i="45" s="1"/>
  <c r="W114" i="45" s="1"/>
  <c r="W116" i="45" s="1"/>
  <c r="T35" i="47"/>
  <c r="T37" i="47" s="1"/>
  <c r="P29" i="53"/>
  <c r="P33" i="53" s="1"/>
  <c r="U154" i="45"/>
  <c r="S114" i="47" s="1"/>
  <c r="U152" i="45"/>
  <c r="U153" i="45"/>
  <c r="S102" i="47" s="1"/>
  <c r="BL7" i="71"/>
  <c r="BM14" i="71"/>
  <c r="O21" i="53"/>
  <c r="O22" i="53" s="1"/>
  <c r="S68" i="47"/>
  <c r="T66" i="47" s="1"/>
  <c r="V132" i="45"/>
  <c r="N6" i="97" l="1"/>
  <c r="S105" i="47"/>
  <c r="S115" i="47"/>
  <c r="S118" i="47" s="1"/>
  <c r="N8" i="97"/>
  <c r="V134" i="45"/>
  <c r="T72" i="47"/>
  <c r="BM7" i="71"/>
  <c r="BN14" i="71"/>
  <c r="U155" i="45"/>
  <c r="S76" i="47"/>
  <c r="S127" i="47" l="1"/>
  <c r="N11" i="97" s="1"/>
  <c r="U157" i="45"/>
  <c r="BO14" i="71"/>
  <c r="BN7" i="71"/>
  <c r="S78" i="47"/>
  <c r="S79" i="47" s="1"/>
  <c r="S125" i="47" s="1"/>
  <c r="V140" i="45"/>
  <c r="T99" i="47" s="1"/>
  <c r="T100" i="47" s="1"/>
  <c r="U97" i="47" s="1"/>
  <c r="V135" i="45"/>
  <c r="T43" i="47" s="1"/>
  <c r="T45" i="47" s="1"/>
  <c r="S128" i="47" l="1"/>
  <c r="S131" i="47" s="1"/>
  <c r="U41" i="47"/>
  <c r="U44" i="47" s="1"/>
  <c r="W117" i="45" s="1"/>
  <c r="P20" i="53"/>
  <c r="BO7" i="71"/>
  <c r="BP14" i="71"/>
  <c r="V141" i="45"/>
  <c r="V142" i="45" s="1"/>
  <c r="T93" i="47" s="1"/>
  <c r="S83" i="47"/>
  <c r="S80" i="47"/>
  <c r="N7" i="97"/>
  <c r="N9" i="97" s="1"/>
  <c r="N12" i="97" s="1"/>
  <c r="W118" i="45" l="1"/>
  <c r="T94" i="47"/>
  <c r="U91" i="47" s="1"/>
  <c r="V143" i="45"/>
  <c r="BP7" i="71"/>
  <c r="BQ14" i="71"/>
  <c r="W130" i="45"/>
  <c r="W120" i="45" l="1"/>
  <c r="W122" i="45" s="1"/>
  <c r="Q5" i="53" s="1"/>
  <c r="U23" i="47"/>
  <c r="U8" i="71"/>
  <c r="U98" i="47"/>
  <c r="BR14" i="71"/>
  <c r="BQ7" i="71"/>
  <c r="V146" i="45"/>
  <c r="V147" i="45" s="1"/>
  <c r="W125" i="45" l="1"/>
  <c r="Q6" i="53" s="1"/>
  <c r="Q7" i="53" s="1"/>
  <c r="U16" i="71"/>
  <c r="U10" i="71"/>
  <c r="BR7" i="71"/>
  <c r="BS14" i="71"/>
  <c r="V148" i="45"/>
  <c r="T67" i="47" s="1"/>
  <c r="T73" i="47"/>
  <c r="T74" i="47" s="1"/>
  <c r="U71" i="47" s="1"/>
  <c r="U24" i="47" l="1"/>
  <c r="U25" i="47" s="1"/>
  <c r="V22" i="47" s="1"/>
  <c r="X85" i="45" s="1"/>
  <c r="U17" i="71"/>
  <c r="U18" i="71" s="1"/>
  <c r="V149" i="45"/>
  <c r="P21" i="53"/>
  <c r="P22" i="53" s="1"/>
  <c r="T68" i="47"/>
  <c r="U66" i="47" s="1"/>
  <c r="BT14" i="71"/>
  <c r="BS7" i="71"/>
  <c r="Q30" i="53" l="1"/>
  <c r="W126" i="45"/>
  <c r="U10" i="47" s="1"/>
  <c r="U11" i="47" s="1"/>
  <c r="Q29" i="53" s="1"/>
  <c r="BU14" i="71"/>
  <c r="BT7" i="71"/>
  <c r="U72" i="47"/>
  <c r="V152" i="45"/>
  <c r="V153" i="45"/>
  <c r="T102" i="47" s="1"/>
  <c r="V154" i="45"/>
  <c r="T114" i="47" s="1"/>
  <c r="Q33" i="53" l="1"/>
  <c r="W128" i="45"/>
  <c r="W132" i="45" s="1"/>
  <c r="Q9" i="53"/>
  <c r="Q10" i="53" s="1"/>
  <c r="Q13" i="53" s="1"/>
  <c r="W134" i="45"/>
  <c r="W140" i="45" s="1"/>
  <c r="U99" i="47" s="1"/>
  <c r="U100" i="47" s="1"/>
  <c r="V97" i="47" s="1"/>
  <c r="U35" i="47"/>
  <c r="U37" i="47" s="1"/>
  <c r="V8" i="47"/>
  <c r="X83" i="45" s="1"/>
  <c r="X87" i="45" s="1"/>
  <c r="X91" i="45" s="1"/>
  <c r="X93" i="45" s="1"/>
  <c r="X114" i="45" s="1"/>
  <c r="X116" i="45" s="1"/>
  <c r="O6" i="97"/>
  <c r="D16" i="97" s="1"/>
  <c r="T105" i="47"/>
  <c r="I248" i="26" s="1"/>
  <c r="O8" i="97"/>
  <c r="D18" i="97" s="1"/>
  <c r="T115" i="47"/>
  <c r="T118" i="47" s="1"/>
  <c r="I249" i="26" s="1"/>
  <c r="BU7" i="71"/>
  <c r="BV14" i="71"/>
  <c r="V155" i="45"/>
  <c r="T76" i="47"/>
  <c r="T78" i="47" s="1"/>
  <c r="W141" i="45" l="1"/>
  <c r="W142" i="45" s="1"/>
  <c r="U93" i="47" s="1"/>
  <c r="U94" i="47" s="1"/>
  <c r="V91" i="47" s="1"/>
  <c r="V98" i="47" s="1"/>
  <c r="W135" i="45"/>
  <c r="U43" i="47" s="1"/>
  <c r="U45" i="47" s="1"/>
  <c r="Q20" i="53" s="1"/>
  <c r="T127" i="47"/>
  <c r="O11" i="97" s="1"/>
  <c r="I215" i="26"/>
  <c r="V157" i="45"/>
  <c r="I207" i="26"/>
  <c r="I205" i="26"/>
  <c r="I206" i="26"/>
  <c r="BV7" i="71"/>
  <c r="BW14" i="71"/>
  <c r="T79" i="47"/>
  <c r="T125" i="47" s="1"/>
  <c r="O7" i="97"/>
  <c r="T83" i="47"/>
  <c r="I247" i="26" s="1"/>
  <c r="W143" i="45" l="1"/>
  <c r="W146" i="45" s="1"/>
  <c r="U73" i="47" s="1"/>
  <c r="U74" i="47" s="1"/>
  <c r="V71" i="47" s="1"/>
  <c r="V41" i="47"/>
  <c r="V44" i="47" s="1"/>
  <c r="X117" i="45" s="1"/>
  <c r="X118" i="45" s="1"/>
  <c r="X120" i="45" s="1"/>
  <c r="X122" i="45" s="1"/>
  <c r="R5" i="53" s="1"/>
  <c r="D21" i="97"/>
  <c r="J165" i="26"/>
  <c r="T128" i="47"/>
  <c r="I250" i="26" s="1"/>
  <c r="I251" i="26" s="1"/>
  <c r="I208" i="26"/>
  <c r="T80" i="47"/>
  <c r="D17" i="97"/>
  <c r="I212" i="26" s="1"/>
  <c r="O9" i="97"/>
  <c r="BW7" i="71"/>
  <c r="BX14" i="71"/>
  <c r="V8" i="71" l="1"/>
  <c r="V10" i="71" s="1"/>
  <c r="V23" i="47"/>
  <c r="X125" i="45" s="1"/>
  <c r="V24" i="47" s="1"/>
  <c r="V25" i="47" s="1"/>
  <c r="X126" i="45" s="1"/>
  <c r="V10" i="47" s="1"/>
  <c r="V11" i="47" s="1"/>
  <c r="X130" i="45"/>
  <c r="O12" i="97"/>
  <c r="J164" i="26"/>
  <c r="W147" i="45"/>
  <c r="W148" i="45" s="1"/>
  <c r="T131" i="47"/>
  <c r="I211" i="26"/>
  <c r="I213" i="26" s="1"/>
  <c r="D19" i="97"/>
  <c r="D22" i="97" s="1"/>
  <c r="BX7" i="71"/>
  <c r="BY14" i="71"/>
  <c r="V16" i="71" l="1"/>
  <c r="V17" i="71" s="1"/>
  <c r="V18" i="71" s="1"/>
  <c r="W22" i="47"/>
  <c r="Y85" i="45" s="1"/>
  <c r="R6" i="53"/>
  <c r="R7" i="53" s="1"/>
  <c r="R30" i="53"/>
  <c r="W149" i="45"/>
  <c r="U67" i="47"/>
  <c r="X134" i="45"/>
  <c r="X140" i="45" s="1"/>
  <c r="V99" i="47" s="1"/>
  <c r="V100" i="47" s="1"/>
  <c r="W97" i="47" s="1"/>
  <c r="R29" i="53"/>
  <c r="W8" i="47"/>
  <c r="Y83" i="45" s="1"/>
  <c r="V35" i="47"/>
  <c r="V37" i="47" s="1"/>
  <c r="R9" i="53"/>
  <c r="X128" i="45"/>
  <c r="X132" i="45" s="1"/>
  <c r="I216" i="26"/>
  <c r="BY7" i="71"/>
  <c r="BZ14" i="71"/>
  <c r="R33" i="53" l="1"/>
  <c r="R10" i="53"/>
  <c r="R13" i="53" s="1"/>
  <c r="Y87" i="45"/>
  <c r="Y91" i="45" s="1"/>
  <c r="Y93" i="45" s="1"/>
  <c r="Y114" i="45" s="1"/>
  <c r="Y116" i="45" s="1"/>
  <c r="X135" i="45"/>
  <c r="V43" i="47" s="1"/>
  <c r="V45" i="47" s="1"/>
  <c r="R20" i="53" s="1"/>
  <c r="X141" i="45"/>
  <c r="X142" i="45" s="1"/>
  <c r="V93" i="47" s="1"/>
  <c r="V94" i="47" s="1"/>
  <c r="W91" i="47" s="1"/>
  <c r="Q21" i="53"/>
  <c r="Q22" i="53" s="1"/>
  <c r="U68" i="47"/>
  <c r="V66" i="47" s="1"/>
  <c r="V72" i="47" s="1"/>
  <c r="W153" i="45"/>
  <c r="U102" i="47" s="1"/>
  <c r="W154" i="45"/>
  <c r="U114" i="47" s="1"/>
  <c r="W152" i="45"/>
  <c r="BZ7" i="71"/>
  <c r="CA14" i="71"/>
  <c r="W41" i="47" l="1"/>
  <c r="W44" i="47" s="1"/>
  <c r="Y117" i="45" s="1"/>
  <c r="Y118" i="45" s="1"/>
  <c r="Y120" i="45" s="1"/>
  <c r="Y122" i="45" s="1"/>
  <c r="X143" i="45"/>
  <c r="X146" i="45" s="1"/>
  <c r="X147" i="45" s="1"/>
  <c r="X148" i="45" s="1"/>
  <c r="V67" i="47" s="1"/>
  <c r="W155" i="45"/>
  <c r="U127" i="47" s="1"/>
  <c r="P11" i="97" s="1"/>
  <c r="U76" i="47"/>
  <c r="U105" i="47"/>
  <c r="P6" i="97"/>
  <c r="P8" i="97"/>
  <c r="U115" i="47"/>
  <c r="U118" i="47" s="1"/>
  <c r="W98" i="47"/>
  <c r="CA7" i="71"/>
  <c r="CB14" i="71"/>
  <c r="Y130" i="45" l="1"/>
  <c r="V73" i="47"/>
  <c r="V74" i="47" s="1"/>
  <c r="W71" i="47" s="1"/>
  <c r="W157" i="45"/>
  <c r="U78" i="47"/>
  <c r="U79" i="47" s="1"/>
  <c r="U125" i="47" s="1"/>
  <c r="U128" i="47" s="1"/>
  <c r="U131" i="47" s="1"/>
  <c r="W23" i="47"/>
  <c r="Y125" i="45" s="1"/>
  <c r="W8" i="71"/>
  <c r="W16" i="71" s="1"/>
  <c r="S5" i="53"/>
  <c r="CB7" i="71"/>
  <c r="CC14" i="71"/>
  <c r="X149" i="45"/>
  <c r="R21" i="53"/>
  <c r="R22" i="53" s="1"/>
  <c r="V68" i="47"/>
  <c r="W66" i="47" s="1"/>
  <c r="P7" i="97" l="1"/>
  <c r="P9" i="97" s="1"/>
  <c r="U83" i="47"/>
  <c r="U80" i="47"/>
  <c r="W10" i="71"/>
  <c r="W17" i="71" s="1"/>
  <c r="W18" i="71" s="1"/>
  <c r="W24" i="47"/>
  <c r="W25" i="47" s="1"/>
  <c r="S6" i="53"/>
  <c r="S7" i="53" s="1"/>
  <c r="X152" i="45"/>
  <c r="X153" i="45"/>
  <c r="V102" i="47" s="1"/>
  <c r="X154" i="45"/>
  <c r="V114" i="47" s="1"/>
  <c r="CD14" i="71"/>
  <c r="CC7" i="71"/>
  <c r="W72" i="47"/>
  <c r="P12" i="97" l="1"/>
  <c r="X22" i="47"/>
  <c r="Z85" i="45" s="1"/>
  <c r="S30" i="53"/>
  <c r="Y126" i="45"/>
  <c r="W10" i="47" s="1"/>
  <c r="W11" i="47" s="1"/>
  <c r="Y134" i="45" s="1"/>
  <c r="Y140" i="45" s="1"/>
  <c r="W99" i="47" s="1"/>
  <c r="W100" i="47" s="1"/>
  <c r="X97" i="47" s="1"/>
  <c r="X155" i="45"/>
  <c r="V127" i="47" s="1"/>
  <c r="Q11" i="97" s="1"/>
  <c r="V105" i="47"/>
  <c r="Q6" i="97"/>
  <c r="Q8" i="97"/>
  <c r="V115" i="47"/>
  <c r="V118" i="47" s="1"/>
  <c r="V76" i="47"/>
  <c r="CE14" i="71"/>
  <c r="CD7" i="71"/>
  <c r="S29" i="53" l="1"/>
  <c r="S33" i="53" s="1"/>
  <c r="X8" i="47"/>
  <c r="Z83" i="45" s="1"/>
  <c r="Z87" i="45" s="1"/>
  <c r="Z91" i="45" s="1"/>
  <c r="Z93" i="45" s="1"/>
  <c r="Z114" i="45" s="1"/>
  <c r="Z116" i="45" s="1"/>
  <c r="W35" i="47"/>
  <c r="W37" i="47" s="1"/>
  <c r="S9" i="53"/>
  <c r="S10" i="53" s="1"/>
  <c r="S13" i="53" s="1"/>
  <c r="Y128" i="45"/>
  <c r="Y132" i="45" s="1"/>
  <c r="Y135" i="45" s="1"/>
  <c r="W43" i="47" s="1"/>
  <c r="W45" i="47" s="1"/>
  <c r="X41" i="47" s="1"/>
  <c r="X157" i="45"/>
  <c r="V78" i="47"/>
  <c r="CE7" i="71"/>
  <c r="CF14" i="71"/>
  <c r="Y141" i="45"/>
  <c r="X44" i="47" l="1"/>
  <c r="Z117" i="45" s="1"/>
  <c r="S20" i="53"/>
  <c r="CF7" i="71"/>
  <c r="CG14" i="71"/>
  <c r="Q7" i="97"/>
  <c r="Q9" i="97" s="1"/>
  <c r="V83" i="47"/>
  <c r="Y142" i="45"/>
  <c r="V79" i="47"/>
  <c r="V125" i="47" s="1"/>
  <c r="V128" i="47" s="1"/>
  <c r="Z130" i="45" l="1"/>
  <c r="Q12" i="97"/>
  <c r="Z118" i="45"/>
  <c r="X23" i="47" s="1"/>
  <c r="V131" i="47"/>
  <c r="V80" i="47"/>
  <c r="Y143" i="45"/>
  <c r="Y146" i="45" s="1"/>
  <c r="W73" i="47" s="1"/>
  <c r="W74" i="47" s="1"/>
  <c r="X71" i="47" s="1"/>
  <c r="W93" i="47"/>
  <c r="CG7" i="71"/>
  <c r="CH14" i="71"/>
  <c r="X8" i="71" l="1"/>
  <c r="X16" i="71" s="1"/>
  <c r="Z120" i="45"/>
  <c r="Z122" i="45" s="1"/>
  <c r="W94" i="47"/>
  <c r="X91" i="47" s="1"/>
  <c r="CI14" i="71"/>
  <c r="CH7" i="71"/>
  <c r="Y147" i="45"/>
  <c r="X10" i="71" l="1"/>
  <c r="X17" i="71" s="1"/>
  <c r="X18" i="71" s="1"/>
  <c r="Z125" i="45"/>
  <c r="T5" i="53"/>
  <c r="X98" i="47"/>
  <c r="Y148" i="45"/>
  <c r="Y149" i="45" s="1"/>
  <c r="CJ14" i="71"/>
  <c r="CI7" i="71"/>
  <c r="X24" i="47" l="1"/>
  <c r="X25" i="47" s="1"/>
  <c r="T6" i="53"/>
  <c r="T7" i="53" s="1"/>
  <c r="Y154" i="45"/>
  <c r="W114" i="47" s="1"/>
  <c r="Y152" i="45"/>
  <c r="Y153" i="45"/>
  <c r="W102" i="47" s="1"/>
  <c r="CK14" i="71"/>
  <c r="CJ7" i="71"/>
  <c r="W67" i="47"/>
  <c r="T30" i="53" l="1"/>
  <c r="Y22" i="47"/>
  <c r="AA85" i="45" s="1"/>
  <c r="Z126" i="45"/>
  <c r="X10" i="47" s="1"/>
  <c r="X11" i="47" s="1"/>
  <c r="Z134" i="45" s="1"/>
  <c r="R8" i="97"/>
  <c r="W115" i="47"/>
  <c r="W118" i="47" s="1"/>
  <c r="R6" i="97"/>
  <c r="W105" i="47"/>
  <c r="S21" i="53"/>
  <c r="S22" i="53" s="1"/>
  <c r="W68" i="47"/>
  <c r="X66" i="47" s="1"/>
  <c r="Y155" i="45"/>
  <c r="W76" i="47"/>
  <c r="W78" i="47" s="1"/>
  <c r="CK7" i="71"/>
  <c r="CL14" i="71"/>
  <c r="Z140" i="45" l="1"/>
  <c r="X99" i="47" s="1"/>
  <c r="X100" i="47" s="1"/>
  <c r="Y97" i="47" s="1"/>
  <c r="X35" i="47"/>
  <c r="X37" i="47" s="1"/>
  <c r="T29" i="53"/>
  <c r="T33" i="53" s="1"/>
  <c r="Y8" i="47"/>
  <c r="AA83" i="45" s="1"/>
  <c r="AA87" i="45" s="1"/>
  <c r="AA91" i="45" s="1"/>
  <c r="AA93" i="45" s="1"/>
  <c r="AA114" i="45" s="1"/>
  <c r="AA116" i="45" s="1"/>
  <c r="Z128" i="45"/>
  <c r="Z132" i="45" s="1"/>
  <c r="Z135" i="45" s="1"/>
  <c r="X43" i="47" s="1"/>
  <c r="X45" i="47" s="1"/>
  <c r="T9" i="53"/>
  <c r="T10" i="53" s="1"/>
  <c r="T13" i="53" s="1"/>
  <c r="W127" i="47"/>
  <c r="R11" i="97" s="1"/>
  <c r="Y157" i="45"/>
  <c r="CL7" i="71"/>
  <c r="CM14" i="71"/>
  <c r="X72" i="47"/>
  <c r="W79" i="47"/>
  <c r="W125" i="47" s="1"/>
  <c r="R7" i="97"/>
  <c r="R9" i="97" s="1"/>
  <c r="W83" i="47"/>
  <c r="Z141" i="45" l="1"/>
  <c r="W128" i="47"/>
  <c r="W131" i="47" s="1"/>
  <c r="Y41" i="47"/>
  <c r="T20" i="53"/>
  <c r="R12" i="97"/>
  <c r="W80" i="47"/>
  <c r="CM7" i="71"/>
  <c r="CN14" i="71"/>
  <c r="Z142" i="45" l="1"/>
  <c r="X93" i="47" s="1"/>
  <c r="X94" i="47" s="1"/>
  <c r="Y91" i="47" s="1"/>
  <c r="Y98" i="47" s="1"/>
  <c r="Y44" i="47"/>
  <c r="AA117" i="45" s="1"/>
  <c r="CN7" i="71"/>
  <c r="CO14" i="71"/>
  <c r="Z143" i="45" l="1"/>
  <c r="Z146" i="45" s="1"/>
  <c r="X73" i="47" s="1"/>
  <c r="X74" i="47" s="1"/>
  <c r="Y71" i="47" s="1"/>
  <c r="AA118" i="45"/>
  <c r="AA120" i="45" s="1"/>
  <c r="AA122" i="45" s="1"/>
  <c r="AA130" i="45"/>
  <c r="CO7" i="71"/>
  <c r="CP14" i="71"/>
  <c r="Z147" i="45" l="1"/>
  <c r="Z148" i="45" s="1"/>
  <c r="X67" i="47" s="1"/>
  <c r="U5" i="53"/>
  <c r="Y23" i="47"/>
  <c r="AA125" i="45" s="1"/>
  <c r="Y8" i="71"/>
  <c r="CP7" i="71"/>
  <c r="CQ14" i="71"/>
  <c r="Z149" i="45" l="1"/>
  <c r="Z154" i="45" s="1"/>
  <c r="X114" i="47" s="1"/>
  <c r="X68" i="47"/>
  <c r="Y66" i="47" s="1"/>
  <c r="Y72" i="47" s="1"/>
  <c r="T21" i="53"/>
  <c r="T22" i="53" s="1"/>
  <c r="U6" i="53"/>
  <c r="U7" i="53" s="1"/>
  <c r="Y24" i="47"/>
  <c r="Y25" i="47" s="1"/>
  <c r="Y10" i="71"/>
  <c r="Y16" i="71"/>
  <c r="CQ7" i="71"/>
  <c r="CR14" i="71"/>
  <c r="Z153" i="45" l="1"/>
  <c r="X102" i="47" s="1"/>
  <c r="S6" i="97" s="1"/>
  <c r="Z152" i="45"/>
  <c r="X76" i="47" s="1"/>
  <c r="X78" i="47" s="1"/>
  <c r="S8" i="97"/>
  <c r="X115" i="47"/>
  <c r="X118" i="47" s="1"/>
  <c r="Y17" i="71"/>
  <c r="Y18" i="71" s="1"/>
  <c r="Z22" i="47"/>
  <c r="AB85" i="45" s="1"/>
  <c r="U30" i="53"/>
  <c r="AA126" i="45"/>
  <c r="Y10" i="47" s="1"/>
  <c r="Y11" i="47" s="1"/>
  <c r="Y35" i="47" s="1"/>
  <c r="Y37" i="47" s="1"/>
  <c r="CR7" i="71"/>
  <c r="CS14" i="71"/>
  <c r="X105" i="47" l="1"/>
  <c r="Z155" i="45"/>
  <c r="X127" i="47" s="1"/>
  <c r="S11" i="97" s="1"/>
  <c r="X79" i="47"/>
  <c r="X125" i="47" s="1"/>
  <c r="S7" i="97"/>
  <c r="S9" i="97" s="1"/>
  <c r="X83" i="47"/>
  <c r="Z8" i="47"/>
  <c r="AB83" i="45" s="1"/>
  <c r="AB87" i="45" s="1"/>
  <c r="AB91" i="45" s="1"/>
  <c r="AB93" i="45" s="1"/>
  <c r="AB114" i="45" s="1"/>
  <c r="AB116" i="45" s="1"/>
  <c r="U29" i="53"/>
  <c r="U33" i="53" s="1"/>
  <c r="AA134" i="45"/>
  <c r="AA140" i="45" s="1"/>
  <c r="Y99" i="47" s="1"/>
  <c r="Y100" i="47" s="1"/>
  <c r="Z97" i="47" s="1"/>
  <c r="U9" i="53"/>
  <c r="U10" i="53" s="1"/>
  <c r="U13" i="53" s="1"/>
  <c r="AA128" i="45"/>
  <c r="AA132" i="45" s="1"/>
  <c r="CT14" i="71"/>
  <c r="CS7" i="71"/>
  <c r="Z157" i="45" l="1"/>
  <c r="S12" i="97"/>
  <c r="X128" i="47"/>
  <c r="X131" i="47" s="1"/>
  <c r="X80" i="47"/>
  <c r="AA135" i="45"/>
  <c r="Y43" i="47" s="1"/>
  <c r="Y45" i="47" s="1"/>
  <c r="U20" i="53" s="1"/>
  <c r="AA141" i="45"/>
  <c r="AA142" i="45" s="1"/>
  <c r="Y93" i="47" s="1"/>
  <c r="Y94" i="47" s="1"/>
  <c r="Z91" i="47" s="1"/>
  <c r="Z98" i="47" s="1"/>
  <c r="CU14" i="71"/>
  <c r="CT7" i="71"/>
  <c r="Z41" i="47" l="1"/>
  <c r="Z44" i="47" s="1"/>
  <c r="AB117" i="45" s="1"/>
  <c r="AB118" i="45" s="1"/>
  <c r="AA143" i="45"/>
  <c r="CU7" i="71"/>
  <c r="CV14" i="71"/>
  <c r="AB120" i="45" l="1"/>
  <c r="AB122" i="45" s="1"/>
  <c r="V5" i="53" s="1"/>
  <c r="Z23" i="47"/>
  <c r="Z8" i="71"/>
  <c r="AB130" i="45"/>
  <c r="AA146" i="45"/>
  <c r="AA147" i="45" s="1"/>
  <c r="AA148" i="45" s="1"/>
  <c r="CV7" i="71"/>
  <c r="CW14" i="71"/>
  <c r="AB125" i="45" l="1"/>
  <c r="V6" i="53" s="1"/>
  <c r="V7" i="53" s="1"/>
  <c r="AA149" i="45"/>
  <c r="Y67" i="47"/>
  <c r="Y73" i="47"/>
  <c r="Y74" i="47" s="1"/>
  <c r="Z71" i="47" s="1"/>
  <c r="Z10" i="71"/>
  <c r="Z16" i="71"/>
  <c r="CW7" i="71"/>
  <c r="CX14" i="71"/>
  <c r="Z24" i="47" l="1"/>
  <c r="Z25" i="47" s="1"/>
  <c r="V30" i="53" s="1"/>
  <c r="Z17" i="71"/>
  <c r="Z18" i="71" s="1"/>
  <c r="U21" i="53"/>
  <c r="U22" i="53" s="1"/>
  <c r="Y68" i="47"/>
  <c r="Z66" i="47" s="1"/>
  <c r="Z72" i="47" s="1"/>
  <c r="AA154" i="45"/>
  <c r="Y114" i="47" s="1"/>
  <c r="AA152" i="45"/>
  <c r="AA153" i="45"/>
  <c r="Y102" i="47" s="1"/>
  <c r="CX7" i="71"/>
  <c r="CY14" i="71"/>
  <c r="AA22" i="47" l="1"/>
  <c r="AC85" i="45" s="1"/>
  <c r="AB126" i="45"/>
  <c r="Z10" i="47" s="1"/>
  <c r="Z11" i="47" s="1"/>
  <c r="AB134" i="45" s="1"/>
  <c r="AB140" i="45" s="1"/>
  <c r="Z99" i="47" s="1"/>
  <c r="Z100" i="47" s="1"/>
  <c r="AA97" i="47" s="1"/>
  <c r="T8" i="97"/>
  <c r="Y115" i="47"/>
  <c r="Y118" i="47" s="1"/>
  <c r="Y105" i="47"/>
  <c r="T6" i="97"/>
  <c r="AA155" i="45"/>
  <c r="Y127" i="47" s="1"/>
  <c r="T11" i="97" s="1"/>
  <c r="Y76" i="47"/>
  <c r="V9" i="53"/>
  <c r="V10" i="53" s="1"/>
  <c r="V13" i="53" s="1"/>
  <c r="AB128" i="45"/>
  <c r="AB132" i="45" s="1"/>
  <c r="AB135" i="45" s="1"/>
  <c r="Z43" i="47" s="1"/>
  <c r="Z45" i="47" s="1"/>
  <c r="CY7" i="71"/>
  <c r="CZ14" i="71"/>
  <c r="AB141" i="45" l="1"/>
  <c r="AB142" i="45" s="1"/>
  <c r="Z93" i="47" s="1"/>
  <c r="Z94" i="47" s="1"/>
  <c r="AA91" i="47" s="1"/>
  <c r="AA98" i="47" s="1"/>
  <c r="V29" i="53"/>
  <c r="V33" i="53" s="1"/>
  <c r="AA8" i="47"/>
  <c r="AC83" i="45" s="1"/>
  <c r="AC87" i="45" s="1"/>
  <c r="AC91" i="45" s="1"/>
  <c r="AC93" i="45" s="1"/>
  <c r="AC114" i="45" s="1"/>
  <c r="AC116" i="45" s="1"/>
  <c r="Z35" i="47"/>
  <c r="Z37" i="47" s="1"/>
  <c r="AA157" i="45"/>
  <c r="AA41" i="47"/>
  <c r="V20" i="53"/>
  <c r="Y78" i="47"/>
  <c r="Y79" i="47" s="1"/>
  <c r="Y125" i="47" s="1"/>
  <c r="Y128" i="47" s="1"/>
  <c r="Y131" i="47" s="1"/>
  <c r="AB143" i="45"/>
  <c r="AB146" i="45" s="1"/>
  <c r="Z73" i="47" s="1"/>
  <c r="Z74" i="47" s="1"/>
  <c r="AA71" i="47" s="1"/>
  <c r="DA14" i="71"/>
  <c r="CZ7" i="71"/>
  <c r="AA44" i="47" l="1"/>
  <c r="AC117" i="45" s="1"/>
  <c r="AC118" i="45" s="1"/>
  <c r="AA23" i="47" s="1"/>
  <c r="Y83" i="47"/>
  <c r="T7" i="97"/>
  <c r="T9" i="97" s="1"/>
  <c r="T12" i="97" s="1"/>
  <c r="Y80" i="47"/>
  <c r="AB147" i="45"/>
  <c r="AB148" i="45" s="1"/>
  <c r="Z67" i="47" s="1"/>
  <c r="DA7" i="71"/>
  <c r="DB14" i="71"/>
  <c r="AA8" i="71" l="1"/>
  <c r="AA16" i="71" s="1"/>
  <c r="AC120" i="45"/>
  <c r="AC122" i="45" s="1"/>
  <c r="W5" i="53" s="1"/>
  <c r="AC130" i="45"/>
  <c r="AB149" i="45"/>
  <c r="AB152" i="45" s="1"/>
  <c r="Z76" i="47" s="1"/>
  <c r="Z78" i="47" s="1"/>
  <c r="Z79" i="47" s="1"/>
  <c r="Z125" i="47" s="1"/>
  <c r="V21" i="53"/>
  <c r="V22" i="53" s="1"/>
  <c r="Z68" i="47"/>
  <c r="AA66" i="47" s="1"/>
  <c r="AA72" i="47" s="1"/>
  <c r="DB7" i="71"/>
  <c r="DC14" i="71"/>
  <c r="AA10" i="71" l="1"/>
  <c r="AA17" i="71" s="1"/>
  <c r="AA18" i="71" s="1"/>
  <c r="AC125" i="45"/>
  <c r="W6" i="53" s="1"/>
  <c r="W7" i="53" s="1"/>
  <c r="AB154" i="45"/>
  <c r="Z114" i="47" s="1"/>
  <c r="Z115" i="47" s="1"/>
  <c r="Z118" i="47" s="1"/>
  <c r="AB153" i="45"/>
  <c r="Z102" i="47" s="1"/>
  <c r="Z105" i="47" s="1"/>
  <c r="Z80" i="47"/>
  <c r="U7" i="97"/>
  <c r="Z83" i="47"/>
  <c r="DC7" i="71"/>
  <c r="DD14" i="71"/>
  <c r="AA24" i="47" l="1"/>
  <c r="AA25" i="47" s="1"/>
  <c r="AB22" i="47"/>
  <c r="AD85" i="45" s="1"/>
  <c r="U8" i="97"/>
  <c r="U6" i="97"/>
  <c r="AB155" i="45"/>
  <c r="DE14" i="71"/>
  <c r="DD7" i="71"/>
  <c r="W30" i="53" l="1"/>
  <c r="AC126" i="45"/>
  <c r="U9" i="97"/>
  <c r="Z127" i="47"/>
  <c r="AB157" i="45"/>
  <c r="DE7" i="71"/>
  <c r="DF14" i="71"/>
  <c r="AA10" i="47" l="1"/>
  <c r="AA11" i="47" s="1"/>
  <c r="W9" i="53"/>
  <c r="W10" i="53" s="1"/>
  <c r="W13" i="53" s="1"/>
  <c r="AC128" i="45"/>
  <c r="AC132" i="45" s="1"/>
  <c r="U11" i="97"/>
  <c r="U12" i="97" s="1"/>
  <c r="Z128" i="47"/>
  <c r="Z131" i="47" s="1"/>
  <c r="DF7" i="71"/>
  <c r="DG14" i="71"/>
  <c r="AA35" i="47" l="1"/>
  <c r="AA37" i="47" s="1"/>
  <c r="W29" i="53"/>
  <c r="W33" i="53" s="1"/>
  <c r="AC134" i="45"/>
  <c r="AC135" i="45" s="1"/>
  <c r="AA43" i="47" s="1"/>
  <c r="AA45" i="47" s="1"/>
  <c r="AB8" i="47"/>
  <c r="AD83" i="45" s="1"/>
  <c r="AD87" i="45" s="1"/>
  <c r="AD91" i="45" s="1"/>
  <c r="AD93" i="45" s="1"/>
  <c r="AD114" i="45" s="1"/>
  <c r="AD116" i="45" s="1"/>
  <c r="DG7" i="71"/>
  <c r="DH14" i="71"/>
  <c r="AC140" i="45" l="1"/>
  <c r="AA99" i="47" s="1"/>
  <c r="AA100" i="47" s="1"/>
  <c r="AB97" i="47" s="1"/>
  <c r="AC141" i="45"/>
  <c r="AB41" i="47"/>
  <c r="AB44" i="47" s="1"/>
  <c r="AD117" i="45" s="1"/>
  <c r="W20" i="53"/>
  <c r="DH7" i="71"/>
  <c r="DI14" i="71"/>
  <c r="AD130" i="45" l="1"/>
  <c r="AC142" i="45"/>
  <c r="AA93" i="47" s="1"/>
  <c r="AA94" i="47" s="1"/>
  <c r="AB91" i="47" s="1"/>
  <c r="AB98" i="47" s="1"/>
  <c r="AD118" i="45"/>
  <c r="AD120" i="45" s="1"/>
  <c r="AD122" i="45" s="1"/>
  <c r="DI7" i="71"/>
  <c r="DJ14" i="71"/>
  <c r="X5" i="53" l="1"/>
  <c r="AB23" i="47"/>
  <c r="AD125" i="45" s="1"/>
  <c r="AB8" i="71"/>
  <c r="AC143" i="45"/>
  <c r="DJ7" i="71"/>
  <c r="DJ10" i="71" s="1"/>
  <c r="DK14" i="71"/>
  <c r="AC146" i="45" l="1"/>
  <c r="AA73" i="47" s="1"/>
  <c r="AA74" i="47" s="1"/>
  <c r="AB71" i="47" s="1"/>
  <c r="AB10" i="71"/>
  <c r="AB16" i="71"/>
  <c r="X6" i="53"/>
  <c r="X7" i="53" s="1"/>
  <c r="AB24" i="47"/>
  <c r="AB25" i="47" s="1"/>
  <c r="DK7" i="71"/>
  <c r="DK10" i="71" s="1"/>
  <c r="DL14" i="71"/>
  <c r="DL7" i="71" s="1"/>
  <c r="DL10" i="71" s="1"/>
  <c r="AC147" i="45" l="1"/>
  <c r="AC148" i="45" s="1"/>
  <c r="AB17" i="71"/>
  <c r="AB18" i="71" s="1"/>
  <c r="AC22" i="47"/>
  <c r="AE85" i="45" s="1"/>
  <c r="AD126" i="45"/>
  <c r="X30" i="53"/>
  <c r="AC149" i="45"/>
  <c r="AA67" i="47"/>
  <c r="AA68" i="47" l="1"/>
  <c r="AB66" i="47" s="1"/>
  <c r="AB72" i="47" s="1"/>
  <c r="W21" i="53"/>
  <c r="W22" i="53" s="1"/>
  <c r="AC154" i="45"/>
  <c r="AA114" i="47" s="1"/>
  <c r="AC153" i="45"/>
  <c r="AA102" i="47" s="1"/>
  <c r="AC152" i="45"/>
  <c r="AB10" i="47"/>
  <c r="AB11" i="47" s="1"/>
  <c r="X9" i="53"/>
  <c r="X10" i="53" s="1"/>
  <c r="X13" i="53" s="1"/>
  <c r="AD128" i="45"/>
  <c r="AC155" i="45" l="1"/>
  <c r="AA127" i="47" s="1"/>
  <c r="V11" i="97" s="1"/>
  <c r="AA76" i="47"/>
  <c r="AA78" i="47" s="1"/>
  <c r="AC157" i="45"/>
  <c r="V6" i="97"/>
  <c r="AA105" i="47"/>
  <c r="AA115" i="47"/>
  <c r="AA118" i="47" s="1"/>
  <c r="V8" i="97"/>
  <c r="AD132" i="45"/>
  <c r="K156" i="26"/>
  <c r="X29" i="53"/>
  <c r="X33" i="53" s="1"/>
  <c r="AC8" i="47"/>
  <c r="AE83" i="45" s="1"/>
  <c r="AE87" i="45" s="1"/>
  <c r="AE91" i="45" s="1"/>
  <c r="AE93" i="45" s="1"/>
  <c r="AE114" i="45" s="1"/>
  <c r="AE116" i="45" s="1"/>
  <c r="AD134" i="45"/>
  <c r="AB35" i="47"/>
  <c r="AB37" i="47" s="1"/>
  <c r="AD135" i="45" l="1"/>
  <c r="AB43" i="47" s="1"/>
  <c r="AB45" i="47" s="1"/>
  <c r="AD140" i="45"/>
  <c r="AB99" i="47" s="1"/>
  <c r="AB100" i="47" s="1"/>
  <c r="AC97" i="47" s="1"/>
  <c r="AA79" i="47"/>
  <c r="AA125" i="47" s="1"/>
  <c r="AA128" i="47" s="1"/>
  <c r="AA131" i="47" s="1"/>
  <c r="AA83" i="47"/>
  <c r="V7" i="97"/>
  <c r="V9" i="97" s="1"/>
  <c r="V12" i="97" s="1"/>
  <c r="AA80" i="47" l="1"/>
  <c r="AD141" i="45"/>
  <c r="AC41" i="47"/>
  <c r="X20" i="53"/>
  <c r="AC44" i="47" l="1"/>
  <c r="AE117" i="45" s="1"/>
  <c r="AE118" i="45" s="1"/>
  <c r="AD142" i="45"/>
  <c r="AB93" i="47" s="1"/>
  <c r="AD143" i="45" l="1"/>
  <c r="AE130" i="45"/>
  <c r="AD146" i="45"/>
  <c r="AB73" i="47" s="1"/>
  <c r="AB74" i="47" s="1"/>
  <c r="AC71" i="47" s="1"/>
  <c r="AD147" i="45"/>
  <c r="AB94" i="47"/>
  <c r="AC91" i="47" s="1"/>
  <c r="AC98" i="47" s="1"/>
  <c r="AE120" i="45"/>
  <c r="AE122" i="45" s="1"/>
  <c r="Y5" i="53" s="1"/>
  <c r="AC23" i="47"/>
  <c r="AC8" i="71"/>
  <c r="AE125" i="45" l="1"/>
  <c r="AC24" i="47"/>
  <c r="AC25" i="47" s="1"/>
  <c r="Y6" i="53"/>
  <c r="Y7" i="53" s="1"/>
  <c r="AD148" i="45"/>
  <c r="AB67" i="47" s="1"/>
  <c r="AD149" i="45"/>
  <c r="AC10" i="71"/>
  <c r="AC16" i="71"/>
  <c r="AC17" i="71" l="1"/>
  <c r="AC18" i="71" s="1"/>
  <c r="AD153" i="45"/>
  <c r="AB102" i="47" s="1"/>
  <c r="AD152" i="45"/>
  <c r="AB76" i="47" s="1"/>
  <c r="AB78" i="47" s="1"/>
  <c r="AD154" i="45"/>
  <c r="AB114" i="47" s="1"/>
  <c r="X21" i="53"/>
  <c r="X22" i="53" s="1"/>
  <c r="AB68" i="47"/>
  <c r="AC66" i="47" s="1"/>
  <c r="AC72" i="47" s="1"/>
  <c r="AB79" i="47"/>
  <c r="AB125" i="47" s="1"/>
  <c r="AD22" i="47"/>
  <c r="AF85" i="45" s="1"/>
  <c r="AE126" i="45"/>
  <c r="Y30" i="53"/>
  <c r="AD155" i="45" l="1"/>
  <c r="AD157" i="45" s="1"/>
  <c r="AB115" i="47"/>
  <c r="AB118" i="47" s="1"/>
  <c r="W8" i="97"/>
  <c r="AB83" i="47"/>
  <c r="W7" i="97"/>
  <c r="AB80" i="47"/>
  <c r="AC10" i="47"/>
  <c r="AC11" i="47" s="1"/>
  <c r="Y9" i="53"/>
  <c r="Y10" i="53" s="1"/>
  <c r="Y13" i="53" s="1"/>
  <c r="AE128" i="45"/>
  <c r="AE132" i="45" s="1"/>
  <c r="W6" i="97"/>
  <c r="AB105" i="47"/>
  <c r="AB127" i="47" l="1"/>
  <c r="W11" i="97" s="1"/>
  <c r="W9" i="97"/>
  <c r="W12" i="97" s="1"/>
  <c r="AC35" i="47"/>
  <c r="AC37" i="47" s="1"/>
  <c r="AD8" i="47"/>
  <c r="AF83" i="45" s="1"/>
  <c r="AF87" i="45" s="1"/>
  <c r="AF91" i="45" s="1"/>
  <c r="AF93" i="45" s="1"/>
  <c r="AF114" i="45" s="1"/>
  <c r="AF116" i="45" s="1"/>
  <c r="AE134" i="45"/>
  <c r="AE135" i="45" s="1"/>
  <c r="AC43" i="47" s="1"/>
  <c r="AC45" i="47" s="1"/>
  <c r="Y29" i="53"/>
  <c r="Y33" i="53" s="1"/>
  <c r="AB128" i="47" l="1"/>
  <c r="AB131" i="47" s="1"/>
  <c r="AD41" i="47"/>
  <c r="Y20" i="53"/>
  <c r="AE140" i="45"/>
  <c r="AC99" i="47" s="1"/>
  <c r="AC100" i="47" s="1"/>
  <c r="AD97" i="47" s="1"/>
  <c r="AD44" i="47"/>
  <c r="AF117" i="45" s="1"/>
  <c r="AF118" i="45" s="1"/>
  <c r="AD23" i="47" l="1"/>
  <c r="AD8" i="71"/>
  <c r="AE141" i="45"/>
  <c r="AF120" i="45"/>
  <c r="AF122" i="45" s="1"/>
  <c r="AF130" i="45"/>
  <c r="Z5" i="53" l="1"/>
  <c r="AF125" i="45"/>
  <c r="AE142" i="45"/>
  <c r="AC93" i="47" s="1"/>
  <c r="AC94" i="47" s="1"/>
  <c r="AD91" i="47" s="1"/>
  <c r="AD98" i="47" s="1"/>
  <c r="AD16" i="71"/>
  <c r="AD10" i="71"/>
  <c r="AD17" i="71" l="1"/>
  <c r="AD18" i="71" s="1"/>
  <c r="AE143" i="45"/>
  <c r="Z6" i="53"/>
  <c r="Z7" i="53" s="1"/>
  <c r="AD24" i="47"/>
  <c r="AD25" i="47" s="1"/>
  <c r="AF126" i="45" l="1"/>
  <c r="AE22" i="47"/>
  <c r="AG85" i="45" s="1"/>
  <c r="Z30" i="53"/>
  <c r="AE146" i="45"/>
  <c r="AE147" i="45" s="1"/>
  <c r="AE148" i="45" l="1"/>
  <c r="AC67" i="47" s="1"/>
  <c r="AE149" i="45"/>
  <c r="AC73" i="47"/>
  <c r="AC74" i="47" s="1"/>
  <c r="AD71" i="47" s="1"/>
  <c r="AD10" i="47"/>
  <c r="AD11" i="47" s="1"/>
  <c r="Z9" i="53"/>
  <c r="Z10" i="53" s="1"/>
  <c r="Z13" i="53" s="1"/>
  <c r="AF128" i="45"/>
  <c r="AF132" i="45" s="1"/>
  <c r="AD35" i="47" l="1"/>
  <c r="AD37" i="47" s="1"/>
  <c r="AF134" i="45"/>
  <c r="Z29" i="53"/>
  <c r="Z33" i="53" s="1"/>
  <c r="AE8" i="47"/>
  <c r="AG83" i="45" s="1"/>
  <c r="AG87" i="45" s="1"/>
  <c r="AG91" i="45" s="1"/>
  <c r="AG93" i="45" s="1"/>
  <c r="AG114" i="45" s="1"/>
  <c r="AG116" i="45" s="1"/>
  <c r="AE154" i="45"/>
  <c r="AC114" i="47" s="1"/>
  <c r="AE153" i="45"/>
  <c r="AC102" i="47" s="1"/>
  <c r="AE152" i="45"/>
  <c r="AC76" i="47" s="1"/>
  <c r="AC78" i="47" s="1"/>
  <c r="AC68" i="47"/>
  <c r="AD66" i="47" s="1"/>
  <c r="AD72" i="47" s="1"/>
  <c r="Y21" i="53"/>
  <c r="Y22" i="53" s="1"/>
  <c r="AE155" i="45" l="1"/>
  <c r="AC127" i="47" s="1"/>
  <c r="X11" i="97" s="1"/>
  <c r="X7" i="97"/>
  <c r="AC83" i="47"/>
  <c r="AF140" i="45"/>
  <c r="AD99" i="47" s="1"/>
  <c r="AD100" i="47" s="1"/>
  <c r="AE97" i="47" s="1"/>
  <c r="AC105" i="47"/>
  <c r="X6" i="97"/>
  <c r="X8" i="97"/>
  <c r="AC115" i="47"/>
  <c r="AC118" i="47" s="1"/>
  <c r="AC79" i="47"/>
  <c r="AC125" i="47" s="1"/>
  <c r="AF135" i="45"/>
  <c r="AD43" i="47" s="1"/>
  <c r="AD45" i="47" s="1"/>
  <c r="AC128" i="47" l="1"/>
  <c r="AC131" i="47" s="1"/>
  <c r="AE157" i="45"/>
  <c r="AF141" i="45"/>
  <c r="AF142" i="45" s="1"/>
  <c r="AD93" i="47" s="1"/>
  <c r="X9" i="97"/>
  <c r="X12" i="97" s="1"/>
  <c r="AC80" i="47"/>
  <c r="AE41" i="47"/>
  <c r="Z20" i="53"/>
  <c r="AF143" i="45" l="1"/>
  <c r="AF146" i="45"/>
  <c r="AD73" i="47" s="1"/>
  <c r="AD74" i="47" s="1"/>
  <c r="AE71" i="47" s="1"/>
  <c r="AD94" i="47"/>
  <c r="AE91" i="47" s="1"/>
  <c r="AE98" i="47" s="1"/>
  <c r="AE44" i="47"/>
  <c r="AG117" i="45" s="1"/>
  <c r="AF147" i="45" l="1"/>
  <c r="AF148" i="45" s="1"/>
  <c r="AG118" i="45"/>
  <c r="AG120" i="45" s="1"/>
  <c r="AG122" i="45" s="1"/>
  <c r="AG130" i="45"/>
  <c r="AF149" i="45"/>
  <c r="AD67" i="47"/>
  <c r="AA5" i="53" l="1"/>
  <c r="AF153" i="45"/>
  <c r="AD102" i="47" s="1"/>
  <c r="AF152" i="45"/>
  <c r="AD76" i="47" s="1"/>
  <c r="AD78" i="47" s="1"/>
  <c r="AF154" i="45"/>
  <c r="AD114" i="47" s="1"/>
  <c r="Z21" i="53"/>
  <c r="Z22" i="53" s="1"/>
  <c r="AD68" i="47"/>
  <c r="AE66" i="47" s="1"/>
  <c r="AE72" i="47" s="1"/>
  <c r="AE8" i="71"/>
  <c r="AE23" i="47"/>
  <c r="AG125" i="45" s="1"/>
  <c r="AF155" i="45" l="1"/>
  <c r="AE24" i="47"/>
  <c r="AE25" i="47" s="1"/>
  <c r="AA6" i="53"/>
  <c r="AA7" i="53" s="1"/>
  <c r="AD115" i="47"/>
  <c r="AD118" i="47" s="1"/>
  <c r="Y8" i="97"/>
  <c r="AD79" i="47"/>
  <c r="AD125" i="47" s="1"/>
  <c r="AD83" i="47"/>
  <c r="Y7" i="97"/>
  <c r="AD105" i="47"/>
  <c r="Y6" i="97"/>
  <c r="AF157" i="45"/>
  <c r="AD127" i="47"/>
  <c r="Y11" i="97" s="1"/>
  <c r="AE10" i="71"/>
  <c r="AE16" i="71"/>
  <c r="AE17" i="71" l="1"/>
  <c r="AE18" i="71" s="1"/>
  <c r="AD128" i="47"/>
  <c r="AD131" i="47" s="1"/>
  <c r="Y9" i="97"/>
  <c r="Y12" i="97" s="1"/>
  <c r="AD80" i="47"/>
  <c r="AF22" i="47"/>
  <c r="AH85" i="45" s="1"/>
  <c r="K113" i="26" s="1"/>
  <c r="AG126" i="45"/>
  <c r="AA30" i="53"/>
  <c r="AE10" i="47" l="1"/>
  <c r="AE11" i="47" s="1"/>
  <c r="AA9" i="53"/>
  <c r="AA10" i="53" s="1"/>
  <c r="AA13" i="53" s="1"/>
  <c r="AG128" i="45"/>
  <c r="AG132" i="45" s="1"/>
  <c r="J178" i="26"/>
  <c r="AA29" i="53" l="1"/>
  <c r="AA33" i="53" s="1"/>
  <c r="AE35" i="47"/>
  <c r="AE37" i="47" s="1"/>
  <c r="AF8" i="47"/>
  <c r="AH83" i="45" s="1"/>
  <c r="AG134" i="45"/>
  <c r="AG140" i="45" l="1"/>
  <c r="AG141" i="45" s="1"/>
  <c r="AH87" i="45"/>
  <c r="AH91" i="45" s="1"/>
  <c r="AH93" i="45" s="1"/>
  <c r="AH114" i="45" s="1"/>
  <c r="AH116" i="45" s="1"/>
  <c r="K111" i="26"/>
  <c r="K115" i="26" s="1"/>
  <c r="K119" i="26" s="1"/>
  <c r="K121" i="26" s="1"/>
  <c r="K142" i="26" s="1"/>
  <c r="AG135" i="45"/>
  <c r="AE43" i="47" s="1"/>
  <c r="AE45" i="47" s="1"/>
  <c r="AG142" i="45" l="1"/>
  <c r="AE93" i="47" s="1"/>
  <c r="AG143" i="45"/>
  <c r="AF41" i="47"/>
  <c r="AA20" i="53"/>
  <c r="AE99" i="47"/>
  <c r="AE100" i="47" s="1"/>
  <c r="AF97" i="47" s="1"/>
  <c r="AF44" i="47" l="1"/>
  <c r="AH117" i="45" s="1"/>
  <c r="AH130" i="45"/>
  <c r="K158" i="26" s="1"/>
  <c r="AG146" i="45"/>
  <c r="AG147" i="45" s="1"/>
  <c r="AE94" i="47"/>
  <c r="AF91" i="47" s="1"/>
  <c r="AF98" i="47" s="1"/>
  <c r="AG148" i="45" l="1"/>
  <c r="AE67" i="47" s="1"/>
  <c r="AE73" i="47"/>
  <c r="AE74" i="47" s="1"/>
  <c r="AF71" i="47" s="1"/>
  <c r="K145" i="26"/>
  <c r="AH118" i="45"/>
  <c r="AH120" i="45" s="1"/>
  <c r="AH122" i="45" s="1"/>
  <c r="AB5" i="53" l="1"/>
  <c r="AG149" i="45"/>
  <c r="AF23" i="47"/>
  <c r="AH125" i="45" s="1"/>
  <c r="AF8" i="71"/>
  <c r="K146" i="26"/>
  <c r="K148" i="26" s="1"/>
  <c r="K150" i="26" s="1"/>
  <c r="AA21" i="53"/>
  <c r="AA22" i="53" s="1"/>
  <c r="AE68" i="47"/>
  <c r="AF66" i="47" s="1"/>
  <c r="AF72" i="47" s="1"/>
  <c r="K153" i="26" l="1"/>
  <c r="AF24" i="47"/>
  <c r="AF25" i="47" s="1"/>
  <c r="AB6" i="53"/>
  <c r="AB7" i="53" s="1"/>
  <c r="AF10" i="71"/>
  <c r="AF16" i="71"/>
  <c r="AG153" i="45"/>
  <c r="AE102" i="47" s="1"/>
  <c r="AG152" i="45"/>
  <c r="AG154" i="45"/>
  <c r="AE114" i="47" s="1"/>
  <c r="AG155" i="45" l="1"/>
  <c r="AE127" i="47" s="1"/>
  <c r="Z11" i="97" s="1"/>
  <c r="AE105" i="47"/>
  <c r="Z6" i="97"/>
  <c r="AE115" i="47"/>
  <c r="AE118" i="47" s="1"/>
  <c r="Z8" i="97"/>
  <c r="AE76" i="47"/>
  <c r="AE78" i="47" s="1"/>
  <c r="AG157" i="45"/>
  <c r="AF17" i="71"/>
  <c r="AF18" i="71" s="1"/>
  <c r="AB30" i="53"/>
  <c r="AH126" i="45"/>
  <c r="AG22" i="47"/>
  <c r="AI85" i="45" s="1"/>
  <c r="AF10" i="47" l="1"/>
  <c r="AF11" i="47" s="1"/>
  <c r="AB9" i="53"/>
  <c r="AB10" i="53" s="1"/>
  <c r="AB13" i="53" s="1"/>
  <c r="K154" i="26"/>
  <c r="AH128" i="45"/>
  <c r="AH132" i="45" s="1"/>
  <c r="AE79" i="47"/>
  <c r="AE125" i="47" s="1"/>
  <c r="AE128" i="47" s="1"/>
  <c r="AE131" i="47" s="1"/>
  <c r="Z7" i="97"/>
  <c r="Z9" i="97" s="1"/>
  <c r="Z12" i="97" s="1"/>
  <c r="AE83" i="47"/>
  <c r="J182" i="26"/>
  <c r="J183" i="26" s="1"/>
  <c r="J184" i="26" s="1"/>
  <c r="AE80" i="47" l="1"/>
  <c r="AF35" i="47"/>
  <c r="AF37" i="47" s="1"/>
  <c r="AB29" i="53"/>
  <c r="AB33" i="53" s="1"/>
  <c r="AG8" i="47"/>
  <c r="AI83" i="45" s="1"/>
  <c r="AI87" i="45" s="1"/>
  <c r="AI91" i="45" s="1"/>
  <c r="AI93" i="45" s="1"/>
  <c r="AI114" i="45" s="1"/>
  <c r="AI116" i="45" s="1"/>
  <c r="AH134" i="45"/>
  <c r="K177" i="26"/>
  <c r="AG44" i="47" l="1"/>
  <c r="AI117" i="45" s="1"/>
  <c r="AI118" i="45" s="1"/>
  <c r="AH140" i="45"/>
  <c r="AF99" i="47" s="1"/>
  <c r="AF100" i="47" s="1"/>
  <c r="AG97" i="47" s="1"/>
  <c r="AH135" i="45"/>
  <c r="AF43" i="47" s="1"/>
  <c r="AF45" i="47" s="1"/>
  <c r="J237" i="26"/>
  <c r="J239" i="26" s="1"/>
  <c r="AG41" i="47" l="1"/>
  <c r="AI130" i="45" s="1"/>
  <c r="AB20" i="53"/>
  <c r="AH141" i="45"/>
  <c r="AI120" i="45"/>
  <c r="AI122" i="45" s="1"/>
  <c r="AG23" i="47"/>
  <c r="AG8" i="71"/>
  <c r="J190" i="26"/>
  <c r="G190" i="26" s="1"/>
  <c r="J191" i="26"/>
  <c r="J192" i="26" s="1"/>
  <c r="J193" i="26" s="1"/>
  <c r="J194" i="26" s="1"/>
  <c r="J195" i="26" s="1"/>
  <c r="J196" i="26" s="1"/>
  <c r="J197" i="26" s="1"/>
  <c r="J160" i="26"/>
  <c r="J167" i="26"/>
  <c r="J169" i="26" s="1"/>
  <c r="J168" i="26"/>
  <c r="AG16" i="71" l="1"/>
  <c r="AG10" i="71"/>
  <c r="AG17" i="71" s="1"/>
  <c r="AG18" i="71" s="1"/>
  <c r="AC5" i="53"/>
  <c r="AI125" i="45"/>
  <c r="AH142" i="45"/>
  <c r="J198" i="26"/>
  <c r="AF93" i="47" l="1"/>
  <c r="AH143" i="45"/>
  <c r="AC6" i="53"/>
  <c r="AC7" i="53" s="1"/>
  <c r="AG24" i="47"/>
  <c r="AG25" i="47" s="1"/>
  <c r="AC30" i="53" l="1"/>
  <c r="AI126" i="45"/>
  <c r="AH22" i="47"/>
  <c r="AJ85" i="45" s="1"/>
  <c r="AH146" i="45"/>
  <c r="AH147" i="45" s="1"/>
  <c r="AF94" i="47"/>
  <c r="AG91" i="47" s="1"/>
  <c r="AG98" i="47" s="1"/>
  <c r="AH148" i="45" l="1"/>
  <c r="AF67" i="47" s="1"/>
  <c r="AF73" i="47"/>
  <c r="AF74" i="47" s="1"/>
  <c r="AG71" i="47" s="1"/>
  <c r="AG10" i="47"/>
  <c r="AG11" i="47" s="1"/>
  <c r="AC9" i="53"/>
  <c r="AC10" i="53" s="1"/>
  <c r="AC13" i="53" s="1"/>
  <c r="AI128" i="45"/>
  <c r="AI132" i="45" s="1"/>
  <c r="AH8" i="47" l="1"/>
  <c r="AJ83" i="45" s="1"/>
  <c r="AJ87" i="45" s="1"/>
  <c r="AJ91" i="45" s="1"/>
  <c r="AJ93" i="45" s="1"/>
  <c r="AJ114" i="45" s="1"/>
  <c r="AJ116" i="45" s="1"/>
  <c r="AG35" i="47"/>
  <c r="AG37" i="47" s="1"/>
  <c r="AI134" i="45"/>
  <c r="AI135" i="45" s="1"/>
  <c r="AG43" i="47" s="1"/>
  <c r="AG45" i="47" s="1"/>
  <c r="AC29" i="53"/>
  <c r="AC33" i="53" s="1"/>
  <c r="AH149" i="45"/>
  <c r="AB21" i="53"/>
  <c r="AB22" i="53" s="1"/>
  <c r="AF68" i="47"/>
  <c r="AG66" i="47" s="1"/>
  <c r="AI140" i="45" l="1"/>
  <c r="AI141" i="45" s="1"/>
  <c r="AG72" i="47"/>
  <c r="AH154" i="45"/>
  <c r="AF114" i="47" s="1"/>
  <c r="AH153" i="45"/>
  <c r="AF102" i="47" s="1"/>
  <c r="AH152" i="45"/>
  <c r="AH44" i="47"/>
  <c r="AJ117" i="45" s="1"/>
  <c r="AC20" i="53"/>
  <c r="AH41" i="47"/>
  <c r="AH155" i="45" l="1"/>
  <c r="AF127" i="47" s="1"/>
  <c r="AA11" i="97" s="1"/>
  <c r="K165" i="26" s="1"/>
  <c r="E21" i="97"/>
  <c r="AI142" i="45"/>
  <c r="AG93" i="47" s="1"/>
  <c r="AJ118" i="45"/>
  <c r="AA8" i="97"/>
  <c r="E18" i="97" s="1"/>
  <c r="J215" i="26" s="1"/>
  <c r="AF115" i="47"/>
  <c r="AF118" i="47" s="1"/>
  <c r="J249" i="26" s="1"/>
  <c r="AF76" i="47"/>
  <c r="AH157" i="45"/>
  <c r="AA6" i="97"/>
  <c r="AF105" i="47"/>
  <c r="J248" i="26" s="1"/>
  <c r="AJ130" i="45"/>
  <c r="AG99" i="47"/>
  <c r="AG100" i="47" s="1"/>
  <c r="AH97" i="47" s="1"/>
  <c r="AI143" i="45" l="1"/>
  <c r="AH23" i="47"/>
  <c r="AH8" i="71"/>
  <c r="AI146" i="45"/>
  <c r="AI147" i="45"/>
  <c r="AG94" i="47"/>
  <c r="AH91" i="47" s="1"/>
  <c r="AH98" i="47" s="1"/>
  <c r="E16" i="97"/>
  <c r="AJ120" i="45"/>
  <c r="AJ122" i="45" s="1"/>
  <c r="AF78" i="47"/>
  <c r="AF79" i="47" s="1"/>
  <c r="AF125" i="47" s="1"/>
  <c r="AF128" i="47" s="1"/>
  <c r="J206" i="26" l="1"/>
  <c r="J225" i="26" s="1"/>
  <c r="J205" i="26"/>
  <c r="J207" i="26"/>
  <c r="J226" i="26" s="1"/>
  <c r="AD5" i="53"/>
  <c r="AJ125" i="45"/>
  <c r="AI148" i="45"/>
  <c r="AG67" i="47" s="1"/>
  <c r="AG73" i="47"/>
  <c r="AG74" i="47" s="1"/>
  <c r="AH71" i="47" s="1"/>
  <c r="J250" i="26"/>
  <c r="AF131" i="47"/>
  <c r="AA7" i="97"/>
  <c r="AF83" i="47"/>
  <c r="J247" i="26" s="1"/>
  <c r="AF80" i="47"/>
  <c r="AH10" i="71"/>
  <c r="AH16" i="71"/>
  <c r="AH17" i="71" s="1"/>
  <c r="AH18" i="71" s="1"/>
  <c r="J251" i="26" l="1"/>
  <c r="AI149" i="45"/>
  <c r="AI154" i="45" s="1"/>
  <c r="AG114" i="47" s="1"/>
  <c r="AC21" i="53"/>
  <c r="AC22" i="53" s="1"/>
  <c r="AG68" i="47"/>
  <c r="AH66" i="47" s="1"/>
  <c r="E17" i="97"/>
  <c r="AA9" i="97"/>
  <c r="J208" i="26"/>
  <c r="J224" i="26"/>
  <c r="AH24" i="47"/>
  <c r="AH25" i="47" s="1"/>
  <c r="AD6" i="53"/>
  <c r="AD7" i="53" s="1"/>
  <c r="AI152" i="45" l="1"/>
  <c r="AI153" i="45"/>
  <c r="AG102" i="47" s="1"/>
  <c r="AI155" i="45"/>
  <c r="AG127" i="47" s="1"/>
  <c r="AB11" i="97" s="1"/>
  <c r="AJ126" i="45"/>
  <c r="AI22" i="47"/>
  <c r="AK85" i="45" s="1"/>
  <c r="AD30" i="53"/>
  <c r="K164" i="26"/>
  <c r="AA12" i="97"/>
  <c r="AB6" i="97"/>
  <c r="AG105" i="47"/>
  <c r="AG115" i="47"/>
  <c r="AG118" i="47" s="1"/>
  <c r="AB8" i="97"/>
  <c r="AH72" i="47"/>
  <c r="AG76" i="47"/>
  <c r="AG78" i="47" s="1"/>
  <c r="AI157" i="45"/>
  <c r="J212" i="26"/>
  <c r="J230" i="26" s="1"/>
  <c r="J211" i="26"/>
  <c r="E19" i="97"/>
  <c r="E22" i="97" s="1"/>
  <c r="J213" i="26" l="1"/>
  <c r="J216" i="26" s="1"/>
  <c r="J229" i="26"/>
  <c r="J234" i="26" s="1"/>
  <c r="AG79" i="47"/>
  <c r="AG125" i="47" s="1"/>
  <c r="AG128" i="47" s="1"/>
  <c r="AG131" i="47" s="1"/>
  <c r="AG83" i="47"/>
  <c r="AB7" i="97"/>
  <c r="AB9" i="97" s="1"/>
  <c r="AB12" i="97" s="1"/>
  <c r="AH10" i="47"/>
  <c r="AH11" i="47" s="1"/>
  <c r="AD9" i="53"/>
  <c r="AD10" i="53" s="1"/>
  <c r="AD13" i="53" s="1"/>
  <c r="AJ128" i="45"/>
  <c r="AJ132" i="45" s="1"/>
  <c r="AG80" i="47" l="1"/>
  <c r="AH35" i="47"/>
  <c r="AH37" i="47" s="1"/>
  <c r="AD29" i="53"/>
  <c r="AD33" i="53" s="1"/>
  <c r="AI8" i="47"/>
  <c r="AK83" i="45" s="1"/>
  <c r="AK87" i="45" s="1"/>
  <c r="AK91" i="45" s="1"/>
  <c r="AK93" i="45" s="1"/>
  <c r="AK114" i="45" s="1"/>
  <c r="AK116" i="45" s="1"/>
  <c r="AJ134" i="45"/>
  <c r="AJ135" i="45" s="1"/>
  <c r="AH43" i="47" s="1"/>
  <c r="AH45" i="47" s="1"/>
  <c r="AJ140" i="45" l="1"/>
  <c r="AJ141" i="45" s="1"/>
  <c r="AJ142" i="45" s="1"/>
  <c r="AI44" i="47"/>
  <c r="AK117" i="45" s="1"/>
  <c r="AK118" i="45" s="1"/>
  <c r="AI41" i="47"/>
  <c r="AK130" i="45" s="1"/>
  <c r="AD20" i="53"/>
  <c r="AK120" i="45" l="1"/>
  <c r="AK122" i="45" s="1"/>
  <c r="AE5" i="53"/>
  <c r="AI8" i="71"/>
  <c r="AI23" i="47"/>
  <c r="AK125" i="45" s="1"/>
  <c r="AJ143" i="45"/>
  <c r="AH93" i="47"/>
  <c r="AH99" i="47"/>
  <c r="AH100" i="47" s="1"/>
  <c r="AI97" i="47" s="1"/>
  <c r="AH94" i="47" l="1"/>
  <c r="AI91" i="47" s="1"/>
  <c r="AE6" i="53"/>
  <c r="AE7" i="53" s="1"/>
  <c r="AI24" i="47"/>
  <c r="AI25" i="47" s="1"/>
  <c r="AJ146" i="45"/>
  <c r="AJ147" i="45" s="1"/>
  <c r="AI16" i="71"/>
  <c r="AI10" i="71"/>
  <c r="AH73" i="47" l="1"/>
  <c r="AH74" i="47" s="1"/>
  <c r="AI71" i="47" s="1"/>
  <c r="AK126" i="45"/>
  <c r="AE30" i="53"/>
  <c r="AJ22" i="47"/>
  <c r="AL85" i="45" s="1"/>
  <c r="AI17" i="71"/>
  <c r="AI18" i="71" s="1"/>
  <c r="AJ148" i="45"/>
  <c r="AH67" i="47" s="1"/>
  <c r="AI98" i="47"/>
  <c r="AD21" i="53" l="1"/>
  <c r="AD22" i="53" s="1"/>
  <c r="AH68" i="47"/>
  <c r="AI66" i="47" s="1"/>
  <c r="AI10" i="47"/>
  <c r="AI11" i="47" s="1"/>
  <c r="AE9" i="53"/>
  <c r="AE10" i="53" s="1"/>
  <c r="AE13" i="53" s="1"/>
  <c r="AK128" i="45"/>
  <c r="AK132" i="45" s="1"/>
  <c r="AJ149" i="45"/>
  <c r="AE29" i="53" l="1"/>
  <c r="AE33" i="53" s="1"/>
  <c r="AJ8" i="47"/>
  <c r="AL83" i="45" s="1"/>
  <c r="AL87" i="45" s="1"/>
  <c r="AL91" i="45" s="1"/>
  <c r="AL93" i="45" s="1"/>
  <c r="AL114" i="45" s="1"/>
  <c r="AL116" i="45" s="1"/>
  <c r="AI35" i="47"/>
  <c r="AI37" i="47" s="1"/>
  <c r="AK134" i="45"/>
  <c r="AK140" i="45" s="1"/>
  <c r="AI72" i="47"/>
  <c r="AJ153" i="45"/>
  <c r="AH102" i="47" s="1"/>
  <c r="AJ152" i="45"/>
  <c r="AJ154" i="45"/>
  <c r="AH114" i="47" s="1"/>
  <c r="AH76" i="47" l="1"/>
  <c r="AK141" i="45"/>
  <c r="AI99" i="47"/>
  <c r="AI100" i="47" s="1"/>
  <c r="AJ97" i="47" s="1"/>
  <c r="AJ44" i="47"/>
  <c r="AL117" i="45" s="1"/>
  <c r="AL118" i="45" s="1"/>
  <c r="AL120" i="45" s="1"/>
  <c r="AL122" i="45" s="1"/>
  <c r="AC8" i="97"/>
  <c r="AH115" i="47"/>
  <c r="AH118" i="47" s="1"/>
  <c r="AJ155" i="45"/>
  <c r="AH127" i="47" s="1"/>
  <c r="AC11" i="97" s="1"/>
  <c r="AH105" i="47"/>
  <c r="AC6" i="97"/>
  <c r="AK135" i="45"/>
  <c r="AI43" i="47" s="1"/>
  <c r="AI45" i="47" s="1"/>
  <c r="AF5" i="53" l="1"/>
  <c r="AK142" i="45"/>
  <c r="AK143" i="45"/>
  <c r="AK146" i="45" s="1"/>
  <c r="AJ8" i="71"/>
  <c r="AJ23" i="47"/>
  <c r="AL125" i="45" s="1"/>
  <c r="AJ41" i="47"/>
  <c r="AL130" i="45" s="1"/>
  <c r="AE20" i="53"/>
  <c r="AJ157" i="45"/>
  <c r="AH78" i="47"/>
  <c r="AH79" i="47" s="1"/>
  <c r="AH125" i="47" s="1"/>
  <c r="AH128" i="47" s="1"/>
  <c r="AH131" i="47" s="1"/>
  <c r="AJ24" i="47" l="1"/>
  <c r="AJ25" i="47" s="1"/>
  <c r="AF6" i="53"/>
  <c r="AF7" i="53" s="1"/>
  <c r="AL126" i="45" s="1"/>
  <c r="AL128" i="45" s="1"/>
  <c r="AL132" i="45" s="1"/>
  <c r="AJ16" i="71"/>
  <c r="AJ10" i="71"/>
  <c r="AK147" i="45"/>
  <c r="AI73" i="47"/>
  <c r="AI74" i="47" s="1"/>
  <c r="AJ71" i="47" s="1"/>
  <c r="AI93" i="47"/>
  <c r="AH83" i="47"/>
  <c r="AC7" i="97"/>
  <c r="AC9" i="97" s="1"/>
  <c r="AC12" i="97" s="1"/>
  <c r="AH80" i="47"/>
  <c r="AJ17" i="71" l="1"/>
  <c r="AJ18" i="71" s="1"/>
  <c r="AI94" i="47"/>
  <c r="AJ91" i="47" s="1"/>
  <c r="AJ98" i="47" s="1"/>
  <c r="AK148" i="45"/>
  <c r="AK149" i="45"/>
  <c r="AJ10" i="47"/>
  <c r="AJ11" i="47" s="1"/>
  <c r="AF9" i="53"/>
  <c r="AF10" i="53" s="1"/>
  <c r="AF13" i="53" s="1"/>
  <c r="AK22" i="47"/>
  <c r="AM85" i="45" s="1"/>
  <c r="AF30" i="53"/>
  <c r="AF29" i="53" l="1"/>
  <c r="AF33" i="53" s="1"/>
  <c r="AJ35" i="47"/>
  <c r="AJ37" i="47" s="1"/>
  <c r="AK8" i="47"/>
  <c r="AM83" i="45" s="1"/>
  <c r="AM87" i="45" s="1"/>
  <c r="AM91" i="45" s="1"/>
  <c r="AM93" i="45" s="1"/>
  <c r="AM114" i="45" s="1"/>
  <c r="AM116" i="45" s="1"/>
  <c r="AK44" i="47" s="1"/>
  <c r="AM117" i="45" s="1"/>
  <c r="AM118" i="45" s="1"/>
  <c r="AK23" i="47" s="1"/>
  <c r="AL134" i="45"/>
  <c r="AK153" i="45"/>
  <c r="AI102" i="47" s="1"/>
  <c r="AK154" i="45"/>
  <c r="AI114" i="47" s="1"/>
  <c r="AK152" i="45"/>
  <c r="AI76" i="47" s="1"/>
  <c r="AI67" i="47"/>
  <c r="AM120" i="45" l="1"/>
  <c r="AM122" i="45" s="1"/>
  <c r="AM125" i="45" s="1"/>
  <c r="AK8" i="71"/>
  <c r="AK10" i="71" s="1"/>
  <c r="AD6" i="97"/>
  <c r="AI105" i="47"/>
  <c r="AI115" i="47"/>
  <c r="AI118" i="47" s="1"/>
  <c r="AD8" i="97"/>
  <c r="AL140" i="45"/>
  <c r="AJ99" i="47" s="1"/>
  <c r="AJ100" i="47" s="1"/>
  <c r="AK97" i="47" s="1"/>
  <c r="AL141" i="45"/>
  <c r="AL135" i="45"/>
  <c r="AJ43" i="47" s="1"/>
  <c r="AJ45" i="47" s="1"/>
  <c r="AE21" i="53"/>
  <c r="AE22" i="53" s="1"/>
  <c r="AI78" i="47"/>
  <c r="AI68" i="47"/>
  <c r="AJ66" i="47" s="1"/>
  <c r="AJ72" i="47" s="1"/>
  <c r="AK155" i="45"/>
  <c r="AI127" i="47" s="1"/>
  <c r="AD11" i="97" s="1"/>
  <c r="AG5" i="53"/>
  <c r="AK16" i="71" l="1"/>
  <c r="AK41" i="47"/>
  <c r="AM130" i="45" s="1"/>
  <c r="AF20" i="53"/>
  <c r="AL142" i="45"/>
  <c r="AJ93" i="47" s="1"/>
  <c r="AJ94" i="47" s="1"/>
  <c r="AK91" i="47" s="1"/>
  <c r="AK98" i="47" s="1"/>
  <c r="AI79" i="47"/>
  <c r="AI125" i="47" s="1"/>
  <c r="AI128" i="47" s="1"/>
  <c r="AI131" i="47" s="1"/>
  <c r="AI83" i="47"/>
  <c r="AD7" i="97"/>
  <c r="AD9" i="97" s="1"/>
  <c r="AD12" i="97" s="1"/>
  <c r="AK157" i="45"/>
  <c r="AG6" i="53"/>
  <c r="AG7" i="53" s="1"/>
  <c r="AK24" i="47"/>
  <c r="AK25" i="47" s="1"/>
  <c r="AK17" i="71"/>
  <c r="AK18" i="71" s="1"/>
  <c r="AI80" i="47" l="1"/>
  <c r="AL143" i="45"/>
  <c r="AM126" i="45"/>
  <c r="AK10" i="47" s="1"/>
  <c r="AK11" i="47" s="1"/>
  <c r="AL8" i="47" s="1"/>
  <c r="AN83" i="45" s="1"/>
  <c r="AL22" i="47"/>
  <c r="AN85" i="45" s="1"/>
  <c r="AG30" i="53"/>
  <c r="AL146" i="45" l="1"/>
  <c r="AJ73" i="47" s="1"/>
  <c r="AJ74" i="47" s="1"/>
  <c r="AK71" i="47" s="1"/>
  <c r="AG29" i="53"/>
  <c r="AG33" i="53" s="1"/>
  <c r="AK35" i="47"/>
  <c r="AK37" i="47" s="1"/>
  <c r="AN87" i="45"/>
  <c r="AN91" i="45" s="1"/>
  <c r="AN93" i="45" s="1"/>
  <c r="AN114" i="45" s="1"/>
  <c r="AN116" i="45" s="1"/>
  <c r="AG9" i="53"/>
  <c r="AG10" i="53" s="1"/>
  <c r="AG13" i="53" s="1"/>
  <c r="AM128" i="45"/>
  <c r="AM132" i="45" s="1"/>
  <c r="AL147" i="45" l="1"/>
  <c r="AM134" i="45"/>
  <c r="AL148" i="45" l="1"/>
  <c r="AL149" i="45"/>
  <c r="AM140" i="45"/>
  <c r="AM141" i="45" s="1"/>
  <c r="AM135" i="45"/>
  <c r="AK43" i="47" s="1"/>
  <c r="AK45" i="47" s="1"/>
  <c r="AL152" i="45" l="1"/>
  <c r="AJ76" i="47" s="1"/>
  <c r="AL154" i="45"/>
  <c r="AJ114" i="47" s="1"/>
  <c r="AL153" i="45"/>
  <c r="AJ102" i="47" s="1"/>
  <c r="AJ67" i="47"/>
  <c r="AG20" i="53"/>
  <c r="AL41" i="47"/>
  <c r="AM142" i="45"/>
  <c r="AK93" i="47" s="1"/>
  <c r="AK99" i="47"/>
  <c r="AK100" i="47" s="1"/>
  <c r="AL97" i="47" s="1"/>
  <c r="AL155" i="45" l="1"/>
  <c r="AF21" i="53"/>
  <c r="AF22" i="53" s="1"/>
  <c r="AJ68" i="47"/>
  <c r="AK66" i="47" s="1"/>
  <c r="AK72" i="47" s="1"/>
  <c r="AE6" i="97"/>
  <c r="AJ105" i="47"/>
  <c r="AJ115" i="47"/>
  <c r="AJ118" i="47" s="1"/>
  <c r="AE8" i="97"/>
  <c r="AJ78" i="47"/>
  <c r="AM143" i="45"/>
  <c r="AM146" i="45" s="1"/>
  <c r="AK94" i="47"/>
  <c r="AL91" i="47" s="1"/>
  <c r="AL44" i="47"/>
  <c r="AN117" i="45" s="1"/>
  <c r="AN118" i="45" s="1"/>
  <c r="AJ127" i="47" l="1"/>
  <c r="AE11" i="97" s="1"/>
  <c r="AL157" i="45"/>
  <c r="AJ79" i="47"/>
  <c r="AJ125" i="47" s="1"/>
  <c r="AJ128" i="47" s="1"/>
  <c r="AJ131" i="47" s="1"/>
  <c r="AE7" i="97"/>
  <c r="AE9" i="97" s="1"/>
  <c r="AE12" i="97" s="1"/>
  <c r="AJ83" i="47"/>
  <c r="AL98" i="47"/>
  <c r="AN120" i="45"/>
  <c r="AN122" i="45" s="1"/>
  <c r="AL8" i="71"/>
  <c r="AL23" i="47"/>
  <c r="AN130" i="45"/>
  <c r="AM147" i="45"/>
  <c r="AK73" i="47"/>
  <c r="AK74" i="47" s="1"/>
  <c r="AL71" i="47" s="1"/>
  <c r="AJ80" i="47" l="1"/>
  <c r="AL10" i="71"/>
  <c r="AL16" i="71"/>
  <c r="AH5" i="53"/>
  <c r="AN125" i="45"/>
  <c r="AM148" i="45"/>
  <c r="AM149" i="45" s="1"/>
  <c r="AM153" i="45" l="1"/>
  <c r="AK102" i="47" s="1"/>
  <c r="AM154" i="45"/>
  <c r="AK114" i="47" s="1"/>
  <c r="AM152" i="45"/>
  <c r="AK76" i="47" s="1"/>
  <c r="AK67" i="47"/>
  <c r="AH6" i="53"/>
  <c r="AH7" i="53" s="1"/>
  <c r="AL24" i="47"/>
  <c r="AL25" i="47" s="1"/>
  <c r="AL17" i="71"/>
  <c r="AL18" i="71" s="1"/>
  <c r="AM155" i="45" l="1"/>
  <c r="AG21" i="53"/>
  <c r="AG22" i="53" s="1"/>
  <c r="AK78" i="47"/>
  <c r="AK68" i="47"/>
  <c r="AL66" i="47" s="1"/>
  <c r="AF8" i="97"/>
  <c r="AK115" i="47"/>
  <c r="AK118" i="47" s="1"/>
  <c r="AF6" i="97"/>
  <c r="AK105" i="47"/>
  <c r="AH30" i="53"/>
  <c r="AM22" i="47"/>
  <c r="AO85" i="45" s="1"/>
  <c r="AN126" i="45"/>
  <c r="AL10" i="47" s="1"/>
  <c r="AL11" i="47" s="1"/>
  <c r="AM8" i="47" s="1"/>
  <c r="AO83" i="45" s="1"/>
  <c r="AL35" i="47" l="1"/>
  <c r="AL37" i="47" s="1"/>
  <c r="AH29" i="53"/>
  <c r="AH33" i="53" s="1"/>
  <c r="AO87" i="45"/>
  <c r="AO91" i="45" s="1"/>
  <c r="AO93" i="45" s="1"/>
  <c r="AO114" i="45" s="1"/>
  <c r="AO116" i="45" s="1"/>
  <c r="AK127" i="47"/>
  <c r="AF11" i="97" s="1"/>
  <c r="AM157" i="45"/>
  <c r="AK79" i="47"/>
  <c r="AK125" i="47" s="1"/>
  <c r="AF7" i="97"/>
  <c r="AF9" i="97" s="1"/>
  <c r="AK83" i="47"/>
  <c r="AL72" i="47"/>
  <c r="AH9" i="53"/>
  <c r="AH10" i="53" s="1"/>
  <c r="AH13" i="53" s="1"/>
  <c r="AN128" i="45"/>
  <c r="AK128" i="47" l="1"/>
  <c r="AK131" i="47" s="1"/>
  <c r="AF12" i="97"/>
  <c r="AK80" i="47"/>
  <c r="AN132" i="45"/>
  <c r="AN134" i="45" l="1"/>
  <c r="AN140" i="45" l="1"/>
  <c r="AN141" i="45" s="1"/>
  <c r="AN135" i="45"/>
  <c r="AL43" i="47" s="1"/>
  <c r="AL45" i="47" s="1"/>
  <c r="AH20" i="53" l="1"/>
  <c r="AM41" i="47"/>
  <c r="AN142" i="45"/>
  <c r="AL93" i="47" s="1"/>
  <c r="AL99" i="47"/>
  <c r="AL100" i="47" s="1"/>
  <c r="AM97" i="47" s="1"/>
  <c r="AN143" i="45" l="1"/>
  <c r="AL94" i="47"/>
  <c r="AM91" i="47" s="1"/>
  <c r="AM44" i="47"/>
  <c r="AO117" i="45" s="1"/>
  <c r="AO118" i="45" s="1"/>
  <c r="AO120" i="45" l="1"/>
  <c r="AO122" i="45" s="1"/>
  <c r="AM8" i="71"/>
  <c r="AM23" i="47"/>
  <c r="AM98" i="47"/>
  <c r="AO130" i="45"/>
  <c r="AN146" i="45"/>
  <c r="AL73" i="47" l="1"/>
  <c r="AL74" i="47" s="1"/>
  <c r="AM71" i="47" s="1"/>
  <c r="AN147" i="45"/>
  <c r="AN148" i="45" s="1"/>
  <c r="AM10" i="71"/>
  <c r="AM16" i="71"/>
  <c r="AI5" i="53"/>
  <c r="AO125" i="45"/>
  <c r="AM17" i="71" l="1"/>
  <c r="AM18" i="71" s="1"/>
  <c r="AI6" i="53"/>
  <c r="AI7" i="53" s="1"/>
  <c r="AM24" i="47"/>
  <c r="AM25" i="47" s="1"/>
  <c r="AN149" i="45"/>
  <c r="AL67" i="47"/>
  <c r="AI30" i="53" l="1"/>
  <c r="AO126" i="45"/>
  <c r="AM10" i="47" s="1"/>
  <c r="AM11" i="47" s="1"/>
  <c r="AM35" i="47" s="1"/>
  <c r="AM37" i="47" s="1"/>
  <c r="AN22" i="47"/>
  <c r="AP85" i="45" s="1"/>
  <c r="AH21" i="53"/>
  <c r="AH22" i="53" s="1"/>
  <c r="AL68" i="47"/>
  <c r="AM66" i="47" s="1"/>
  <c r="AN153" i="45"/>
  <c r="AL102" i="47" s="1"/>
  <c r="AN154" i="45"/>
  <c r="AL114" i="47" s="1"/>
  <c r="AN152" i="45"/>
  <c r="AI29" i="53" l="1"/>
  <c r="AI33" i="53" s="1"/>
  <c r="AN8" i="47"/>
  <c r="AP83" i="45" s="1"/>
  <c r="AP87" i="45" s="1"/>
  <c r="AP91" i="45" s="1"/>
  <c r="AP93" i="45" s="1"/>
  <c r="AP114" i="45" s="1"/>
  <c r="AP116" i="45" s="1"/>
  <c r="AG6" i="97"/>
  <c r="AL105" i="47"/>
  <c r="AN155" i="45"/>
  <c r="AL127" i="47" s="1"/>
  <c r="AG11" i="97" s="1"/>
  <c r="AL76" i="47"/>
  <c r="AI9" i="53"/>
  <c r="AI10" i="53" s="1"/>
  <c r="AI13" i="53" s="1"/>
  <c r="AO128" i="45"/>
  <c r="AM72" i="47"/>
  <c r="AL115" i="47"/>
  <c r="AL118" i="47" s="1"/>
  <c r="AG8" i="97"/>
  <c r="AN157" i="45" l="1"/>
  <c r="AO132" i="45"/>
  <c r="AO134" i="45" s="1"/>
  <c r="AL78" i="47"/>
  <c r="AL79" i="47" s="1"/>
  <c r="AL125" i="47" s="1"/>
  <c r="AL128" i="47" s="1"/>
  <c r="AL131" i="47" s="1"/>
  <c r="AG7" i="97" l="1"/>
  <c r="AG9" i="97" s="1"/>
  <c r="AG12" i="97" s="1"/>
  <c r="AL83" i="47"/>
  <c r="AL80" i="47"/>
  <c r="AO135" i="45"/>
  <c r="AM43" i="47" s="1"/>
  <c r="AM45" i="47" s="1"/>
  <c r="AO140" i="45"/>
  <c r="AM99" i="47" s="1"/>
  <c r="AM100" i="47" s="1"/>
  <c r="AN97" i="47" s="1"/>
  <c r="AN41" i="47" l="1"/>
  <c r="AI20" i="53"/>
  <c r="AO141" i="45"/>
  <c r="AN44" i="47" l="1"/>
  <c r="AP117" i="45" s="1"/>
  <c r="AP118" i="45" s="1"/>
  <c r="AO142" i="45"/>
  <c r="AM93" i="47" s="1"/>
  <c r="AP120" i="45" l="1"/>
  <c r="AP122" i="45" s="1"/>
  <c r="AJ5" i="53" s="1"/>
  <c r="AN8" i="71"/>
  <c r="AN23" i="47"/>
  <c r="AP130" i="45"/>
  <c r="AO143" i="45"/>
  <c r="AO146" i="45" s="1"/>
  <c r="AM73" i="47" s="1"/>
  <c r="AM74" i="47" s="1"/>
  <c r="AN71" i="47" s="1"/>
  <c r="AM94" i="47"/>
  <c r="AN91" i="47" s="1"/>
  <c r="AP125" i="45" l="1"/>
  <c r="AJ6" i="53" s="1"/>
  <c r="AJ7" i="53" s="1"/>
  <c r="AN10" i="71"/>
  <c r="AN16" i="71"/>
  <c r="AO147" i="45"/>
  <c r="AO148" i="45" s="1"/>
  <c r="AM67" i="47" s="1"/>
  <c r="AN98" i="47"/>
  <c r="AN24" i="47" l="1"/>
  <c r="AN25" i="47" s="1"/>
  <c r="AJ30" i="53" s="1"/>
  <c r="AN17" i="71"/>
  <c r="AN18" i="71" s="1"/>
  <c r="AO149" i="45"/>
  <c r="AO153" i="45" s="1"/>
  <c r="AM102" i="47" s="1"/>
  <c r="AI21" i="53"/>
  <c r="AI22" i="53" s="1"/>
  <c r="AM68" i="47"/>
  <c r="AN66" i="47" s="1"/>
  <c r="AO22" i="47" l="1"/>
  <c r="AQ85" i="45" s="1"/>
  <c r="AP126" i="45"/>
  <c r="AN10" i="47" s="1"/>
  <c r="AN11" i="47" s="1"/>
  <c r="AJ29" i="53" s="1"/>
  <c r="AJ33" i="53" s="1"/>
  <c r="AO152" i="45"/>
  <c r="AM76" i="47" s="1"/>
  <c r="AM78" i="47" s="1"/>
  <c r="AH7" i="97" s="1"/>
  <c r="AO154" i="45"/>
  <c r="AM114" i="47" s="1"/>
  <c r="AM115" i="47" s="1"/>
  <c r="AM118" i="47" s="1"/>
  <c r="AN72" i="47"/>
  <c r="AH6" i="97"/>
  <c r="AM105" i="47"/>
  <c r="AJ9" i="53" l="1"/>
  <c r="AJ10" i="53" s="1"/>
  <c r="AJ13" i="53" s="1"/>
  <c r="AP128" i="45"/>
  <c r="L156" i="26" s="1"/>
  <c r="AO8" i="47"/>
  <c r="AQ83" i="45" s="1"/>
  <c r="AQ87" i="45" s="1"/>
  <c r="AQ91" i="45" s="1"/>
  <c r="AQ93" i="45" s="1"/>
  <c r="AQ114" i="45" s="1"/>
  <c r="AQ116" i="45" s="1"/>
  <c r="AN35" i="47"/>
  <c r="AN37" i="47" s="1"/>
  <c r="AO155" i="45"/>
  <c r="AO157" i="45" s="1"/>
  <c r="AM79" i="47"/>
  <c r="AM125" i="47" s="1"/>
  <c r="AM83" i="47"/>
  <c r="AH8" i="97"/>
  <c r="AH9" i="97" s="1"/>
  <c r="AP132" i="45" l="1"/>
  <c r="AM127" i="47"/>
  <c r="AH11" i="97" s="1"/>
  <c r="AH12" i="97" s="1"/>
  <c r="AM80" i="47"/>
  <c r="AP134" i="45"/>
  <c r="AP140" i="45" s="1"/>
  <c r="AN99" i="47" s="1"/>
  <c r="AN100" i="47" s="1"/>
  <c r="AO97" i="47" s="1"/>
  <c r="AM128" i="47" l="1"/>
  <c r="AM131" i="47" s="1"/>
  <c r="AP141" i="45"/>
  <c r="AP142" i="45" s="1"/>
  <c r="AP143" i="45" s="1"/>
  <c r="AP146" i="45" s="1"/>
  <c r="AP135" i="45"/>
  <c r="AN43" i="47" s="1"/>
  <c r="AN45" i="47" s="1"/>
  <c r="AJ20" i="53" l="1"/>
  <c r="AO41" i="47"/>
  <c r="AP147" i="45"/>
  <c r="AN73" i="47"/>
  <c r="AN74" i="47" s="1"/>
  <c r="AO71" i="47" s="1"/>
  <c r="AN93" i="47"/>
  <c r="AO44" i="47" l="1"/>
  <c r="AQ117" i="45" s="1"/>
  <c r="AQ118" i="45" s="1"/>
  <c r="AN94" i="47"/>
  <c r="AO91" i="47" s="1"/>
  <c r="AP148" i="45"/>
  <c r="AP149" i="45" s="1"/>
  <c r="AQ120" i="45" l="1"/>
  <c r="AQ122" i="45" s="1"/>
  <c r="AK5" i="53" s="1"/>
  <c r="AO23" i="47"/>
  <c r="AO8" i="71"/>
  <c r="AQ130" i="45"/>
  <c r="AN67" i="47"/>
  <c r="AO98" i="47"/>
  <c r="AP153" i="45"/>
  <c r="AN102" i="47" s="1"/>
  <c r="AP152" i="45"/>
  <c r="AN76" i="47" s="1"/>
  <c r="AP154" i="45"/>
  <c r="AN114" i="47" s="1"/>
  <c r="AQ125" i="45" l="1"/>
  <c r="AK6" i="53" s="1"/>
  <c r="AK7" i="53" s="1"/>
  <c r="AO16" i="71"/>
  <c r="AO10" i="71"/>
  <c r="AN105" i="47"/>
  <c r="AI6" i="97"/>
  <c r="AI8" i="97"/>
  <c r="AN115" i="47"/>
  <c r="AN118" i="47" s="1"/>
  <c r="AP155" i="45"/>
  <c r="AN127" i="47" s="1"/>
  <c r="AI11" i="97" s="1"/>
  <c r="AJ21" i="53"/>
  <c r="AJ22" i="53" s="1"/>
  <c r="AN78" i="47"/>
  <c r="AN68" i="47"/>
  <c r="AO66" i="47" s="1"/>
  <c r="AO24" i="47" l="1"/>
  <c r="AO25" i="47" s="1"/>
  <c r="AK30" i="53" s="1"/>
  <c r="AO17" i="71"/>
  <c r="AO18" i="71" s="1"/>
  <c r="AO72" i="47"/>
  <c r="AN79" i="47"/>
  <c r="AN125" i="47" s="1"/>
  <c r="AN128" i="47" s="1"/>
  <c r="AN131" i="47" s="1"/>
  <c r="AN83" i="47"/>
  <c r="AI7" i="97"/>
  <c r="AI9" i="97" s="1"/>
  <c r="AI12" i="97" s="1"/>
  <c r="AP157" i="45"/>
  <c r="AQ126" i="45" l="1"/>
  <c r="AO10" i="47" s="1"/>
  <c r="AO11" i="47" s="1"/>
  <c r="AK29" i="53" s="1"/>
  <c r="AK33" i="53" s="1"/>
  <c r="AP22" i="47"/>
  <c r="AR85" i="45" s="1"/>
  <c r="AN80" i="47"/>
  <c r="AK9" i="53" l="1"/>
  <c r="AK10" i="53" s="1"/>
  <c r="AK13" i="53" s="1"/>
  <c r="AQ128" i="45"/>
  <c r="AQ132" i="45" s="1"/>
  <c r="AQ134" i="45" s="1"/>
  <c r="AQ140" i="45" s="1"/>
  <c r="AQ141" i="45" s="1"/>
  <c r="AQ142" i="45" s="1"/>
  <c r="AO93" i="47" s="1"/>
  <c r="AP8" i="47"/>
  <c r="AR83" i="45" s="1"/>
  <c r="AR87" i="45" s="1"/>
  <c r="AR91" i="45" s="1"/>
  <c r="AR93" i="45" s="1"/>
  <c r="AR114" i="45" s="1"/>
  <c r="AR116" i="45" s="1"/>
  <c r="AO35" i="47"/>
  <c r="AO37" i="47" s="1"/>
  <c r="AO99" i="47" l="1"/>
  <c r="AO100" i="47" s="1"/>
  <c r="AP97" i="47" s="1"/>
  <c r="AQ135" i="45"/>
  <c r="AO43" i="47" s="1"/>
  <c r="AO45" i="47" s="1"/>
  <c r="AP41" i="47" s="1"/>
  <c r="AK20" i="53"/>
  <c r="AQ143" i="45"/>
  <c r="AQ146" i="45" s="1"/>
  <c r="AQ147" i="45" s="1"/>
  <c r="AQ148" i="45" s="1"/>
  <c r="AP44" i="47"/>
  <c r="AR117" i="45" s="1"/>
  <c r="AR118" i="45" s="1"/>
  <c r="AO94" i="47"/>
  <c r="AP91" i="47" s="1"/>
  <c r="AP98" i="47" s="1"/>
  <c r="AR130" i="45" l="1"/>
  <c r="AQ149" i="45"/>
  <c r="AO67" i="47"/>
  <c r="AO73" i="47"/>
  <c r="AO74" i="47" s="1"/>
  <c r="AP71" i="47" s="1"/>
  <c r="AR120" i="45"/>
  <c r="AR122" i="45" s="1"/>
  <c r="AP8" i="71"/>
  <c r="AP23" i="47"/>
  <c r="AP16" i="71" l="1"/>
  <c r="AP10" i="71"/>
  <c r="AL5" i="53"/>
  <c r="AK21" i="53"/>
  <c r="AK22" i="53" s="1"/>
  <c r="AO68" i="47"/>
  <c r="AP66" i="47" s="1"/>
  <c r="AR125" i="45"/>
  <c r="AQ154" i="45"/>
  <c r="AO114" i="47" s="1"/>
  <c r="AQ153" i="45"/>
  <c r="AO102" i="47" s="1"/>
  <c r="AQ152" i="45"/>
  <c r="AO76" i="47" l="1"/>
  <c r="AO78" i="47" s="1"/>
  <c r="AJ6" i="97"/>
  <c r="AO105" i="47"/>
  <c r="AP72" i="47"/>
  <c r="AO115" i="47"/>
  <c r="AO118" i="47" s="1"/>
  <c r="AJ8" i="97"/>
  <c r="AP17" i="71"/>
  <c r="AP18" i="71" s="1"/>
  <c r="AL6" i="53"/>
  <c r="AP24" i="47"/>
  <c r="AP25" i="47" s="1"/>
  <c r="AQ155" i="45"/>
  <c r="AO127" i="47" s="1"/>
  <c r="AJ11" i="97" s="1"/>
  <c r="AL7" i="53" l="1"/>
  <c r="AQ157" i="45"/>
  <c r="AQ22" i="47"/>
  <c r="AS85" i="45" s="1"/>
  <c r="AL30" i="53"/>
  <c r="AR126" i="45"/>
  <c r="AP10" i="47" s="1"/>
  <c r="AP11" i="47" s="1"/>
  <c r="AQ8" i="47" s="1"/>
  <c r="AS83" i="45" s="1"/>
  <c r="AO79" i="47"/>
  <c r="AO125" i="47" s="1"/>
  <c r="AO128" i="47" s="1"/>
  <c r="AO131" i="47" s="1"/>
  <c r="AO83" i="47"/>
  <c r="AJ7" i="97"/>
  <c r="AJ9" i="97" s="1"/>
  <c r="AJ12" i="97" s="1"/>
  <c r="AL29" i="53" l="1"/>
  <c r="AL33" i="53" s="1"/>
  <c r="AP35" i="47"/>
  <c r="AP37" i="47" s="1"/>
  <c r="AO80" i="47"/>
  <c r="AS87" i="45"/>
  <c r="AS91" i="45" s="1"/>
  <c r="AS93" i="45" s="1"/>
  <c r="AS114" i="45" s="1"/>
  <c r="AS116" i="45" s="1"/>
  <c r="AL9" i="53"/>
  <c r="AR128" i="45"/>
  <c r="AR132" i="45" s="1"/>
  <c r="AR134" i="45" l="1"/>
  <c r="AL10" i="53"/>
  <c r="AL13" i="53" s="1"/>
  <c r="AR140" i="45" l="1"/>
  <c r="AR141" i="45" s="1"/>
  <c r="AR135" i="45"/>
  <c r="AP43" i="47" s="1"/>
  <c r="AP45" i="47" s="1"/>
  <c r="AR142" i="45" l="1"/>
  <c r="AP93" i="47" s="1"/>
  <c r="AQ41" i="47"/>
  <c r="AL20" i="53"/>
  <c r="AP99" i="47"/>
  <c r="AP100" i="47" s="1"/>
  <c r="AQ97" i="47" s="1"/>
  <c r="AQ44" i="47" l="1"/>
  <c r="AS117" i="45" s="1"/>
  <c r="AR143" i="45"/>
  <c r="AR146" i="45" s="1"/>
  <c r="AP94" i="47"/>
  <c r="AQ91" i="47" s="1"/>
  <c r="AS118" i="45" l="1"/>
  <c r="AS120" i="45" s="1"/>
  <c r="AS122" i="45" s="1"/>
  <c r="AS130" i="45"/>
  <c r="AQ98" i="47"/>
  <c r="AP73" i="47"/>
  <c r="AP74" i="47" s="1"/>
  <c r="AQ71" i="47" s="1"/>
  <c r="AR147" i="45"/>
  <c r="AM5" i="53" l="1"/>
  <c r="AQ23" i="47"/>
  <c r="AS125" i="45" s="1"/>
  <c r="AQ8" i="71"/>
  <c r="AR148" i="45"/>
  <c r="AR149" i="45" s="1"/>
  <c r="AQ16" i="71" l="1"/>
  <c r="AQ10" i="71"/>
  <c r="AM6" i="53"/>
  <c r="AM7" i="53" s="1"/>
  <c r="AQ24" i="47"/>
  <c r="AQ25" i="47" s="1"/>
  <c r="AR152" i="45"/>
  <c r="AP76" i="47" s="1"/>
  <c r="AR153" i="45"/>
  <c r="AP102" i="47" s="1"/>
  <c r="AR154" i="45"/>
  <c r="AP114" i="47" s="1"/>
  <c r="AP67" i="47"/>
  <c r="AQ17" i="71" l="1"/>
  <c r="AQ18" i="71" s="1"/>
  <c r="AR22" i="47"/>
  <c r="AT85" i="45" s="1"/>
  <c r="L113" i="26" s="1"/>
  <c r="AS126" i="45"/>
  <c r="AQ10" i="47" s="1"/>
  <c r="AQ11" i="47" s="1"/>
  <c r="AQ35" i="47" s="1"/>
  <c r="AQ37" i="47" s="1"/>
  <c r="AM30" i="53"/>
  <c r="AR155" i="45"/>
  <c r="AP127" i="47" s="1"/>
  <c r="AK11" i="97" s="1"/>
  <c r="AL21" i="53"/>
  <c r="AL22" i="53" s="1"/>
  <c r="AP78" i="47"/>
  <c r="AP68" i="47"/>
  <c r="AQ66" i="47" s="1"/>
  <c r="AK8" i="97"/>
  <c r="AP115" i="47"/>
  <c r="AP118" i="47" s="1"/>
  <c r="AK6" i="97"/>
  <c r="AP105" i="47"/>
  <c r="AM29" i="53" l="1"/>
  <c r="AM33" i="53" s="1"/>
  <c r="AR8" i="47"/>
  <c r="AT83" i="45" s="1"/>
  <c r="L111" i="26" s="1"/>
  <c r="L115" i="26" s="1"/>
  <c r="L119" i="26" s="1"/>
  <c r="L121" i="26" s="1"/>
  <c r="L142" i="26" s="1"/>
  <c r="AM9" i="53"/>
  <c r="AM10" i="53" s="1"/>
  <c r="AM13" i="53" s="1"/>
  <c r="AS128" i="45"/>
  <c r="AS132" i="45" s="1"/>
  <c r="AR157" i="45"/>
  <c r="AQ72" i="47"/>
  <c r="AP79" i="47"/>
  <c r="AP125" i="47" s="1"/>
  <c r="AP128" i="47" s="1"/>
  <c r="AK7" i="97"/>
  <c r="AP83" i="47"/>
  <c r="AT87" i="45" l="1"/>
  <c r="AT91" i="45" s="1"/>
  <c r="AT93" i="45" s="1"/>
  <c r="AT114" i="45" s="1"/>
  <c r="AT116" i="45" s="1"/>
  <c r="AS134" i="45"/>
  <c r="AS140" i="45" s="1"/>
  <c r="AQ99" i="47" s="1"/>
  <c r="AQ100" i="47" s="1"/>
  <c r="AR97" i="47" s="1"/>
  <c r="AP131" i="47"/>
  <c r="AP80" i="47"/>
  <c r="AK9" i="97"/>
  <c r="AS141" i="45" l="1"/>
  <c r="AS142" i="45" s="1"/>
  <c r="AQ93" i="47" s="1"/>
  <c r="AQ94" i="47" s="1"/>
  <c r="AR91" i="47" s="1"/>
  <c r="AR98" i="47" s="1"/>
  <c r="AS135" i="45"/>
  <c r="AQ43" i="47" s="1"/>
  <c r="AQ45" i="47" s="1"/>
  <c r="AK12" i="97"/>
  <c r="AR41" i="47" l="1"/>
  <c r="AR44" i="47" s="1"/>
  <c r="AT117" i="45" s="1"/>
  <c r="L145" i="26" s="1"/>
  <c r="AM20" i="53"/>
  <c r="AS143" i="45"/>
  <c r="AS146" i="45" s="1"/>
  <c r="AS147" i="45" s="1"/>
  <c r="AT130" i="45" l="1"/>
  <c r="L158" i="26" s="1"/>
  <c r="AT118" i="45"/>
  <c r="AT120" i="45" s="1"/>
  <c r="AT122" i="45" s="1"/>
  <c r="AN5" i="53" s="1"/>
  <c r="AQ73" i="47"/>
  <c r="AQ74" i="47" s="1"/>
  <c r="AR71" i="47" s="1"/>
  <c r="AS148" i="45"/>
  <c r="AQ67" i="47" s="1"/>
  <c r="AR8" i="71" l="1"/>
  <c r="AR10" i="71" s="1"/>
  <c r="AR23" i="47"/>
  <c r="AT125" i="45" s="1"/>
  <c r="L153" i="26" s="1"/>
  <c r="L146" i="26"/>
  <c r="L148" i="26" s="1"/>
  <c r="L150" i="26" s="1"/>
  <c r="AS149" i="45"/>
  <c r="AS154" i="45" s="1"/>
  <c r="AQ114" i="47" s="1"/>
  <c r="AM21" i="53"/>
  <c r="AM22" i="53" s="1"/>
  <c r="AQ68" i="47"/>
  <c r="AR66" i="47" s="1"/>
  <c r="AR72" i="47" s="1"/>
  <c r="AR16" i="71" l="1"/>
  <c r="DN16" i="71" s="1"/>
  <c r="DN8" i="71"/>
  <c r="AS152" i="45"/>
  <c r="AQ76" i="47" s="1"/>
  <c r="AS153" i="45"/>
  <c r="AQ102" i="47" s="1"/>
  <c r="AQ105" i="47" s="1"/>
  <c r="AN6" i="53"/>
  <c r="DJ6" i="53" s="1"/>
  <c r="AR24" i="47"/>
  <c r="AR25" i="47" s="1"/>
  <c r="AS22" i="47" s="1"/>
  <c r="AU85" i="45" s="1"/>
  <c r="AL8" i="97"/>
  <c r="AQ115" i="47"/>
  <c r="AQ118" i="47" s="1"/>
  <c r="DN10" i="71"/>
  <c r="AR17" i="71" l="1"/>
  <c r="DN17" i="71" s="1"/>
  <c r="AL6" i="97"/>
  <c r="AS155" i="45"/>
  <c r="AQ127" i="47" s="1"/>
  <c r="AL11" i="97" s="1"/>
  <c r="AN30" i="53"/>
  <c r="AN7" i="53"/>
  <c r="AT126" i="45" s="1"/>
  <c r="AQ78" i="47"/>
  <c r="AQ79" i="47" s="1"/>
  <c r="AQ125" i="47" s="1"/>
  <c r="AR18" i="71" l="1"/>
  <c r="DN18" i="71" s="1"/>
  <c r="AS157" i="45"/>
  <c r="AQ128" i="47"/>
  <c r="AQ131" i="47" s="1"/>
  <c r="L154" i="26"/>
  <c r="AN9" i="53"/>
  <c r="AN10" i="53" s="1"/>
  <c r="AN13" i="53" s="1"/>
  <c r="AT128" i="45"/>
  <c r="AT132" i="45" s="1"/>
  <c r="AR10" i="47"/>
  <c r="AR11" i="47" s="1"/>
  <c r="L177" i="26" s="1"/>
  <c r="K178" i="26"/>
  <c r="AQ83" i="47"/>
  <c r="AL7" i="97"/>
  <c r="AL9" i="97" s="1"/>
  <c r="AL12" i="97" s="1"/>
  <c r="AQ80" i="47"/>
  <c r="DJ9" i="53"/>
  <c r="AN29" i="53" l="1"/>
  <c r="AN33" i="53" s="1"/>
  <c r="AT134" i="45"/>
  <c r="AT140" i="45" s="1"/>
  <c r="AR99" i="47" s="1"/>
  <c r="AR100" i="47" s="1"/>
  <c r="AS97" i="47" s="1"/>
  <c r="AS8" i="47"/>
  <c r="AU83" i="45" s="1"/>
  <c r="AU87" i="45" s="1"/>
  <c r="AU91" i="45" s="1"/>
  <c r="AU93" i="45" s="1"/>
  <c r="AU114" i="45" s="1"/>
  <c r="AU116" i="45" s="1"/>
  <c r="AR35" i="47"/>
  <c r="AR37" i="47" s="1"/>
  <c r="L25" i="26" s="1"/>
  <c r="AT135" i="45" l="1"/>
  <c r="AR43" i="47" s="1"/>
  <c r="AR45" i="47" s="1"/>
  <c r="AN20" i="53" s="1"/>
  <c r="AT141" i="45"/>
  <c r="AT142" i="45" s="1"/>
  <c r="AR93" i="47" s="1"/>
  <c r="AR94" i="47" s="1"/>
  <c r="AS91" i="47" s="1"/>
  <c r="AS98" i="47" s="1"/>
  <c r="AS41" i="47" l="1"/>
  <c r="AS44" i="47" s="1"/>
  <c r="AU117" i="45" s="1"/>
  <c r="AU118" i="45" s="1"/>
  <c r="AS23" i="47" s="1"/>
  <c r="AT143" i="45"/>
  <c r="AT146" i="45" s="1"/>
  <c r="AR73" i="47" s="1"/>
  <c r="AR74" i="47" s="1"/>
  <c r="AS71" i="47" s="1"/>
  <c r="AU130" i="45" l="1"/>
  <c r="AS8" i="71"/>
  <c r="AS10" i="71" s="1"/>
  <c r="AU120" i="45"/>
  <c r="AU122" i="45" s="1"/>
  <c r="AO5" i="53" s="1"/>
  <c r="AT147" i="45"/>
  <c r="AT148" i="45" s="1"/>
  <c r="AR67" i="47" s="1"/>
  <c r="AN21" i="53" s="1"/>
  <c r="AN22" i="53" s="1"/>
  <c r="AS16" i="71" l="1"/>
  <c r="AS17" i="71" s="1"/>
  <c r="AS18" i="71" s="1"/>
  <c r="AU125" i="45"/>
  <c r="AS24" i="47" s="1"/>
  <c r="AS25" i="47" s="1"/>
  <c r="AT22" i="47" s="1"/>
  <c r="AV85" i="45" s="1"/>
  <c r="AR68" i="47"/>
  <c r="AS66" i="47" s="1"/>
  <c r="AS72" i="47" s="1"/>
  <c r="AT149" i="45"/>
  <c r="K182" i="26"/>
  <c r="K183" i="26" s="1"/>
  <c r="K184" i="26" s="1"/>
  <c r="AO32" i="53"/>
  <c r="AO33" i="53" s="1"/>
  <c r="AO6" i="53" l="1"/>
  <c r="AO7" i="53" s="1"/>
  <c r="AU126" i="45" s="1"/>
  <c r="AS10" i="47" s="1"/>
  <c r="AS11" i="47" s="1"/>
  <c r="AT8" i="47" s="1"/>
  <c r="AV83" i="45" s="1"/>
  <c r="AT154" i="45"/>
  <c r="AR114" i="47" s="1"/>
  <c r="AT152" i="45"/>
  <c r="AT153" i="45"/>
  <c r="AR102" i="47" s="1"/>
  <c r="AV86" i="45"/>
  <c r="AT32" i="47"/>
  <c r="AU29" i="47" s="1"/>
  <c r="K237" i="26"/>
  <c r="K239" i="26" s="1"/>
  <c r="AO9" i="53" l="1"/>
  <c r="AO10" i="53" s="1"/>
  <c r="AO13" i="53" s="1"/>
  <c r="AU128" i="45"/>
  <c r="AU132" i="45" s="1"/>
  <c r="AV87" i="45"/>
  <c r="AV91" i="45" s="1"/>
  <c r="AV93" i="45" s="1"/>
  <c r="AV114" i="45" s="1"/>
  <c r="AV116" i="45" s="1"/>
  <c r="AS35" i="47"/>
  <c r="AS37" i="47" s="1"/>
  <c r="AR105" i="47"/>
  <c r="K248" i="26" s="1"/>
  <c r="AM6" i="97"/>
  <c r="F16" i="97" s="1"/>
  <c r="K206" i="26" s="1"/>
  <c r="K225" i="26" s="1"/>
  <c r="AR76" i="47"/>
  <c r="AR78" i="47" s="1"/>
  <c r="AR79" i="47" s="1"/>
  <c r="AR125" i="47" s="1"/>
  <c r="AT155" i="45"/>
  <c r="AR115" i="47"/>
  <c r="AR118" i="47" s="1"/>
  <c r="K249" i="26" s="1"/>
  <c r="AM8" i="97"/>
  <c r="F18" i="97" s="1"/>
  <c r="K215" i="26" s="1"/>
  <c r="AU134" i="45"/>
  <c r="AU140" i="45" s="1"/>
  <c r="AS99" i="47" s="1"/>
  <c r="AS100" i="47" s="1"/>
  <c r="AT97" i="47" s="1"/>
  <c r="AM7" i="97" l="1"/>
  <c r="AR83" i="47"/>
  <c r="K247" i="26" s="1"/>
  <c r="K207" i="26"/>
  <c r="K226" i="26" s="1"/>
  <c r="K205" i="26"/>
  <c r="K224" i="26" s="1"/>
  <c r="AR80" i="47"/>
  <c r="AR127" i="47"/>
  <c r="AM11" i="97" s="1"/>
  <c r="AT157" i="45"/>
  <c r="AU141" i="45"/>
  <c r="AU142" i="45" s="1"/>
  <c r="AU143" i="45" s="1"/>
  <c r="AU135" i="45"/>
  <c r="AS43" i="47" s="1"/>
  <c r="AS45" i="47" s="1"/>
  <c r="AT41" i="47" s="1"/>
  <c r="AT44" i="47" s="1"/>
  <c r="AV117" i="45" s="1"/>
  <c r="AV118" i="45" s="1"/>
  <c r="F17" i="97"/>
  <c r="AM9" i="97"/>
  <c r="L164" i="26" s="1"/>
  <c r="K208" i="26" l="1"/>
  <c r="AR128" i="47"/>
  <c r="AR131" i="47" s="1"/>
  <c r="F21" i="97"/>
  <c r="L165" i="26"/>
  <c r="AS93" i="47"/>
  <c r="AS94" i="47" s="1"/>
  <c r="AT91" i="47" s="1"/>
  <c r="AT98" i="47" s="1"/>
  <c r="AV130" i="45"/>
  <c r="AV120" i="45"/>
  <c r="AV122" i="45" s="1"/>
  <c r="AP5" i="53" s="1"/>
  <c r="AT8" i="71"/>
  <c r="AT16" i="71" s="1"/>
  <c r="AT23" i="47"/>
  <c r="AU146" i="45"/>
  <c r="AS73" i="47" s="1"/>
  <c r="AS74" i="47" s="1"/>
  <c r="AT71" i="47" s="1"/>
  <c r="AM12" i="97"/>
  <c r="K211" i="26"/>
  <c r="K212" i="26"/>
  <c r="K230" i="26" s="1"/>
  <c r="F19" i="97"/>
  <c r="K250" i="26" l="1"/>
  <c r="K251" i="26" s="1"/>
  <c r="F22" i="97"/>
  <c r="AT10" i="71"/>
  <c r="AT17" i="71" s="1"/>
  <c r="AT18" i="71" s="1"/>
  <c r="AV125" i="45"/>
  <c r="AT24" i="47" s="1"/>
  <c r="AT25" i="47" s="1"/>
  <c r="AU147" i="45"/>
  <c r="AU148" i="45" s="1"/>
  <c r="AS67" i="47" s="1"/>
  <c r="K213" i="26"/>
  <c r="K216" i="26" s="1"/>
  <c r="K229" i="26"/>
  <c r="K234" i="26" s="1"/>
  <c r="K192" i="26"/>
  <c r="K193" i="26" s="1"/>
  <c r="K194" i="26" s="1"/>
  <c r="K195" i="26" s="1"/>
  <c r="K196" i="26" s="1"/>
  <c r="K197" i="26" s="1"/>
  <c r="K198" i="26" s="1"/>
  <c r="K167" i="26"/>
  <c r="K169" i="26" s="1"/>
  <c r="K160" i="26"/>
  <c r="K191" i="26"/>
  <c r="G191" i="26" s="1"/>
  <c r="K168" i="26"/>
  <c r="AP6" i="53" l="1"/>
  <c r="AP7" i="53" s="1"/>
  <c r="AV126" i="45" s="1"/>
  <c r="AT10" i="47" s="1"/>
  <c r="AT11" i="47" s="1"/>
  <c r="AU8" i="47" s="1"/>
  <c r="AW83" i="45" s="1"/>
  <c r="AU149" i="45"/>
  <c r="AU152" i="45" s="1"/>
  <c r="AS68" i="47"/>
  <c r="AT66" i="47" s="1"/>
  <c r="AT72" i="47" s="1"/>
  <c r="AU22" i="47"/>
  <c r="AW85" i="45" s="1"/>
  <c r="AP32" i="53"/>
  <c r="AP33" i="53" s="1"/>
  <c r="AU154" i="45" l="1"/>
  <c r="AS114" i="47" s="1"/>
  <c r="AS115" i="47" s="1"/>
  <c r="AS118" i="47" s="1"/>
  <c r="AU153" i="45"/>
  <c r="AS102" i="47" s="1"/>
  <c r="AS105" i="47" s="1"/>
  <c r="AW86" i="45"/>
  <c r="AU32" i="47"/>
  <c r="AV29" i="47" s="1"/>
  <c r="AT35" i="47"/>
  <c r="AT37" i="47" s="1"/>
  <c r="AS76" i="47"/>
  <c r="AW87" i="45"/>
  <c r="AW91" i="45" s="1"/>
  <c r="AW93" i="45" s="1"/>
  <c r="AW114" i="45" s="1"/>
  <c r="AW116" i="45" s="1"/>
  <c r="AP9" i="53"/>
  <c r="AP10" i="53" s="1"/>
  <c r="AP13" i="53" s="1"/>
  <c r="AV128" i="45"/>
  <c r="AV132" i="45" s="1"/>
  <c r="AU155" i="45" l="1"/>
  <c r="AS127" i="47" s="1"/>
  <c r="AN11" i="97" s="1"/>
  <c r="AN8" i="97"/>
  <c r="AN6" i="97"/>
  <c r="AV134" i="45"/>
  <c r="AS78" i="47"/>
  <c r="AU157" i="45" l="1"/>
  <c r="AV140" i="45"/>
  <c r="AT99" i="47" s="1"/>
  <c r="AT100" i="47" s="1"/>
  <c r="AU97" i="47" s="1"/>
  <c r="AV135" i="45"/>
  <c r="AT43" i="47" s="1"/>
  <c r="AT45" i="47" s="1"/>
  <c r="AU41" i="47" s="1"/>
  <c r="AS83" i="47"/>
  <c r="AN7" i="97"/>
  <c r="AN9" i="97" s="1"/>
  <c r="AS79" i="47"/>
  <c r="AS125" i="47" s="1"/>
  <c r="AS128" i="47" s="1"/>
  <c r="AS131" i="47" s="1"/>
  <c r="AN12" i="97" l="1"/>
  <c r="AU44" i="47"/>
  <c r="AW117" i="45" s="1"/>
  <c r="AV141" i="45"/>
  <c r="AS80" i="47"/>
  <c r="AW118" i="45" l="1"/>
  <c r="AW120" i="45" s="1"/>
  <c r="AW122" i="45" s="1"/>
  <c r="AW130" i="45"/>
  <c r="AV142" i="45"/>
  <c r="AT93" i="47" s="1"/>
  <c r="AT94" i="47" s="1"/>
  <c r="AU91" i="47" s="1"/>
  <c r="AU98" i="47" s="1"/>
  <c r="AQ5" i="53" l="1"/>
  <c r="AV143" i="45"/>
  <c r="AV146" i="45" s="1"/>
  <c r="AT73" i="47" s="1"/>
  <c r="AT74" i="47" s="1"/>
  <c r="AU71" i="47" s="1"/>
  <c r="AU23" i="47"/>
  <c r="AW125" i="45" s="1"/>
  <c r="AU8" i="71"/>
  <c r="AQ6" i="53" l="1"/>
  <c r="AQ7" i="53" s="1"/>
  <c r="AU24" i="47"/>
  <c r="AU25" i="47" s="1"/>
  <c r="AU16" i="71"/>
  <c r="AU10" i="71"/>
  <c r="AV147" i="45"/>
  <c r="AU17" i="71" l="1"/>
  <c r="AU18" i="71" s="1"/>
  <c r="AQ32" i="53"/>
  <c r="AQ33" i="53" s="1"/>
  <c r="AW126" i="45"/>
  <c r="AU10" i="47" s="1"/>
  <c r="AU11" i="47" s="1"/>
  <c r="AV8" i="47" s="1"/>
  <c r="AX83" i="45" s="1"/>
  <c r="AV22" i="47"/>
  <c r="AX85" i="45" s="1"/>
  <c r="AV148" i="45"/>
  <c r="AT67" i="47" s="1"/>
  <c r="AX86" i="45" l="1"/>
  <c r="AV32" i="47"/>
  <c r="AW29" i="47" s="1"/>
  <c r="AU35" i="47"/>
  <c r="AU37" i="47" s="1"/>
  <c r="AX87" i="45"/>
  <c r="AX91" i="45" s="1"/>
  <c r="AX93" i="45" s="1"/>
  <c r="AX114" i="45" s="1"/>
  <c r="AX116" i="45" s="1"/>
  <c r="AQ9" i="53"/>
  <c r="AQ10" i="53" s="1"/>
  <c r="AQ13" i="53" s="1"/>
  <c r="AW128" i="45"/>
  <c r="AW132" i="45" s="1"/>
  <c r="AV149" i="45"/>
  <c r="AT68" i="47"/>
  <c r="AU66" i="47" s="1"/>
  <c r="AU72" i="47" s="1"/>
  <c r="AW134" i="45" l="1"/>
  <c r="AV154" i="45"/>
  <c r="AT114" i="47" s="1"/>
  <c r="AV153" i="45"/>
  <c r="AT102" i="47" s="1"/>
  <c r="AV152" i="45"/>
  <c r="AW140" i="45" l="1"/>
  <c r="AU99" i="47" s="1"/>
  <c r="AU100" i="47" s="1"/>
  <c r="AV97" i="47" s="1"/>
  <c r="AW135" i="45"/>
  <c r="AU43" i="47" s="1"/>
  <c r="AU45" i="47" s="1"/>
  <c r="AV41" i="47" s="1"/>
  <c r="AO6" i="97"/>
  <c r="AT105" i="47"/>
  <c r="AT115" i="47"/>
  <c r="AT118" i="47" s="1"/>
  <c r="AO8" i="97"/>
  <c r="AV155" i="45"/>
  <c r="AT127" i="47" s="1"/>
  <c r="AO11" i="97" s="1"/>
  <c r="AT76" i="47"/>
  <c r="AV44" i="47" l="1"/>
  <c r="AX117" i="45" s="1"/>
  <c r="AX118" i="45" s="1"/>
  <c r="AX120" i="45" s="1"/>
  <c r="AX122" i="45" s="1"/>
  <c r="AR5" i="53" s="1"/>
  <c r="AW141" i="45"/>
  <c r="AT78" i="47"/>
  <c r="AT79" i="47" s="1"/>
  <c r="AT125" i="47" s="1"/>
  <c r="AT128" i="47" s="1"/>
  <c r="AT131" i="47" s="1"/>
  <c r="AV157" i="45"/>
  <c r="AV23" i="47" l="1"/>
  <c r="AX125" i="45" s="1"/>
  <c r="AR6" i="53" s="1"/>
  <c r="AR7" i="53" s="1"/>
  <c r="AV8" i="71"/>
  <c r="AV16" i="71" s="1"/>
  <c r="AX130" i="45"/>
  <c r="AW142" i="45"/>
  <c r="AU93" i="47" s="1"/>
  <c r="AU94" i="47" s="1"/>
  <c r="AV91" i="47" s="1"/>
  <c r="AV98" i="47" s="1"/>
  <c r="AT83" i="47"/>
  <c r="AO7" i="97"/>
  <c r="AO9" i="97" s="1"/>
  <c r="AT80" i="47"/>
  <c r="AV10" i="71" l="1"/>
  <c r="AV17" i="71" s="1"/>
  <c r="AV18" i="71" s="1"/>
  <c r="AO12" i="97"/>
  <c r="AV24" i="47"/>
  <c r="AV25" i="47" s="1"/>
  <c r="AX126" i="45" s="1"/>
  <c r="AV10" i="47" s="1"/>
  <c r="AV11" i="47" s="1"/>
  <c r="AV35" i="47" s="1"/>
  <c r="AV37" i="47" s="1"/>
  <c r="AW143" i="45"/>
  <c r="AR32" i="53"/>
  <c r="AR33" i="53" s="1"/>
  <c r="AW22" i="47" l="1"/>
  <c r="AY85" i="45" s="1"/>
  <c r="AY86" i="45"/>
  <c r="AW32" i="47"/>
  <c r="AX29" i="47" s="1"/>
  <c r="AW8" i="47"/>
  <c r="AY83" i="45" s="1"/>
  <c r="AW146" i="45"/>
  <c r="AU73" i="47" s="1"/>
  <c r="AU74" i="47" s="1"/>
  <c r="AV71" i="47" s="1"/>
  <c r="AR9" i="53"/>
  <c r="AR10" i="53" s="1"/>
  <c r="AR13" i="53" s="1"/>
  <c r="AX128" i="45"/>
  <c r="AX132" i="45" s="1"/>
  <c r="AY87" i="45" l="1"/>
  <c r="AY91" i="45" s="1"/>
  <c r="AY93" i="45" s="1"/>
  <c r="AY114" i="45" s="1"/>
  <c r="AY116" i="45" s="1"/>
  <c r="AW147" i="45"/>
  <c r="AW148" i="45" s="1"/>
  <c r="AU67" i="47" s="1"/>
  <c r="AU68" i="47" s="1"/>
  <c r="AV66" i="47" s="1"/>
  <c r="AV72" i="47" s="1"/>
  <c r="AX134" i="45"/>
  <c r="AW149" i="45" l="1"/>
  <c r="AX140" i="45"/>
  <c r="AV99" i="47" s="1"/>
  <c r="AV100" i="47" s="1"/>
  <c r="AW97" i="47" s="1"/>
  <c r="AX135" i="45"/>
  <c r="AV43" i="47" s="1"/>
  <c r="AV45" i="47" s="1"/>
  <c r="AW41" i="47" s="1"/>
  <c r="AW44" i="47" l="1"/>
  <c r="AY117" i="45" s="1"/>
  <c r="AW154" i="45"/>
  <c r="AU114" i="47" s="1"/>
  <c r="AW153" i="45"/>
  <c r="AU102" i="47" s="1"/>
  <c r="AW152" i="45"/>
  <c r="AX141" i="45"/>
  <c r="AY118" i="45" l="1"/>
  <c r="AY120" i="45" s="1"/>
  <c r="AY122" i="45" s="1"/>
  <c r="AY130" i="45"/>
  <c r="AW155" i="45"/>
  <c r="AU127" i="47" s="1"/>
  <c r="AP11" i="97" s="1"/>
  <c r="AU76" i="47"/>
  <c r="AU78" i="47" s="1"/>
  <c r="AP6" i="97"/>
  <c r="AU105" i="47"/>
  <c r="AP8" i="97"/>
  <c r="AU115" i="47"/>
  <c r="AU118" i="47" s="1"/>
  <c r="AX142" i="45"/>
  <c r="AV93" i="47" s="1"/>
  <c r="AV94" i="47" s="1"/>
  <c r="AW91" i="47" s="1"/>
  <c r="AW98" i="47" s="1"/>
  <c r="AW157" i="45" l="1"/>
  <c r="AS5" i="53"/>
  <c r="AW23" i="47"/>
  <c r="AY125" i="45" s="1"/>
  <c r="AW8" i="71"/>
  <c r="AU79" i="47"/>
  <c r="AU125" i="47" s="1"/>
  <c r="AU128" i="47" s="1"/>
  <c r="AU131" i="47" s="1"/>
  <c r="AP7" i="97"/>
  <c r="AP9" i="97" s="1"/>
  <c r="AU83" i="47"/>
  <c r="AX143" i="45"/>
  <c r="AP12" i="97" l="1"/>
  <c r="AU80" i="47"/>
  <c r="AW16" i="71"/>
  <c r="AW10" i="71"/>
  <c r="AW24" i="47"/>
  <c r="AW25" i="47" s="1"/>
  <c r="AS6" i="53"/>
  <c r="AS7" i="53" s="1"/>
  <c r="AX146" i="45"/>
  <c r="AV73" i="47" s="1"/>
  <c r="AV74" i="47" s="1"/>
  <c r="AW71" i="47" s="1"/>
  <c r="AW17" i="71" l="1"/>
  <c r="AW18" i="71" s="1"/>
  <c r="AX147" i="45"/>
  <c r="AX148" i="45" s="1"/>
  <c r="AV67" i="47" s="1"/>
  <c r="AX22" i="47"/>
  <c r="AZ85" i="45" s="1"/>
  <c r="AY126" i="45"/>
  <c r="AS32" i="53"/>
  <c r="AS33" i="53" s="1"/>
  <c r="AZ86" i="45" l="1"/>
  <c r="AX32" i="47"/>
  <c r="AY29" i="47" s="1"/>
  <c r="AX149" i="45"/>
  <c r="AX152" i="45" s="1"/>
  <c r="AW10" i="47"/>
  <c r="AW11" i="47" s="1"/>
  <c r="AY128" i="45"/>
  <c r="AY132" i="45" s="1"/>
  <c r="AS9" i="53"/>
  <c r="AS10" i="53" s="1"/>
  <c r="AS13" i="53" s="1"/>
  <c r="AV68" i="47"/>
  <c r="AW66" i="47" s="1"/>
  <c r="AW72" i="47" s="1"/>
  <c r="AX154" i="45" l="1"/>
  <c r="AV114" i="47" s="1"/>
  <c r="AV115" i="47" s="1"/>
  <c r="AV118" i="47" s="1"/>
  <c r="AX153" i="45"/>
  <c r="AV102" i="47" s="1"/>
  <c r="AV105" i="47" s="1"/>
  <c r="AX8" i="47"/>
  <c r="AZ83" i="45" s="1"/>
  <c r="AZ87" i="45" s="1"/>
  <c r="AZ91" i="45" s="1"/>
  <c r="AZ93" i="45" s="1"/>
  <c r="AZ114" i="45" s="1"/>
  <c r="AZ116" i="45" s="1"/>
  <c r="AW35" i="47"/>
  <c r="AW37" i="47" s="1"/>
  <c r="AY134" i="45"/>
  <c r="AV76" i="47"/>
  <c r="AV78" i="47" s="1"/>
  <c r="AQ8" i="97" l="1"/>
  <c r="AX155" i="45"/>
  <c r="AV127" i="47" s="1"/>
  <c r="AQ11" i="97" s="1"/>
  <c r="AQ6" i="97"/>
  <c r="AY140" i="45"/>
  <c r="AY135" i="45"/>
  <c r="AW43" i="47" s="1"/>
  <c r="AW45" i="47" s="1"/>
  <c r="AX41" i="47" s="1"/>
  <c r="AX44" i="47" s="1"/>
  <c r="AZ117" i="45" s="1"/>
  <c r="AV79" i="47"/>
  <c r="AV125" i="47" s="1"/>
  <c r="AV83" i="47"/>
  <c r="AQ7" i="97"/>
  <c r="AQ9" i="97" l="1"/>
  <c r="AQ12" i="97" s="1"/>
  <c r="AV128" i="47"/>
  <c r="AV131" i="47" s="1"/>
  <c r="AX157" i="45"/>
  <c r="AZ118" i="45"/>
  <c r="AZ120" i="45" s="1"/>
  <c r="AZ122" i="45" s="1"/>
  <c r="AZ130" i="45"/>
  <c r="AW99" i="47"/>
  <c r="AW100" i="47" s="1"/>
  <c r="AX97" i="47" s="1"/>
  <c r="AY141" i="45"/>
  <c r="AY142" i="45" s="1"/>
  <c r="AW93" i="47" s="1"/>
  <c r="AW94" i="47" s="1"/>
  <c r="AX91" i="47" s="1"/>
  <c r="AX98" i="47" s="1"/>
  <c r="AV80" i="47"/>
  <c r="AY143" i="45" l="1"/>
  <c r="AY146" i="45" s="1"/>
  <c r="AW73" i="47" s="1"/>
  <c r="AW74" i="47" s="1"/>
  <c r="AX71" i="47" s="1"/>
  <c r="AT5" i="53"/>
  <c r="AX23" i="47"/>
  <c r="AZ125" i="45" s="1"/>
  <c r="AX8" i="71"/>
  <c r="AT6" i="53" l="1"/>
  <c r="AT7" i="53" s="1"/>
  <c r="AX24" i="47"/>
  <c r="AX25" i="47" s="1"/>
  <c r="AX16" i="71"/>
  <c r="AX10" i="71"/>
  <c r="AY147" i="45"/>
  <c r="AY148" i="45" s="1"/>
  <c r="AW67" i="47" l="1"/>
  <c r="AW68" i="47" s="1"/>
  <c r="AX66" i="47" s="1"/>
  <c r="AX72" i="47" s="1"/>
  <c r="AY149" i="45"/>
  <c r="AY152" i="45" s="1"/>
  <c r="AZ126" i="45"/>
  <c r="AY22" i="47"/>
  <c r="BA85" i="45" s="1"/>
  <c r="AX17" i="71"/>
  <c r="AX18" i="71" s="1"/>
  <c r="AT32" i="53"/>
  <c r="AT33" i="53" s="1"/>
  <c r="AY153" i="45" l="1"/>
  <c r="AW102" i="47" s="1"/>
  <c r="AW105" i="47" s="1"/>
  <c r="AY154" i="45"/>
  <c r="AW114" i="47" s="1"/>
  <c r="AR8" i="97" s="1"/>
  <c r="BA86" i="45"/>
  <c r="AY32" i="47"/>
  <c r="AZ29" i="47" s="1"/>
  <c r="AX10" i="47"/>
  <c r="AX11" i="47" s="1"/>
  <c r="AT9" i="53"/>
  <c r="AT10" i="53" s="1"/>
  <c r="AT13" i="53" s="1"/>
  <c r="AZ128" i="45"/>
  <c r="AZ132" i="45" s="1"/>
  <c r="AW76" i="47"/>
  <c r="AR6" i="97" l="1"/>
  <c r="AY155" i="45"/>
  <c r="AW127" i="47" s="1"/>
  <c r="AR11" i="97" s="1"/>
  <c r="AW115" i="47"/>
  <c r="AW118" i="47" s="1"/>
  <c r="AX35" i="47"/>
  <c r="AX37" i="47" s="1"/>
  <c r="AY8" i="47"/>
  <c r="BA83" i="45" s="1"/>
  <c r="BA87" i="45" s="1"/>
  <c r="BA91" i="45" s="1"/>
  <c r="BA93" i="45" s="1"/>
  <c r="BA114" i="45" s="1"/>
  <c r="BA116" i="45" s="1"/>
  <c r="AZ134" i="45"/>
  <c r="AW78" i="47"/>
  <c r="AW79" i="47" s="1"/>
  <c r="AW125" i="47" s="1"/>
  <c r="AY157" i="45" l="1"/>
  <c r="AW128" i="47"/>
  <c r="AW131" i="47" s="1"/>
  <c r="AZ140" i="45"/>
  <c r="AX99" i="47" s="1"/>
  <c r="AX100" i="47" s="1"/>
  <c r="AY97" i="47" s="1"/>
  <c r="AZ135" i="45"/>
  <c r="AX43" i="47" s="1"/>
  <c r="AX45" i="47" s="1"/>
  <c r="AY41" i="47" s="1"/>
  <c r="AY44" i="47" s="1"/>
  <c r="BA117" i="45" s="1"/>
  <c r="AW83" i="47"/>
  <c r="AR7" i="97"/>
  <c r="AR9" i="97" s="1"/>
  <c r="AW80" i="47"/>
  <c r="AR12" i="97" l="1"/>
  <c r="AZ141" i="45"/>
  <c r="AZ142" i="45" s="1"/>
  <c r="AX93" i="47" s="1"/>
  <c r="AX94" i="47" s="1"/>
  <c r="AY91" i="47" s="1"/>
  <c r="AY98" i="47" s="1"/>
  <c r="BA118" i="45"/>
  <c r="BA120" i="45" s="1"/>
  <c r="BA122" i="45" s="1"/>
  <c r="BA130" i="45"/>
  <c r="AZ143" i="45" l="1"/>
  <c r="AZ146" i="45" s="1"/>
  <c r="AX73" i="47" s="1"/>
  <c r="AX74" i="47" s="1"/>
  <c r="AY71" i="47" s="1"/>
  <c r="AU5" i="53"/>
  <c r="AY8" i="71"/>
  <c r="AY23" i="47"/>
  <c r="BA125" i="45" s="1"/>
  <c r="AZ147" i="45" l="1"/>
  <c r="AZ148" i="45" s="1"/>
  <c r="AX67" i="47" s="1"/>
  <c r="AX68" i="47" s="1"/>
  <c r="AY66" i="47" s="1"/>
  <c r="AY72" i="47" s="1"/>
  <c r="AY24" i="47"/>
  <c r="AY25" i="47" s="1"/>
  <c r="AU6" i="53"/>
  <c r="AU7" i="53" s="1"/>
  <c r="AY10" i="71"/>
  <c r="AY16" i="71"/>
  <c r="AZ149" i="45" l="1"/>
  <c r="AZ153" i="45" s="1"/>
  <c r="AX102" i="47" s="1"/>
  <c r="AS6" i="97" s="1"/>
  <c r="AY17" i="71"/>
  <c r="AY18" i="71" s="1"/>
  <c r="AZ22" i="47"/>
  <c r="BB85" i="45" s="1"/>
  <c r="BA126" i="45"/>
  <c r="AU32" i="53"/>
  <c r="AU33" i="53" s="1"/>
  <c r="AZ152" i="45" l="1"/>
  <c r="AX76" i="47" s="1"/>
  <c r="AX78" i="47" s="1"/>
  <c r="AX79" i="47" s="1"/>
  <c r="AX125" i="47" s="1"/>
  <c r="BB86" i="45"/>
  <c r="AZ32" i="47"/>
  <c r="BA29" i="47" s="1"/>
  <c r="AZ154" i="45"/>
  <c r="AX114" i="47" s="1"/>
  <c r="AS8" i="97" s="1"/>
  <c r="AX105" i="47"/>
  <c r="AY10" i="47"/>
  <c r="AY11" i="47" s="1"/>
  <c r="AU9" i="53"/>
  <c r="AU10" i="53" s="1"/>
  <c r="AU13" i="53" s="1"/>
  <c r="BA128" i="45"/>
  <c r="BA132" i="45" s="1"/>
  <c r="AZ155" i="45" l="1"/>
  <c r="AX127" i="47" s="1"/>
  <c r="AS11" i="97" s="1"/>
  <c r="AX115" i="47"/>
  <c r="AX118" i="47" s="1"/>
  <c r="AX83" i="47"/>
  <c r="AS7" i="97"/>
  <c r="AS9" i="97" s="1"/>
  <c r="AX80" i="47"/>
  <c r="AY35" i="47"/>
  <c r="AY37" i="47" s="1"/>
  <c r="AZ8" i="47"/>
  <c r="BA134" i="45"/>
  <c r="AZ157" i="45" l="1"/>
  <c r="AX128" i="47"/>
  <c r="AX131" i="47" s="1"/>
  <c r="AS12" i="97"/>
  <c r="BA140" i="45"/>
  <c r="AY99" i="47" s="1"/>
  <c r="AY100" i="47" s="1"/>
  <c r="AZ97" i="47" s="1"/>
  <c r="BB83" i="45"/>
  <c r="BB87" i="45" s="1"/>
  <c r="BB91" i="45" s="1"/>
  <c r="BB93" i="45" s="1"/>
  <c r="BB114" i="45" s="1"/>
  <c r="BB116" i="45" s="1"/>
  <c r="BA135" i="45"/>
  <c r="AY43" i="47" s="1"/>
  <c r="AY45" i="47" s="1"/>
  <c r="AZ41" i="47" s="1"/>
  <c r="BA141" i="45" l="1"/>
  <c r="BA142" i="45" s="1"/>
  <c r="AY93" i="47" s="1"/>
  <c r="AY94" i="47" s="1"/>
  <c r="AZ91" i="47" s="1"/>
  <c r="AZ98" i="47" s="1"/>
  <c r="AZ44" i="47"/>
  <c r="BB117" i="45" s="1"/>
  <c r="BB118" i="45" s="1"/>
  <c r="BB130" i="45" l="1"/>
  <c r="BB120" i="45"/>
  <c r="BB122" i="45" s="1"/>
  <c r="AZ8" i="71"/>
  <c r="AZ23" i="47"/>
  <c r="BA143" i="45"/>
  <c r="BB125" i="45" l="1"/>
  <c r="AZ24" i="47" s="1"/>
  <c r="AZ25" i="47" s="1"/>
  <c r="AZ16" i="71"/>
  <c r="AZ10" i="71"/>
  <c r="BA146" i="45"/>
  <c r="AY73" i="47" s="1"/>
  <c r="AY74" i="47" s="1"/>
  <c r="AZ71" i="47" s="1"/>
  <c r="AV5" i="53"/>
  <c r="AV6" i="53" l="1"/>
  <c r="AV7" i="53" s="1"/>
  <c r="BB126" i="45" s="1"/>
  <c r="AZ17" i="71"/>
  <c r="AZ18" i="71" s="1"/>
  <c r="BA147" i="45"/>
  <c r="BA22" i="47"/>
  <c r="BC85" i="45" s="1"/>
  <c r="AV32" i="53"/>
  <c r="AV33" i="53" s="1"/>
  <c r="BC86" i="45" l="1"/>
  <c r="BA32" i="47"/>
  <c r="BB29" i="47" s="1"/>
  <c r="AZ10" i="47"/>
  <c r="AZ11" i="47" s="1"/>
  <c r="AV9" i="53"/>
  <c r="AV10" i="53" s="1"/>
  <c r="AV13" i="53" s="1"/>
  <c r="BB128" i="45"/>
  <c r="BA148" i="45"/>
  <c r="AY67" i="47" l="1"/>
  <c r="BB132" i="45"/>
  <c r="M156" i="26"/>
  <c r="BA149" i="45"/>
  <c r="AZ35" i="47"/>
  <c r="AZ37" i="47" s="1"/>
  <c r="BA8" i="47"/>
  <c r="BB134" i="45"/>
  <c r="BB135" i="45" l="1"/>
  <c r="AZ43" i="47" s="1"/>
  <c r="AZ45" i="47" s="1"/>
  <c r="BA41" i="47" s="1"/>
  <c r="BB140" i="45"/>
  <c r="AZ99" i="47" s="1"/>
  <c r="AZ100" i="47" s="1"/>
  <c r="BA97" i="47" s="1"/>
  <c r="BC83" i="45"/>
  <c r="BC87" i="45" s="1"/>
  <c r="BC91" i="45" s="1"/>
  <c r="BC93" i="45" s="1"/>
  <c r="BC114" i="45" s="1"/>
  <c r="BC116" i="45" s="1"/>
  <c r="BA152" i="45"/>
  <c r="BA154" i="45"/>
  <c r="AY114" i="47" s="1"/>
  <c r="BA153" i="45"/>
  <c r="AY102" i="47" s="1"/>
  <c r="AY68" i="47"/>
  <c r="AZ66" i="47" s="1"/>
  <c r="AZ72" i="47" s="1"/>
  <c r="BA155" i="45" l="1"/>
  <c r="AY127" i="47" s="1"/>
  <c r="AT11" i="97" s="1"/>
  <c r="AY105" i="47"/>
  <c r="AT6" i="97"/>
  <c r="AY76" i="47"/>
  <c r="BB141" i="45"/>
  <c r="AY115" i="47"/>
  <c r="AY118" i="47" s="1"/>
  <c r="AT8" i="97"/>
  <c r="BA44" i="47"/>
  <c r="BC117" i="45" s="1"/>
  <c r="BC118" i="45" s="1"/>
  <c r="BA157" i="45" l="1"/>
  <c r="BC120" i="45"/>
  <c r="BC122" i="45" s="1"/>
  <c r="BA8" i="71"/>
  <c r="BA23" i="47"/>
  <c r="BB142" i="45"/>
  <c r="BB143" i="45" s="1"/>
  <c r="AY78" i="47"/>
  <c r="BC130" i="45"/>
  <c r="BC125" i="45" l="1"/>
  <c r="AW6" i="53" s="1"/>
  <c r="AT7" i="97"/>
  <c r="AT9" i="97" s="1"/>
  <c r="AT12" i="97" s="1"/>
  <c r="AY83" i="47"/>
  <c r="AY79" i="47"/>
  <c r="AY125" i="47" s="1"/>
  <c r="AY128" i="47" s="1"/>
  <c r="AY131" i="47" s="1"/>
  <c r="BB146" i="45"/>
  <c r="AZ73" i="47" s="1"/>
  <c r="AZ74" i="47" s="1"/>
  <c r="BA71" i="47" s="1"/>
  <c r="AZ93" i="47"/>
  <c r="BA16" i="71"/>
  <c r="BA10" i="71"/>
  <c r="AW5" i="53"/>
  <c r="BA24" i="47" l="1"/>
  <c r="BA25" i="47" s="1"/>
  <c r="BB22" i="47" s="1"/>
  <c r="BD85" i="45" s="1"/>
  <c r="BB147" i="45"/>
  <c r="BB148" i="45" s="1"/>
  <c r="BB149" i="45" s="1"/>
  <c r="AW7" i="53"/>
  <c r="AZ94" i="47"/>
  <c r="BA91" i="47" s="1"/>
  <c r="AW32" i="53"/>
  <c r="AW33" i="53" s="1"/>
  <c r="AY80" i="47"/>
  <c r="BA17" i="71"/>
  <c r="BA18" i="71" s="1"/>
  <c r="BC126" i="45" l="1"/>
  <c r="BA10" i="47" s="1"/>
  <c r="BA11" i="47" s="1"/>
  <c r="BD86" i="45"/>
  <c r="BB32" i="47"/>
  <c r="BC29" i="47" s="1"/>
  <c r="BA98" i="47"/>
  <c r="BB153" i="45"/>
  <c r="AZ102" i="47" s="1"/>
  <c r="BB154" i="45"/>
  <c r="AZ114" i="47" s="1"/>
  <c r="BB152" i="45"/>
  <c r="AZ67" i="47"/>
  <c r="BC128" i="45" l="1"/>
  <c r="BC132" i="45" s="1"/>
  <c r="AW9" i="53"/>
  <c r="AW10" i="53" s="1"/>
  <c r="AW13" i="53" s="1"/>
  <c r="AZ115" i="47"/>
  <c r="AZ118" i="47" s="1"/>
  <c r="AU8" i="97"/>
  <c r="AZ105" i="47"/>
  <c r="AU6" i="97"/>
  <c r="AZ68" i="47"/>
  <c r="BA66" i="47" s="1"/>
  <c r="BB155" i="45"/>
  <c r="AZ76" i="47"/>
  <c r="AZ78" i="47" s="1"/>
  <c r="BC134" i="45"/>
  <c r="BA35" i="47"/>
  <c r="BA37" i="47" s="1"/>
  <c r="BB8" i="47"/>
  <c r="AU7" i="97" l="1"/>
  <c r="AU9" i="97" s="1"/>
  <c r="AZ83" i="47"/>
  <c r="BC140" i="45"/>
  <c r="BC141" i="45" s="1"/>
  <c r="BC142" i="45" s="1"/>
  <c r="BC135" i="45"/>
  <c r="BA43" i="47" s="1"/>
  <c r="BA45" i="47" s="1"/>
  <c r="BB41" i="47" s="1"/>
  <c r="AZ79" i="47"/>
  <c r="AZ125" i="47" s="1"/>
  <c r="AZ127" i="47"/>
  <c r="AU11" i="97" s="1"/>
  <c r="BB157" i="45"/>
  <c r="BA72" i="47"/>
  <c r="BD83" i="45"/>
  <c r="BD87" i="45" s="1"/>
  <c r="BD91" i="45" s="1"/>
  <c r="BD93" i="45" s="1"/>
  <c r="BD114" i="45" s="1"/>
  <c r="BD116" i="45" s="1"/>
  <c r="AZ128" i="47" l="1"/>
  <c r="AZ131" i="47" s="1"/>
  <c r="BC143" i="45"/>
  <c r="BA93" i="47"/>
  <c r="BB44" i="47"/>
  <c r="BD117" i="45" s="1"/>
  <c r="BD118" i="45" s="1"/>
  <c r="BA99" i="47"/>
  <c r="BA100" i="47" s="1"/>
  <c r="BB97" i="47" s="1"/>
  <c r="AZ80" i="47"/>
  <c r="AU12" i="97"/>
  <c r="BD130" i="45" l="1"/>
  <c r="BD120" i="45"/>
  <c r="BD122" i="45" s="1"/>
  <c r="BB8" i="71"/>
  <c r="BB23" i="47"/>
  <c r="BA94" i="47"/>
  <c r="BB91" i="47" s="1"/>
  <c r="BB98" i="47" s="1"/>
  <c r="BC146" i="45"/>
  <c r="BC147" i="45" s="1"/>
  <c r="BC148" i="45" s="1"/>
  <c r="BD125" i="45" l="1"/>
  <c r="BB24" i="47" s="1"/>
  <c r="BB25" i="47" s="1"/>
  <c r="BA73" i="47"/>
  <c r="BA74" i="47" s="1"/>
  <c r="BB71" i="47" s="1"/>
  <c r="BC149" i="45"/>
  <c r="BA67" i="47"/>
  <c r="BB10" i="71"/>
  <c r="BB16" i="71"/>
  <c r="AX5" i="53"/>
  <c r="AX6" i="53" l="1"/>
  <c r="AX7" i="53" s="1"/>
  <c r="AX32" i="53"/>
  <c r="AX33" i="53" s="1"/>
  <c r="BA68" i="47"/>
  <c r="BB66" i="47" s="1"/>
  <c r="BB72" i="47" s="1"/>
  <c r="BC22" i="47"/>
  <c r="BE85" i="45" s="1"/>
  <c r="BD126" i="45"/>
  <c r="BC152" i="45"/>
  <c r="BC154" i="45"/>
  <c r="BA114" i="47" s="1"/>
  <c r="BC153" i="45"/>
  <c r="BA102" i="47" s="1"/>
  <c r="BB17" i="71"/>
  <c r="BB18" i="71" s="1"/>
  <c r="BE86" i="45" l="1"/>
  <c r="BC32" i="47"/>
  <c r="BD29" i="47" s="1"/>
  <c r="BC155" i="45"/>
  <c r="BA127" i="47" s="1"/>
  <c r="AV11" i="97" s="1"/>
  <c r="BA76" i="47"/>
  <c r="BA78" i="47" s="1"/>
  <c r="AV8" i="97"/>
  <c r="BA115" i="47"/>
  <c r="BA118" i="47" s="1"/>
  <c r="AV6" i="97"/>
  <c r="BA105" i="47"/>
  <c r="BB10" i="47"/>
  <c r="BB11" i="47" s="1"/>
  <c r="AX9" i="53"/>
  <c r="AX10" i="53" s="1"/>
  <c r="AX13" i="53" s="1"/>
  <c r="BD128" i="45"/>
  <c r="BD132" i="45" s="1"/>
  <c r="BC157" i="45" l="1"/>
  <c r="BD134" i="45"/>
  <c r="BD135" i="45" s="1"/>
  <c r="BB43" i="47" s="1"/>
  <c r="BB45" i="47" s="1"/>
  <c r="BC41" i="47" s="1"/>
  <c r="BC8" i="47"/>
  <c r="BB35" i="47"/>
  <c r="BB37" i="47" s="1"/>
  <c r="BA79" i="47"/>
  <c r="BA125" i="47" s="1"/>
  <c r="BA128" i="47" s="1"/>
  <c r="BA131" i="47" s="1"/>
  <c r="AV7" i="97"/>
  <c r="AV9" i="97" s="1"/>
  <c r="AV12" i="97" s="1"/>
  <c r="BA83" i="47"/>
  <c r="BA80" i="47" l="1"/>
  <c r="BE83" i="45"/>
  <c r="BD140" i="45"/>
  <c r="BD141" i="45" s="1"/>
  <c r="BB99" i="47" l="1"/>
  <c r="BB100" i="47" s="1"/>
  <c r="BC97" i="47" s="1"/>
  <c r="BE87" i="45"/>
  <c r="BE91" i="45" s="1"/>
  <c r="BE93" i="45" s="1"/>
  <c r="BE114" i="45" s="1"/>
  <c r="BE116" i="45" s="1"/>
  <c r="BC44" i="47" s="1"/>
  <c r="BD142" i="45"/>
  <c r="BB93" i="47" s="1"/>
  <c r="BD143" i="45" l="1"/>
  <c r="BD146" i="45" s="1"/>
  <c r="BB73" i="47" s="1"/>
  <c r="BB74" i="47" s="1"/>
  <c r="BC71" i="47" s="1"/>
  <c r="BB94" i="47"/>
  <c r="BC91" i="47" s="1"/>
  <c r="BC98" i="47" s="1"/>
  <c r="BE117" i="45"/>
  <c r="BE118" i="45" s="1"/>
  <c r="BE130" i="45"/>
  <c r="BD147" i="45" l="1"/>
  <c r="BE120" i="45"/>
  <c r="BE122" i="45" s="1"/>
  <c r="BC8" i="71"/>
  <c r="BC23" i="47"/>
  <c r="BE125" i="45" l="1"/>
  <c r="AY6" i="53" s="1"/>
  <c r="AY5" i="53"/>
  <c r="BC16" i="71"/>
  <c r="BC10" i="71"/>
  <c r="BD148" i="45"/>
  <c r="BD149" i="45" s="1"/>
  <c r="BC24" i="47" l="1"/>
  <c r="BC25" i="47" s="1"/>
  <c r="BD22" i="47" s="1"/>
  <c r="BF85" i="45" s="1"/>
  <c r="M113" i="26" s="1"/>
  <c r="BB67" i="47"/>
  <c r="BC17" i="71"/>
  <c r="BC18" i="71" s="1"/>
  <c r="BD153" i="45"/>
  <c r="BB102" i="47" s="1"/>
  <c r="BD154" i="45"/>
  <c r="BB114" i="47" s="1"/>
  <c r="BD152" i="45"/>
  <c r="BB76" i="47" s="1"/>
  <c r="AY7" i="53"/>
  <c r="AY32" i="53"/>
  <c r="AY33" i="53" s="1"/>
  <c r="BE126" i="45" l="1"/>
  <c r="AY9" i="53" s="1"/>
  <c r="AY10" i="53" s="1"/>
  <c r="AY13" i="53" s="1"/>
  <c r="BF86" i="45"/>
  <c r="M114" i="26" s="1"/>
  <c r="BD32" i="47"/>
  <c r="BE29" i="47" s="1"/>
  <c r="BD155" i="45"/>
  <c r="BB127" i="47" s="1"/>
  <c r="AW11" i="97" s="1"/>
  <c r="BB115" i="47"/>
  <c r="BB118" i="47" s="1"/>
  <c r="AW8" i="97"/>
  <c r="BB105" i="47"/>
  <c r="AW6" i="97"/>
  <c r="BB68" i="47"/>
  <c r="BC66" i="47" s="1"/>
  <c r="BC72" i="47" s="1"/>
  <c r="BB78" i="47"/>
  <c r="BE128" i="45" l="1"/>
  <c r="BE132" i="45" s="1"/>
  <c r="BC10" i="47"/>
  <c r="BC11" i="47" s="1"/>
  <c r="BE134" i="45" s="1"/>
  <c r="BD157" i="45"/>
  <c r="BB83" i="47"/>
  <c r="AW7" i="97"/>
  <c r="AW9" i="97" s="1"/>
  <c r="AW12" i="97" s="1"/>
  <c r="BB79" i="47"/>
  <c r="BB125" i="47" s="1"/>
  <c r="BB128" i="47" s="1"/>
  <c r="BB131" i="47" s="1"/>
  <c r="BE135" i="45" l="1"/>
  <c r="BC43" i="47" s="1"/>
  <c r="BC45" i="47" s="1"/>
  <c r="BD41" i="47" s="1"/>
  <c r="BD8" i="47"/>
  <c r="BF83" i="45" s="1"/>
  <c r="BC35" i="47"/>
  <c r="BC37" i="47" s="1"/>
  <c r="BB80" i="47"/>
  <c r="BE140" i="45"/>
  <c r="BC99" i="47" l="1"/>
  <c r="BC100" i="47" s="1"/>
  <c r="BD97" i="47" s="1"/>
  <c r="BE141" i="45"/>
  <c r="BF87" i="45"/>
  <c r="BF91" i="45" s="1"/>
  <c r="BF93" i="45" s="1"/>
  <c r="BF114" i="45" s="1"/>
  <c r="BF116" i="45" s="1"/>
  <c r="M111" i="26"/>
  <c r="M115" i="26" s="1"/>
  <c r="M119" i="26" s="1"/>
  <c r="M121" i="26" s="1"/>
  <c r="M142" i="26" s="1"/>
  <c r="BD44" i="47" l="1"/>
  <c r="BE142" i="45"/>
  <c r="BE143" i="45" s="1"/>
  <c r="BE146" i="45" l="1"/>
  <c r="BC73" i="47" s="1"/>
  <c r="BC74" i="47" s="1"/>
  <c r="BD71" i="47" s="1"/>
  <c r="BC93" i="47"/>
  <c r="BF117" i="45"/>
  <c r="BF130" i="45"/>
  <c r="M158" i="26" s="1"/>
  <c r="BE147" i="45" l="1"/>
  <c r="BE148" i="45" s="1"/>
  <c r="M145" i="26"/>
  <c r="BF118" i="45"/>
  <c r="BF120" i="45" s="1"/>
  <c r="BF122" i="45" s="1"/>
  <c r="BC94" i="47"/>
  <c r="BD91" i="47" s="1"/>
  <c r="BD98" i="47" s="1"/>
  <c r="AZ5" i="53" l="1"/>
  <c r="BC67" i="47"/>
  <c r="BE149" i="45"/>
  <c r="BD8" i="71"/>
  <c r="BD23" i="47"/>
  <c r="BF125" i="45" s="1"/>
  <c r="M146" i="26"/>
  <c r="M148" i="26" s="1"/>
  <c r="M150" i="26" s="1"/>
  <c r="BD24" i="47" l="1"/>
  <c r="BD25" i="47" s="1"/>
  <c r="AZ6" i="53"/>
  <c r="AZ7" i="53" s="1"/>
  <c r="M153" i="26"/>
  <c r="BE153" i="45"/>
  <c r="BC102" i="47" s="1"/>
  <c r="BE152" i="45"/>
  <c r="BE154" i="45"/>
  <c r="BC114" i="47" s="1"/>
  <c r="BD10" i="71"/>
  <c r="BD16" i="71"/>
  <c r="BC68" i="47"/>
  <c r="BD66" i="47" s="1"/>
  <c r="BD72" i="47" s="1"/>
  <c r="BE155" i="45" l="1"/>
  <c r="BC127" i="47" s="1"/>
  <c r="AX11" i="97" s="1"/>
  <c r="BC105" i="47"/>
  <c r="AX6" i="97"/>
  <c r="BC115" i="47"/>
  <c r="BC118" i="47" s="1"/>
  <c r="AX8" i="97"/>
  <c r="BD17" i="71"/>
  <c r="BD18" i="71" s="1"/>
  <c r="AZ32" i="53"/>
  <c r="AZ33" i="53" s="1"/>
  <c r="BC76" i="47"/>
  <c r="BE22" i="47"/>
  <c r="BG85" i="45" s="1"/>
  <c r="BF126" i="45"/>
  <c r="BE157" i="45" l="1"/>
  <c r="BG86" i="45"/>
  <c r="BE32" i="47"/>
  <c r="BF29" i="47" s="1"/>
  <c r="BC78" i="47"/>
  <c r="BC79" i="47" s="1"/>
  <c r="BC125" i="47" s="1"/>
  <c r="BC128" i="47" s="1"/>
  <c r="BD10" i="47"/>
  <c r="BD11" i="47" s="1"/>
  <c r="M177" i="26" s="1"/>
  <c r="AZ9" i="53"/>
  <c r="AZ10" i="53" s="1"/>
  <c r="AZ13" i="53" s="1"/>
  <c r="M154" i="26"/>
  <c r="BF128" i="45"/>
  <c r="BF132" i="45" s="1"/>
  <c r="BE8" i="47" l="1"/>
  <c r="L178" i="26"/>
  <c r="BD35" i="47"/>
  <c r="BD37" i="47" s="1"/>
  <c r="BF134" i="45"/>
  <c r="BC131" i="47"/>
  <c r="AX7" i="97"/>
  <c r="AX9" i="97" s="1"/>
  <c r="BC83" i="47"/>
  <c r="BC80" i="47"/>
  <c r="AX12" i="97" l="1"/>
  <c r="BG83" i="45"/>
  <c r="BG87" i="45" s="1"/>
  <c r="BG91" i="45" s="1"/>
  <c r="BG93" i="45" s="1"/>
  <c r="BG114" i="45" s="1"/>
  <c r="BG116" i="45" s="1"/>
  <c r="BF140" i="45"/>
  <c r="BF135" i="45"/>
  <c r="BD43" i="47" s="1"/>
  <c r="BD45" i="47" s="1"/>
  <c r="BD99" i="47" l="1"/>
  <c r="BD100" i="47" s="1"/>
  <c r="BE97" i="47" s="1"/>
  <c r="BF141" i="45"/>
  <c r="BE41" i="47"/>
  <c r="BE44" i="47" s="1"/>
  <c r="BG117" i="45" s="1"/>
  <c r="BG118" i="45" l="1"/>
  <c r="BG120" i="45" s="1"/>
  <c r="BG122" i="45" s="1"/>
  <c r="BF142" i="45"/>
  <c r="BG130" i="45"/>
  <c r="BA5" i="53" l="1"/>
  <c r="BD93" i="47"/>
  <c r="BF143" i="45"/>
  <c r="BE8" i="71"/>
  <c r="BE10" i="71" s="1"/>
  <c r="BE23" i="47"/>
  <c r="BG125" i="45" s="1"/>
  <c r="BA6" i="53" l="1"/>
  <c r="BA7" i="53" s="1"/>
  <c r="BE24" i="47"/>
  <c r="BE25" i="47" s="1"/>
  <c r="BD94" i="47"/>
  <c r="BE91" i="47" s="1"/>
  <c r="BE98" i="47" s="1"/>
  <c r="BF146" i="45"/>
  <c r="BF147" i="45" s="1"/>
  <c r="BF148" i="45" l="1"/>
  <c r="BD67" i="47" s="1"/>
  <c r="BD68" i="47" s="1"/>
  <c r="BD73" i="47"/>
  <c r="BD74" i="47" s="1"/>
  <c r="BE71" i="47" s="1"/>
  <c r="BG126" i="45"/>
  <c r="BF22" i="47"/>
  <c r="BH85" i="45" s="1"/>
  <c r="BA32" i="53"/>
  <c r="BA33" i="53" s="1"/>
  <c r="BH86" i="45" l="1"/>
  <c r="BF32" i="47"/>
  <c r="BG29" i="47" s="1"/>
  <c r="BF149" i="45"/>
  <c r="BF153" i="45" s="1"/>
  <c r="BD102" i="47" s="1"/>
  <c r="BE10" i="47"/>
  <c r="BE11" i="47" s="1"/>
  <c r="BA9" i="53"/>
  <c r="BA10" i="53" s="1"/>
  <c r="BA13" i="53" s="1"/>
  <c r="BG128" i="45"/>
  <c r="BG132" i="45" s="1"/>
  <c r="L182" i="26"/>
  <c r="L183" i="26" s="1"/>
  <c r="L184" i="26" s="1"/>
  <c r="BE66" i="47"/>
  <c r="BE72" i="47" s="1"/>
  <c r="BF152" i="45" l="1"/>
  <c r="BD76" i="47" s="1"/>
  <c r="BD78" i="47" s="1"/>
  <c r="BF154" i="45"/>
  <c r="BD114" i="47" s="1"/>
  <c r="BD115" i="47" s="1"/>
  <c r="BD118" i="47" s="1"/>
  <c r="L249" i="26" s="1"/>
  <c r="BE35" i="47"/>
  <c r="BE37" i="47" s="1"/>
  <c r="BF8" i="47"/>
  <c r="BG134" i="45"/>
  <c r="BD105" i="47"/>
  <c r="L248" i="26" s="1"/>
  <c r="AY6" i="97"/>
  <c r="AY8" i="97" l="1"/>
  <c r="G18" i="97" s="1"/>
  <c r="L215" i="26" s="1"/>
  <c r="BF155" i="45"/>
  <c r="G16" i="97"/>
  <c r="BG140" i="45"/>
  <c r="BG141" i="45" s="1"/>
  <c r="BH83" i="45"/>
  <c r="BH87" i="45" s="1"/>
  <c r="BH91" i="45" s="1"/>
  <c r="BH93" i="45" s="1"/>
  <c r="BH114" i="45" s="1"/>
  <c r="BH116" i="45" s="1"/>
  <c r="BD79" i="47"/>
  <c r="BD125" i="47" s="1"/>
  <c r="BD83" i="47"/>
  <c r="L247" i="26" s="1"/>
  <c r="AY7" i="97"/>
  <c r="G17" i="97" s="1"/>
  <c r="BG135" i="45"/>
  <c r="BE43" i="47" s="1"/>
  <c r="BE45" i="47" s="1"/>
  <c r="BF41" i="47" s="1"/>
  <c r="BD127" i="47" l="1"/>
  <c r="AY11" i="97" s="1"/>
  <c r="M165" i="26" s="1"/>
  <c r="BF157" i="45"/>
  <c r="BD80" i="47"/>
  <c r="BG142" i="45"/>
  <c r="BE93" i="47" s="1"/>
  <c r="L211" i="26"/>
  <c r="L212" i="26"/>
  <c r="L230" i="26" s="1"/>
  <c r="BF44" i="47"/>
  <c r="BH117" i="45" s="1"/>
  <c r="BH118" i="45" s="1"/>
  <c r="BE99" i="47"/>
  <c r="BE100" i="47" s="1"/>
  <c r="BF97" i="47" s="1"/>
  <c r="AY9" i="97"/>
  <c r="M164" i="26" s="1"/>
  <c r="L207" i="26"/>
  <c r="L226" i="26" s="1"/>
  <c r="L205" i="26"/>
  <c r="L206" i="26"/>
  <c r="L225" i="26" s="1"/>
  <c r="G19" i="97"/>
  <c r="L237" i="26" l="1"/>
  <c r="L239" i="26" s="1"/>
  <c r="G21" i="97"/>
  <c r="G22" i="97" s="1"/>
  <c r="BD128" i="47"/>
  <c r="BG143" i="45"/>
  <c r="BG146" i="45" s="1"/>
  <c r="BG147" i="45" s="1"/>
  <c r="AY12" i="97"/>
  <c r="BF8" i="71"/>
  <c r="BF10" i="71" s="1"/>
  <c r="BF23" i="47"/>
  <c r="BH120" i="45"/>
  <c r="BH122" i="45" s="1"/>
  <c r="L229" i="26"/>
  <c r="L213" i="26"/>
  <c r="BH130" i="45"/>
  <c r="L208" i="26"/>
  <c r="L224" i="26"/>
  <c r="BE94" i="47"/>
  <c r="BF91" i="47" s="1"/>
  <c r="BF98" i="47" s="1"/>
  <c r="BD131" i="47" l="1"/>
  <c r="L250" i="26"/>
  <c r="L251" i="26" s="1"/>
  <c r="L216" i="26"/>
  <c r="L234" i="26"/>
  <c r="BG148" i="45"/>
  <c r="BE67" i="47" s="1"/>
  <c r="BE73" i="47"/>
  <c r="BE74" i="47" s="1"/>
  <c r="BF71" i="47" s="1"/>
  <c r="BH125" i="45"/>
  <c r="BB5" i="53"/>
  <c r="L192" i="26"/>
  <c r="G192" i="26" s="1"/>
  <c r="L193" i="26"/>
  <c r="L194" i="26" s="1"/>
  <c r="L195" i="26" s="1"/>
  <c r="L196" i="26" s="1"/>
  <c r="L197" i="26" s="1"/>
  <c r="L198" i="26" s="1"/>
  <c r="L167" i="26"/>
  <c r="L169" i="26" s="1"/>
  <c r="L160" i="26"/>
  <c r="L168" i="26"/>
  <c r="BG149" i="45" l="1"/>
  <c r="BG153" i="45" s="1"/>
  <c r="BE102" i="47" s="1"/>
  <c r="BF24" i="47"/>
  <c r="BF25" i="47" s="1"/>
  <c r="BB6" i="53"/>
  <c r="BB7" i="53" s="1"/>
  <c r="BE68" i="47"/>
  <c r="BF66" i="47" s="1"/>
  <c r="BG154" i="45" l="1"/>
  <c r="BE114" i="47" s="1"/>
  <c r="AZ8" i="97" s="1"/>
  <c r="BG152" i="45"/>
  <c r="AZ6" i="97"/>
  <c r="BE105" i="47"/>
  <c r="BF72" i="47"/>
  <c r="BB32" i="53"/>
  <c r="BB33" i="53" s="1"/>
  <c r="BH126" i="45"/>
  <c r="BG22" i="47"/>
  <c r="BI85" i="45" s="1"/>
  <c r="BG155" i="45" l="1"/>
  <c r="BE127" i="47" s="1"/>
  <c r="AZ11" i="97" s="1"/>
  <c r="BE76" i="47"/>
  <c r="BE78" i="47" s="1"/>
  <c r="BE83" i="47" s="1"/>
  <c r="BE115" i="47"/>
  <c r="BE118" i="47" s="1"/>
  <c r="BI86" i="45"/>
  <c r="BG32" i="47"/>
  <c r="BH29" i="47" s="1"/>
  <c r="BF10" i="47"/>
  <c r="BF11" i="47" s="1"/>
  <c r="BB9" i="53"/>
  <c r="BB10" i="53" s="1"/>
  <c r="BB13" i="53" s="1"/>
  <c r="BH128" i="45"/>
  <c r="BH132" i="45" s="1"/>
  <c r="BG157" i="45" l="1"/>
  <c r="AZ7" i="97"/>
  <c r="AZ9" i="97" s="1"/>
  <c r="AZ12" i="97" s="1"/>
  <c r="BE79" i="47"/>
  <c r="BE125" i="47" s="1"/>
  <c r="BE128" i="47" s="1"/>
  <c r="BE131" i="47" s="1"/>
  <c r="BF35" i="47"/>
  <c r="BF37" i="47" s="1"/>
  <c r="BG8" i="47"/>
  <c r="BH134" i="45"/>
  <c r="BE80" i="47" l="1"/>
  <c r="BI83" i="45"/>
  <c r="BI87" i="45" s="1"/>
  <c r="BI91" i="45" s="1"/>
  <c r="BI93" i="45" s="1"/>
  <c r="BI114" i="45" s="1"/>
  <c r="BI116" i="45" s="1"/>
  <c r="BH140" i="45"/>
  <c r="BH141" i="45" s="1"/>
  <c r="BH135" i="45"/>
  <c r="BF43" i="47" s="1"/>
  <c r="BF45" i="47" s="1"/>
  <c r="BG41" i="47" s="1"/>
  <c r="BH142" i="45" l="1"/>
  <c r="BF93" i="47" s="1"/>
  <c r="BF99" i="47"/>
  <c r="BF100" i="47" s="1"/>
  <c r="BG97" i="47" s="1"/>
  <c r="BG44" i="47"/>
  <c r="BI117" i="45" s="1"/>
  <c r="BI118" i="45" s="1"/>
  <c r="BI120" i="45" l="1"/>
  <c r="BI122" i="45" s="1"/>
  <c r="BG23" i="47"/>
  <c r="BG8" i="71"/>
  <c r="BG10" i="71" s="1"/>
  <c r="BH143" i="45"/>
  <c r="BF94" i="47"/>
  <c r="BG91" i="47" s="1"/>
  <c r="BI130" i="45"/>
  <c r="BH146" i="45" l="1"/>
  <c r="BG98" i="47"/>
  <c r="BI125" i="45"/>
  <c r="BC5" i="53"/>
  <c r="BG24" i="47" l="1"/>
  <c r="BG25" i="47" s="1"/>
  <c r="BC6" i="53"/>
  <c r="BC7" i="53" s="1"/>
  <c r="BF73" i="47"/>
  <c r="BF74" i="47" s="1"/>
  <c r="BG71" i="47" s="1"/>
  <c r="BH147" i="45"/>
  <c r="BC32" i="53" l="1"/>
  <c r="BC33" i="53" s="1"/>
  <c r="BH148" i="45"/>
  <c r="BH149" i="45" s="1"/>
  <c r="BH22" i="47"/>
  <c r="BJ85" i="45" s="1"/>
  <c r="BI126" i="45"/>
  <c r="BJ86" i="45" l="1"/>
  <c r="BH32" i="47"/>
  <c r="BI29" i="47" s="1"/>
  <c r="BH153" i="45"/>
  <c r="BF102" i="47" s="1"/>
  <c r="BH152" i="45"/>
  <c r="BF76" i="47" s="1"/>
  <c r="BH154" i="45"/>
  <c r="BF114" i="47" s="1"/>
  <c r="BF67" i="47"/>
  <c r="BG10" i="47"/>
  <c r="BG11" i="47" s="1"/>
  <c r="BC9" i="53"/>
  <c r="BC10" i="53" s="1"/>
  <c r="BC13" i="53" s="1"/>
  <c r="BI128" i="45"/>
  <c r="BI132" i="45" s="1"/>
  <c r="BH155" i="45" l="1"/>
  <c r="BG35" i="47"/>
  <c r="BG37" i="47" s="1"/>
  <c r="BH8" i="47"/>
  <c r="BI134" i="45"/>
  <c r="BF68" i="47"/>
  <c r="BG66" i="47" s="1"/>
  <c r="BG72" i="47" s="1"/>
  <c r="BA8" i="97"/>
  <c r="BF115" i="47"/>
  <c r="BF118" i="47" s="1"/>
  <c r="BF78" i="47"/>
  <c r="BF105" i="47"/>
  <c r="BA6" i="97"/>
  <c r="BF127" i="47" l="1"/>
  <c r="BA11" i="97" s="1"/>
  <c r="BH157" i="45"/>
  <c r="BI140" i="45"/>
  <c r="BI141" i="45" s="1"/>
  <c r="BI142" i="45" s="1"/>
  <c r="BJ83" i="45"/>
  <c r="BJ87" i="45" s="1"/>
  <c r="BJ91" i="45" s="1"/>
  <c r="BJ93" i="45" s="1"/>
  <c r="BJ114" i="45" s="1"/>
  <c r="BJ116" i="45" s="1"/>
  <c r="BF83" i="47"/>
  <c r="BA7" i="97"/>
  <c r="BA9" i="97" s="1"/>
  <c r="BF79" i="47"/>
  <c r="BF125" i="47" s="1"/>
  <c r="BI135" i="45"/>
  <c r="BG43" i="47" s="1"/>
  <c r="BG45" i="47" s="1"/>
  <c r="BH41" i="47" s="1"/>
  <c r="BF128" i="47" l="1"/>
  <c r="BF131" i="47" s="1"/>
  <c r="BA12" i="97"/>
  <c r="BH44" i="47"/>
  <c r="BJ117" i="45" s="1"/>
  <c r="BJ118" i="45" s="1"/>
  <c r="BF80" i="47"/>
  <c r="BI143" i="45"/>
  <c r="BG93" i="47"/>
  <c r="BG99" i="47"/>
  <c r="BG100" i="47" s="1"/>
  <c r="BH97" i="47" s="1"/>
  <c r="BJ130" i="45" l="1"/>
  <c r="BG94" i="47"/>
  <c r="BH91" i="47" s="1"/>
  <c r="BI146" i="45"/>
  <c r="BI147" i="45" s="1"/>
  <c r="BI148" i="45" s="1"/>
  <c r="BJ120" i="45"/>
  <c r="BJ122" i="45" s="1"/>
  <c r="BH23" i="47"/>
  <c r="BH8" i="71"/>
  <c r="BH10" i="71" s="1"/>
  <c r="BD5" i="53" l="1"/>
  <c r="BJ125" i="45"/>
  <c r="BI149" i="45"/>
  <c r="BG67" i="47"/>
  <c r="BH98" i="47"/>
  <c r="BG73" i="47"/>
  <c r="BG74" i="47" s="1"/>
  <c r="BH71" i="47" s="1"/>
  <c r="BG68" i="47" l="1"/>
  <c r="BH66" i="47" s="1"/>
  <c r="BI153" i="45"/>
  <c r="BG102" i="47" s="1"/>
  <c r="BI152" i="45"/>
  <c r="BI154" i="45"/>
  <c r="BG114" i="47" s="1"/>
  <c r="BH24" i="47"/>
  <c r="BH25" i="47" s="1"/>
  <c r="BD6" i="53"/>
  <c r="BD7" i="53" s="1"/>
  <c r="BI155" i="45" l="1"/>
  <c r="BG127" i="47" s="1"/>
  <c r="BB11" i="97" s="1"/>
  <c r="BD32" i="53"/>
  <c r="BD33" i="53" s="1"/>
  <c r="BI22" i="47"/>
  <c r="BK85" i="45" s="1"/>
  <c r="BJ126" i="45"/>
  <c r="BG105" i="47"/>
  <c r="BB6" i="97"/>
  <c r="BH72" i="47"/>
  <c r="BG115" i="47"/>
  <c r="BG118" i="47" s="1"/>
  <c r="BB8" i="97"/>
  <c r="BG76" i="47"/>
  <c r="BI157" i="45"/>
  <c r="BK86" i="45" l="1"/>
  <c r="BI32" i="47"/>
  <c r="BJ29" i="47" s="1"/>
  <c r="BG78" i="47"/>
  <c r="BH10" i="47"/>
  <c r="BH11" i="47" s="1"/>
  <c r="BD9" i="53"/>
  <c r="BD10" i="53" s="1"/>
  <c r="BD13" i="53" s="1"/>
  <c r="BJ128" i="45"/>
  <c r="BJ132" i="45" s="1"/>
  <c r="BB7" i="97" l="1"/>
  <c r="BB9" i="97" s="1"/>
  <c r="BG83" i="47"/>
  <c r="BH35" i="47"/>
  <c r="BH37" i="47" s="1"/>
  <c r="BI8" i="47"/>
  <c r="BJ134" i="45"/>
  <c r="BJ140" i="45" s="1"/>
  <c r="BG79" i="47"/>
  <c r="BG125" i="47" s="1"/>
  <c r="BG128" i="47" s="1"/>
  <c r="BG131" i="47" s="1"/>
  <c r="BB12" i="97" l="1"/>
  <c r="BJ135" i="45"/>
  <c r="BH43" i="47" s="1"/>
  <c r="BH45" i="47" s="1"/>
  <c r="BI41" i="47" s="1"/>
  <c r="BG80" i="47"/>
  <c r="BJ141" i="45"/>
  <c r="BH99" i="47"/>
  <c r="BH100" i="47" s="1"/>
  <c r="BI97" i="47" s="1"/>
  <c r="BK83" i="45"/>
  <c r="BK87" i="45" s="1"/>
  <c r="BK91" i="45" s="1"/>
  <c r="BK93" i="45" s="1"/>
  <c r="BK114" i="45" s="1"/>
  <c r="BK116" i="45" s="1"/>
  <c r="BJ142" i="45" l="1"/>
  <c r="BJ143" i="45" s="1"/>
  <c r="BJ146" i="45" s="1"/>
  <c r="BI44" i="47"/>
  <c r="BK117" i="45" s="1"/>
  <c r="BK118" i="45" s="1"/>
  <c r="BK130" i="45" l="1"/>
  <c r="BJ147" i="45"/>
  <c r="BH73" i="47"/>
  <c r="BH74" i="47" s="1"/>
  <c r="BI71" i="47" s="1"/>
  <c r="BH93" i="47"/>
  <c r="BI8" i="71"/>
  <c r="BI10" i="71" s="1"/>
  <c r="BI23" i="47"/>
  <c r="BK120" i="45"/>
  <c r="BK122" i="45" s="1"/>
  <c r="BK125" i="45" l="1"/>
  <c r="BE5" i="53"/>
  <c r="BH94" i="47"/>
  <c r="BI91" i="47" s="1"/>
  <c r="BJ148" i="45"/>
  <c r="BH67" i="47" l="1"/>
  <c r="BI98" i="47"/>
  <c r="BJ149" i="45"/>
  <c r="BE6" i="53"/>
  <c r="BE7" i="53" s="1"/>
  <c r="BI24" i="47"/>
  <c r="BI25" i="47" s="1"/>
  <c r="BJ153" i="45" l="1"/>
  <c r="BH102" i="47" s="1"/>
  <c r="BJ152" i="45"/>
  <c r="BJ154" i="45"/>
  <c r="BH114" i="47" s="1"/>
  <c r="BJ22" i="47"/>
  <c r="BL85" i="45" s="1"/>
  <c r="BK126" i="45"/>
  <c r="BE32" i="53"/>
  <c r="BE33" i="53" s="1"/>
  <c r="BH68" i="47"/>
  <c r="BI66" i="47" s="1"/>
  <c r="BL86" i="45" l="1"/>
  <c r="BJ32" i="47"/>
  <c r="BK29" i="47" s="1"/>
  <c r="BJ155" i="45"/>
  <c r="BH127" i="47" s="1"/>
  <c r="BC11" i="97" s="1"/>
  <c r="BI72" i="47"/>
  <c r="BI10" i="47"/>
  <c r="BI11" i="47" s="1"/>
  <c r="BE9" i="53"/>
  <c r="BE10" i="53" s="1"/>
  <c r="BE13" i="53" s="1"/>
  <c r="BK128" i="45"/>
  <c r="BC8" i="97"/>
  <c r="BH115" i="47"/>
  <c r="BH118" i="47" s="1"/>
  <c r="BH76" i="47"/>
  <c r="BC6" i="97"/>
  <c r="BH105" i="47"/>
  <c r="BJ157" i="45" l="1"/>
  <c r="BH78" i="47"/>
  <c r="BH79" i="47" s="1"/>
  <c r="BH125" i="47" s="1"/>
  <c r="BH128" i="47" s="1"/>
  <c r="BH131" i="47" s="1"/>
  <c r="BI35" i="47"/>
  <c r="BI37" i="47" s="1"/>
  <c r="BJ8" i="47"/>
  <c r="BK132" i="45"/>
  <c r="BK134" i="45" s="1"/>
  <c r="BK140" i="45" s="1"/>
  <c r="BK135" i="45" l="1"/>
  <c r="BI43" i="47" s="1"/>
  <c r="BI45" i="47" s="1"/>
  <c r="BJ41" i="47" s="1"/>
  <c r="BL83" i="45"/>
  <c r="BL87" i="45" s="1"/>
  <c r="BL91" i="45" s="1"/>
  <c r="BL93" i="45" s="1"/>
  <c r="BL114" i="45" s="1"/>
  <c r="BL116" i="45" s="1"/>
  <c r="BK141" i="45"/>
  <c r="BI99" i="47"/>
  <c r="BI100" i="47" s="1"/>
  <c r="BJ97" i="47" s="1"/>
  <c r="BC7" i="97"/>
  <c r="BC9" i="97" s="1"/>
  <c r="BH80" i="47"/>
  <c r="BH83" i="47"/>
  <c r="BC12" i="97" l="1"/>
  <c r="BK142" i="45"/>
  <c r="BK143" i="45" s="1"/>
  <c r="BK146" i="45" s="1"/>
  <c r="BJ44" i="47"/>
  <c r="BK147" i="45" l="1"/>
  <c r="BI73" i="47"/>
  <c r="BI74" i="47" s="1"/>
  <c r="BJ71" i="47" s="1"/>
  <c r="BL117" i="45"/>
  <c r="BL118" i="45" s="1"/>
  <c r="BL130" i="45"/>
  <c r="BI93" i="47"/>
  <c r="BI94" i="47" l="1"/>
  <c r="BJ91" i="47" s="1"/>
  <c r="BJ98" i="47" s="1"/>
  <c r="BL120" i="45"/>
  <c r="BL122" i="45" s="1"/>
  <c r="BJ8" i="71"/>
  <c r="BJ10" i="71" s="1"/>
  <c r="BJ23" i="47"/>
  <c r="BK148" i="45"/>
  <c r="BK149" i="45" s="1"/>
  <c r="BL125" i="45" l="1"/>
  <c r="BF6" i="53" s="1"/>
  <c r="BF5" i="53"/>
  <c r="BI67" i="47"/>
  <c r="BK153" i="45"/>
  <c r="BI102" i="47" s="1"/>
  <c r="BK154" i="45"/>
  <c r="BI114" i="47" s="1"/>
  <c r="BK152" i="45"/>
  <c r="BI76" i="47" s="1"/>
  <c r="BJ24" i="47" l="1"/>
  <c r="BJ25" i="47" s="1"/>
  <c r="BK22" i="47" s="1"/>
  <c r="BM85" i="45" s="1"/>
  <c r="BK155" i="45"/>
  <c r="BI127" i="47" s="1"/>
  <c r="BD11" i="97" s="1"/>
  <c r="BI105" i="47"/>
  <c r="BD6" i="97"/>
  <c r="BI78" i="47"/>
  <c r="BI79" i="47" s="1"/>
  <c r="BI125" i="47" s="1"/>
  <c r="BI68" i="47"/>
  <c r="BJ66" i="47" s="1"/>
  <c r="BJ72" i="47" s="1"/>
  <c r="BD8" i="97"/>
  <c r="BI115" i="47"/>
  <c r="BI118" i="47" s="1"/>
  <c r="BF7" i="53"/>
  <c r="BF32" i="53"/>
  <c r="BF33" i="53" s="1"/>
  <c r="BL126" i="45" l="1"/>
  <c r="BJ10" i="47" s="1"/>
  <c r="BJ11" i="47" s="1"/>
  <c r="BM86" i="45"/>
  <c r="BK32" i="47"/>
  <c r="BL29" i="47" s="1"/>
  <c r="BK157" i="45"/>
  <c r="BI128" i="47"/>
  <c r="BI131" i="47" s="1"/>
  <c r="BI83" i="47"/>
  <c r="BD7" i="97"/>
  <c r="BD9" i="97" s="1"/>
  <c r="BI80" i="47"/>
  <c r="BL128" i="45" l="1"/>
  <c r="BL132" i="45" s="1"/>
  <c r="BF9" i="53"/>
  <c r="BF10" i="53" s="1"/>
  <c r="BF13" i="53" s="1"/>
  <c r="BD12" i="97"/>
  <c r="BJ35" i="47"/>
  <c r="BJ37" i="47" s="1"/>
  <c r="BK8" i="47"/>
  <c r="BM83" i="45" l="1"/>
  <c r="BM87" i="45" s="1"/>
  <c r="BM91" i="45" s="1"/>
  <c r="BM93" i="45" s="1"/>
  <c r="BM114" i="45" s="1"/>
  <c r="BM116" i="45" s="1"/>
  <c r="BL134" i="45"/>
  <c r="BL135" i="45" s="1"/>
  <c r="BJ43" i="47" s="1"/>
  <c r="BJ45" i="47" s="1"/>
  <c r="BK41" i="47" s="1"/>
  <c r="BL140" i="45" l="1"/>
  <c r="BL141" i="45" s="1"/>
  <c r="BK44" i="47"/>
  <c r="BM117" i="45" s="1"/>
  <c r="BM118" i="45" s="1"/>
  <c r="BM120" i="45" l="1"/>
  <c r="BM122" i="45" s="1"/>
  <c r="BK23" i="47"/>
  <c r="BM125" i="45" s="1"/>
  <c r="BK8" i="71"/>
  <c r="BK10" i="71" s="1"/>
  <c r="BL142" i="45"/>
  <c r="BJ93" i="47" s="1"/>
  <c r="BJ99" i="47"/>
  <c r="BJ100" i="47" s="1"/>
  <c r="BK97" i="47" s="1"/>
  <c r="BM130" i="45"/>
  <c r="BL143" i="45" l="1"/>
  <c r="BL146" i="45" s="1"/>
  <c r="BL147" i="45" s="1"/>
  <c r="BG6" i="53"/>
  <c r="BK24" i="47"/>
  <c r="BK25" i="47" s="1"/>
  <c r="BJ94" i="47"/>
  <c r="BK91" i="47" s="1"/>
  <c r="BG5" i="53"/>
  <c r="BL22" i="47" l="1"/>
  <c r="BN85" i="45" s="1"/>
  <c r="BG7" i="53"/>
  <c r="BM126" i="45" s="1"/>
  <c r="BG32" i="53"/>
  <c r="BG33" i="53" s="1"/>
  <c r="BL148" i="45"/>
  <c r="BJ67" i="47" s="1"/>
  <c r="BK98" i="47"/>
  <c r="BJ73" i="47"/>
  <c r="BJ74" i="47" s="1"/>
  <c r="BK71" i="47" s="1"/>
  <c r="BN86" i="45" l="1"/>
  <c r="BL32" i="47"/>
  <c r="BM29" i="47" s="1"/>
  <c r="BJ68" i="47"/>
  <c r="BK66" i="47" s="1"/>
  <c r="BK10" i="47"/>
  <c r="BK11" i="47" s="1"/>
  <c r="BG9" i="53"/>
  <c r="BG10" i="53" s="1"/>
  <c r="BG13" i="53" s="1"/>
  <c r="BM128" i="45"/>
  <c r="BL149" i="45"/>
  <c r="BL152" i="45" l="1"/>
  <c r="BL153" i="45"/>
  <c r="BJ102" i="47" s="1"/>
  <c r="BL154" i="45"/>
  <c r="BJ114" i="47" s="1"/>
  <c r="BM132" i="45"/>
  <c r="BM134" i="45" s="1"/>
  <c r="BK72" i="47"/>
  <c r="BK35" i="47"/>
  <c r="BK37" i="47" s="1"/>
  <c r="BL8" i="47"/>
  <c r="BL155" i="45" l="1"/>
  <c r="BJ127" i="47" s="1"/>
  <c r="BE11" i="97" s="1"/>
  <c r="BM140" i="45"/>
  <c r="BM141" i="45" s="1"/>
  <c r="BM142" i="45" s="1"/>
  <c r="BN83" i="45"/>
  <c r="BN87" i="45" s="1"/>
  <c r="BN91" i="45" s="1"/>
  <c r="BN93" i="45" s="1"/>
  <c r="BN114" i="45" s="1"/>
  <c r="BN116" i="45" s="1"/>
  <c r="BM135" i="45"/>
  <c r="BK43" i="47" s="1"/>
  <c r="BK45" i="47" s="1"/>
  <c r="BL41" i="47" s="1"/>
  <c r="BJ115" i="47"/>
  <c r="BJ118" i="47" s="1"/>
  <c r="BE8" i="97"/>
  <c r="BE6" i="97"/>
  <c r="BJ105" i="47"/>
  <c r="BJ76" i="47"/>
  <c r="BJ78" i="47" s="1"/>
  <c r="BL157" i="45" l="1"/>
  <c r="BJ79" i="47"/>
  <c r="BJ125" i="47" s="1"/>
  <c r="BJ128" i="47" s="1"/>
  <c r="BJ131" i="47" s="1"/>
  <c r="BJ83" i="47"/>
  <c r="BE7" i="97"/>
  <c r="BE9" i="97" s="1"/>
  <c r="BE12" i="97" s="1"/>
  <c r="BL44" i="47"/>
  <c r="BN117" i="45" s="1"/>
  <c r="BN118" i="45" s="1"/>
  <c r="BM143" i="45"/>
  <c r="BK93" i="47"/>
  <c r="BK99" i="47"/>
  <c r="BK100" i="47" s="1"/>
  <c r="BL97" i="47" s="1"/>
  <c r="BJ80" i="47" l="1"/>
  <c r="BN120" i="45"/>
  <c r="BN122" i="45" s="1"/>
  <c r="BL23" i="47"/>
  <c r="BL8" i="71"/>
  <c r="BL10" i="71" s="1"/>
  <c r="BM146" i="45"/>
  <c r="BM147" i="45" s="1"/>
  <c r="BM148" i="45" s="1"/>
  <c r="BK94" i="47"/>
  <c r="BL91" i="47" s="1"/>
  <c r="BL98" i="47" s="1"/>
  <c r="BN130" i="45"/>
  <c r="BN125" i="45" l="1"/>
  <c r="BL24" i="47" s="1"/>
  <c r="BL25" i="47" s="1"/>
  <c r="BK73" i="47"/>
  <c r="BK74" i="47" s="1"/>
  <c r="BL71" i="47" s="1"/>
  <c r="BM149" i="45"/>
  <c r="BK67" i="47"/>
  <c r="BH5" i="53"/>
  <c r="BH6" i="53" l="1"/>
  <c r="BH7" i="53" s="1"/>
  <c r="BN126" i="45" s="1"/>
  <c r="BM22" i="47"/>
  <c r="BO85" i="45" s="1"/>
  <c r="BM154" i="45"/>
  <c r="BK114" i="47" s="1"/>
  <c r="BM152" i="45"/>
  <c r="BM153" i="45"/>
  <c r="BK102" i="47" s="1"/>
  <c r="BH32" i="53"/>
  <c r="BH33" i="53" s="1"/>
  <c r="BK68" i="47"/>
  <c r="BL66" i="47" s="1"/>
  <c r="BO86" i="45" l="1"/>
  <c r="BM32" i="47"/>
  <c r="BN29" i="47" s="1"/>
  <c r="BM155" i="45"/>
  <c r="BK127" i="47" s="1"/>
  <c r="BF11" i="97" s="1"/>
  <c r="BK105" i="47"/>
  <c r="BF6" i="97"/>
  <c r="BK76" i="47"/>
  <c r="BK115" i="47"/>
  <c r="BK118" i="47" s="1"/>
  <c r="BF8" i="97"/>
  <c r="BL72" i="47"/>
  <c r="BL10" i="47"/>
  <c r="BL11" i="47" s="1"/>
  <c r="BH9" i="53"/>
  <c r="BH10" i="53" s="1"/>
  <c r="BH13" i="53" s="1"/>
  <c r="BN128" i="45"/>
  <c r="BM157" i="45" l="1"/>
  <c r="BL35" i="47"/>
  <c r="BL37" i="47" s="1"/>
  <c r="BM8" i="47"/>
  <c r="BN132" i="45"/>
  <c r="BN134" i="45" s="1"/>
  <c r="N156" i="26"/>
  <c r="BK78" i="47"/>
  <c r="BK79" i="47" s="1"/>
  <c r="BK125" i="47" s="1"/>
  <c r="BK128" i="47" s="1"/>
  <c r="BK131" i="47" s="1"/>
  <c r="BN135" i="45" l="1"/>
  <c r="BL43" i="47" s="1"/>
  <c r="BL45" i="47" s="1"/>
  <c r="BM41" i="47" s="1"/>
  <c r="BF7" i="97"/>
  <c r="BF9" i="97" s="1"/>
  <c r="BF12" i="97" s="1"/>
  <c r="BK83" i="47"/>
  <c r="BK80" i="47"/>
  <c r="BN140" i="45"/>
  <c r="BN141" i="45" s="1"/>
  <c r="BO83" i="45"/>
  <c r="BN142" i="45" l="1"/>
  <c r="BL93" i="47" s="1"/>
  <c r="BO87" i="45"/>
  <c r="BO91" i="45" s="1"/>
  <c r="BO93" i="45" s="1"/>
  <c r="BO114" i="45" s="1"/>
  <c r="BO116" i="45" s="1"/>
  <c r="BL99" i="47"/>
  <c r="BL100" i="47" s="1"/>
  <c r="BM97" i="47" s="1"/>
  <c r="BN143" i="45" l="1"/>
  <c r="BN146" i="45" s="1"/>
  <c r="BN147" i="45" s="1"/>
  <c r="BN148" i="45" s="1"/>
  <c r="BM44" i="47"/>
  <c r="BL94" i="47"/>
  <c r="BM91" i="47" s="1"/>
  <c r="BM98" i="47" l="1"/>
  <c r="BN149" i="45"/>
  <c r="BL67" i="47"/>
  <c r="BL73" i="47"/>
  <c r="BL74" i="47" s="1"/>
  <c r="BM71" i="47" s="1"/>
  <c r="BO117" i="45"/>
  <c r="BO130" i="45"/>
  <c r="BO118" i="45" l="1"/>
  <c r="BO120" i="45" s="1"/>
  <c r="BO122" i="45" s="1"/>
  <c r="BL68" i="47"/>
  <c r="BM66" i="47" s="1"/>
  <c r="BN154" i="45"/>
  <c r="BL114" i="47" s="1"/>
  <c r="BN152" i="45"/>
  <c r="BN153" i="45"/>
  <c r="BL102" i="47" s="1"/>
  <c r="BN155" i="45" l="1"/>
  <c r="BL127" i="47" s="1"/>
  <c r="BG11" i="97" s="1"/>
  <c r="BI5" i="53"/>
  <c r="BG6" i="97"/>
  <c r="BL105" i="47"/>
  <c r="BL76" i="47"/>
  <c r="BL78" i="47" s="1"/>
  <c r="BL115" i="47"/>
  <c r="BL118" i="47" s="1"/>
  <c r="BG8" i="97"/>
  <c r="BM72" i="47"/>
  <c r="BM23" i="47"/>
  <c r="BO125" i="45" s="1"/>
  <c r="BM8" i="71"/>
  <c r="BM10" i="71" s="1"/>
  <c r="BN157" i="45" l="1"/>
  <c r="BM24" i="47"/>
  <c r="BM25" i="47" s="1"/>
  <c r="BN22" i="47" s="1"/>
  <c r="BP85" i="45" s="1"/>
  <c r="BI6" i="53"/>
  <c r="BI7" i="53" s="1"/>
  <c r="BL79" i="47"/>
  <c r="BL125" i="47" s="1"/>
  <c r="BL128" i="47" s="1"/>
  <c r="BL131" i="47" s="1"/>
  <c r="BL83" i="47"/>
  <c r="BG7" i="97"/>
  <c r="BG9" i="97" s="1"/>
  <c r="BG12" i="97" s="1"/>
  <c r="BO126" i="45" l="1"/>
  <c r="BO128" i="45" s="1"/>
  <c r="BO132" i="45" s="1"/>
  <c r="BL80" i="47"/>
  <c r="BI32" i="53"/>
  <c r="BI33" i="53" s="1"/>
  <c r="BM10" i="47" l="1"/>
  <c r="BM11" i="47" s="1"/>
  <c r="BI9" i="53"/>
  <c r="BI10" i="53" s="1"/>
  <c r="BI13" i="53" s="1"/>
  <c r="BP86" i="45"/>
  <c r="BN32" i="47"/>
  <c r="BO29" i="47" s="1"/>
  <c r="BM35" i="47"/>
  <c r="BM37" i="47" s="1"/>
  <c r="BN8" i="47"/>
  <c r="BO134" i="45"/>
  <c r="BO140" i="45" l="1"/>
  <c r="BO141" i="45" s="1"/>
  <c r="BO142" i="45" s="1"/>
  <c r="BO135" i="45"/>
  <c r="BM43" i="47" s="1"/>
  <c r="BM45" i="47" s="1"/>
  <c r="BN41" i="47" s="1"/>
  <c r="BP83" i="45"/>
  <c r="BP87" i="45" l="1"/>
  <c r="BP91" i="45" s="1"/>
  <c r="BP93" i="45" s="1"/>
  <c r="BP114" i="45" s="1"/>
  <c r="BP116" i="45" s="1"/>
  <c r="BO143" i="45"/>
  <c r="BM93" i="47"/>
  <c r="BM99" i="47"/>
  <c r="BM100" i="47" s="1"/>
  <c r="BN97" i="47" s="1"/>
  <c r="BM94" i="47" l="1"/>
  <c r="BN91" i="47" s="1"/>
  <c r="BO146" i="45"/>
  <c r="BO147" i="45" s="1"/>
  <c r="BO148" i="45" s="1"/>
  <c r="BN44" i="47"/>
  <c r="BO149" i="45" l="1"/>
  <c r="BM67" i="47"/>
  <c r="BM73" i="47"/>
  <c r="BM74" i="47" s="1"/>
  <c r="BN71" i="47" s="1"/>
  <c r="BN98" i="47"/>
  <c r="BP117" i="45"/>
  <c r="BP118" i="45" s="1"/>
  <c r="BP130" i="45"/>
  <c r="BP120" i="45" l="1"/>
  <c r="BP122" i="45" s="1"/>
  <c r="BN8" i="71"/>
  <c r="BN10" i="71" s="1"/>
  <c r="BN23" i="47"/>
  <c r="BM68" i="47"/>
  <c r="BN66" i="47" s="1"/>
  <c r="BO152" i="45"/>
  <c r="BO154" i="45"/>
  <c r="BM114" i="47" s="1"/>
  <c r="BO153" i="45"/>
  <c r="BM102" i="47" s="1"/>
  <c r="BP125" i="45" l="1"/>
  <c r="BN24" i="47" s="1"/>
  <c r="BN25" i="47" s="1"/>
  <c r="BM105" i="47"/>
  <c r="BH6" i="97"/>
  <c r="BN72" i="47"/>
  <c r="BM76" i="47"/>
  <c r="BO155" i="45"/>
  <c r="BM127" i="47" s="1"/>
  <c r="BH11" i="97" s="1"/>
  <c r="BM115" i="47"/>
  <c r="BM118" i="47" s="1"/>
  <c r="BH8" i="97"/>
  <c r="BJ5" i="53"/>
  <c r="BJ6" i="53" l="1"/>
  <c r="BJ7" i="53" s="1"/>
  <c r="BO157" i="45"/>
  <c r="BM78" i="47"/>
  <c r="BM79" i="47" s="1"/>
  <c r="BM125" i="47" s="1"/>
  <c r="BM128" i="47" s="1"/>
  <c r="BO22" i="47"/>
  <c r="BQ85" i="45" s="1"/>
  <c r="BP126" i="45"/>
  <c r="BJ32" i="53"/>
  <c r="BJ33" i="53" s="1"/>
  <c r="BQ86" i="45" l="1"/>
  <c r="BO32" i="47"/>
  <c r="BP29" i="47" s="1"/>
  <c r="BM131" i="47"/>
  <c r="BN10" i="47"/>
  <c r="BN11" i="47" s="1"/>
  <c r="BJ9" i="53"/>
  <c r="BJ10" i="53" s="1"/>
  <c r="BJ13" i="53" s="1"/>
  <c r="BP128" i="45"/>
  <c r="BP132" i="45" s="1"/>
  <c r="BH7" i="97"/>
  <c r="BM83" i="47"/>
  <c r="BM80" i="47"/>
  <c r="BP134" i="45" l="1"/>
  <c r="BP135" i="45" s="1"/>
  <c r="BN43" i="47" s="1"/>
  <c r="BN45" i="47" s="1"/>
  <c r="BO41" i="47" s="1"/>
  <c r="BN35" i="47"/>
  <c r="BN37" i="47" s="1"/>
  <c r="BO8" i="47"/>
  <c r="BH9" i="97"/>
  <c r="BH12" i="97" l="1"/>
  <c r="BQ83" i="45"/>
  <c r="BP140" i="45"/>
  <c r="BP141" i="45" s="1"/>
  <c r="BP142" i="45" s="1"/>
  <c r="BP143" i="45" l="1"/>
  <c r="BN93" i="47"/>
  <c r="BQ87" i="45"/>
  <c r="BQ91" i="45" s="1"/>
  <c r="BQ93" i="45" s="1"/>
  <c r="BQ114" i="45" s="1"/>
  <c r="BQ116" i="45" s="1"/>
  <c r="BN99" i="47"/>
  <c r="BN100" i="47" s="1"/>
  <c r="BO97" i="47" s="1"/>
  <c r="BO44" i="47" l="1"/>
  <c r="BN94" i="47"/>
  <c r="BO91" i="47" s="1"/>
  <c r="BP146" i="45"/>
  <c r="BO98" i="47" l="1"/>
  <c r="BN73" i="47"/>
  <c r="BN74" i="47" s="1"/>
  <c r="BO71" i="47" s="1"/>
  <c r="BP147" i="45"/>
  <c r="BP148" i="45" s="1"/>
  <c r="BQ117" i="45"/>
  <c r="BQ130" i="45"/>
  <c r="BP149" i="45" l="1"/>
  <c r="BN67" i="47"/>
  <c r="BQ118" i="45"/>
  <c r="BQ120" i="45" s="1"/>
  <c r="BQ122" i="45" s="1"/>
  <c r="BK5" i="53" l="1"/>
  <c r="BO23" i="47"/>
  <c r="BQ125" i="45" s="1"/>
  <c r="BO8" i="71"/>
  <c r="BO10" i="71" s="1"/>
  <c r="BN68" i="47"/>
  <c r="BO66" i="47" s="1"/>
  <c r="BP153" i="45"/>
  <c r="BN102" i="47" s="1"/>
  <c r="BP152" i="45"/>
  <c r="BP154" i="45"/>
  <c r="BN114" i="47" s="1"/>
  <c r="BK6" i="53" l="1"/>
  <c r="BK7" i="53" s="1"/>
  <c r="BO24" i="47"/>
  <c r="BO25" i="47" s="1"/>
  <c r="BN105" i="47"/>
  <c r="BI6" i="97"/>
  <c r="BN115" i="47"/>
  <c r="BN118" i="47" s="1"/>
  <c r="BI8" i="97"/>
  <c r="BO72" i="47"/>
  <c r="BN76" i="47"/>
  <c r="BP155" i="45"/>
  <c r="BN127" i="47" s="1"/>
  <c r="BI11" i="97" s="1"/>
  <c r="BP157" i="45" l="1"/>
  <c r="BN78" i="47"/>
  <c r="BN79" i="47" s="1"/>
  <c r="BN125" i="47" s="1"/>
  <c r="BN128" i="47" s="1"/>
  <c r="BQ126" i="45"/>
  <c r="BP22" i="47"/>
  <c r="BR85" i="45" s="1"/>
  <c r="N113" i="26" s="1"/>
  <c r="BK32" i="53"/>
  <c r="BK33" i="53" s="1"/>
  <c r="BR86" i="45" l="1"/>
  <c r="N114" i="26" s="1"/>
  <c r="BP32" i="47"/>
  <c r="BQ29" i="47" s="1"/>
  <c r="BO10" i="47"/>
  <c r="BO11" i="47" s="1"/>
  <c r="BK9" i="53"/>
  <c r="BK10" i="53" s="1"/>
  <c r="BK13" i="53" s="1"/>
  <c r="BQ128" i="45"/>
  <c r="BQ132" i="45" s="1"/>
  <c r="BN131" i="47"/>
  <c r="BI7" i="97"/>
  <c r="BN83" i="47"/>
  <c r="BN80" i="47"/>
  <c r="BQ134" i="45" l="1"/>
  <c r="BQ135" i="45" s="1"/>
  <c r="BO43" i="47" s="1"/>
  <c r="BO45" i="47" s="1"/>
  <c r="BP41" i="47" s="1"/>
  <c r="BI9" i="97"/>
  <c r="BP8" i="47"/>
  <c r="BO35" i="47"/>
  <c r="BO37" i="47" s="1"/>
  <c r="BQ140" i="45" l="1"/>
  <c r="BQ141" i="45" s="1"/>
  <c r="BI12" i="97"/>
  <c r="BR83" i="45"/>
  <c r="BO99" i="47" l="1"/>
  <c r="BO100" i="47" s="1"/>
  <c r="BP97" i="47" s="1"/>
  <c r="BQ142" i="45"/>
  <c r="BQ143" i="45" s="1"/>
  <c r="BQ146" i="45" s="1"/>
  <c r="BR87" i="45"/>
  <c r="BR91" i="45" s="1"/>
  <c r="BR93" i="45" s="1"/>
  <c r="BR114" i="45" s="1"/>
  <c r="BR116" i="45" s="1"/>
  <c r="N111" i="26"/>
  <c r="N115" i="26" s="1"/>
  <c r="N119" i="26" s="1"/>
  <c r="N121" i="26" s="1"/>
  <c r="N142" i="26" s="1"/>
  <c r="BQ147" i="45" l="1"/>
  <c r="BO73" i="47"/>
  <c r="BO74" i="47" s="1"/>
  <c r="BP71" i="47" s="1"/>
  <c r="BP44" i="47"/>
  <c r="BO93" i="47"/>
  <c r="BO94" i="47" l="1"/>
  <c r="BP91" i="47" s="1"/>
  <c r="BR117" i="45"/>
  <c r="BR130" i="45"/>
  <c r="N158" i="26" s="1"/>
  <c r="BQ148" i="45"/>
  <c r="BQ149" i="45" s="1"/>
  <c r="BQ153" i="45" l="1"/>
  <c r="BO102" i="47" s="1"/>
  <c r="BQ154" i="45"/>
  <c r="BO114" i="47" s="1"/>
  <c r="BQ152" i="45"/>
  <c r="BO76" i="47" s="1"/>
  <c r="N145" i="26"/>
  <c r="BR118" i="45"/>
  <c r="BP98" i="47"/>
  <c r="BO67" i="47"/>
  <c r="BQ155" i="45" l="1"/>
  <c r="BR120" i="45"/>
  <c r="BR122" i="45" s="1"/>
  <c r="BP8" i="71"/>
  <c r="BP10" i="71" s="1"/>
  <c r="BP23" i="47"/>
  <c r="N146" i="26"/>
  <c r="N148" i="26" s="1"/>
  <c r="N150" i="26" s="1"/>
  <c r="BJ8" i="97"/>
  <c r="BO115" i="47"/>
  <c r="BO118" i="47" s="1"/>
  <c r="BO78" i="47"/>
  <c r="BO68" i="47"/>
  <c r="BP66" i="47" s="1"/>
  <c r="BJ6" i="97"/>
  <c r="BO105" i="47"/>
  <c r="BR125" i="45" l="1"/>
  <c r="BL6" i="53" s="1"/>
  <c r="BO127" i="47"/>
  <c r="BJ11" i="97" s="1"/>
  <c r="BQ157" i="45"/>
  <c r="BP72" i="47"/>
  <c r="BO79" i="47"/>
  <c r="BO125" i="47" s="1"/>
  <c r="BJ7" i="97"/>
  <c r="BO83" i="47"/>
  <c r="BL5" i="53"/>
  <c r="BO128" i="47" l="1"/>
  <c r="BO131" i="47" s="1"/>
  <c r="N153" i="26"/>
  <c r="BP24" i="47"/>
  <c r="BP25" i="47" s="1"/>
  <c r="BQ22" i="47" s="1"/>
  <c r="BS85" i="45" s="1"/>
  <c r="BJ9" i="97"/>
  <c r="BL7" i="53"/>
  <c r="BO80" i="47"/>
  <c r="BL32" i="53"/>
  <c r="BL33" i="53" s="1"/>
  <c r="BR126" i="45" l="1"/>
  <c r="BP10" i="47" s="1"/>
  <c r="BP11" i="47" s="1"/>
  <c r="N177" i="26" s="1"/>
  <c r="BS86" i="45"/>
  <c r="BQ32" i="47"/>
  <c r="BR29" i="47" s="1"/>
  <c r="BJ12" i="97"/>
  <c r="BR128" i="45" l="1"/>
  <c r="BR132" i="45" s="1"/>
  <c r="N154" i="26"/>
  <c r="BL9" i="53"/>
  <c r="BL10" i="53" s="1"/>
  <c r="BL13" i="53" s="1"/>
  <c r="BR134" i="45"/>
  <c r="BQ8" i="47"/>
  <c r="BP35" i="47"/>
  <c r="BP37" i="47" s="1"/>
  <c r="M178" i="26"/>
  <c r="BR135" i="45" l="1"/>
  <c r="BP43" i="47" s="1"/>
  <c r="BP45" i="47" s="1"/>
  <c r="BQ41" i="47" s="1"/>
  <c r="BS83" i="45"/>
  <c r="BS87" i="45" s="1"/>
  <c r="BS91" i="45" s="1"/>
  <c r="BS93" i="45" s="1"/>
  <c r="BS114" i="45" s="1"/>
  <c r="BS116" i="45" s="1"/>
  <c r="BR140" i="45"/>
  <c r="BR141" i="45" s="1"/>
  <c r="BR142" i="45" s="1"/>
  <c r="BR143" i="45" l="1"/>
  <c r="BP93" i="47"/>
  <c r="BQ44" i="47"/>
  <c r="BS117" i="45" s="1"/>
  <c r="BS118" i="45" s="1"/>
  <c r="BP99" i="47"/>
  <c r="BP100" i="47" s="1"/>
  <c r="BQ97" i="47" s="1"/>
  <c r="BS130" i="45" l="1"/>
  <c r="BS120" i="45"/>
  <c r="BS122" i="45" s="1"/>
  <c r="BQ8" i="71"/>
  <c r="BQ10" i="71" s="1"/>
  <c r="BQ23" i="47"/>
  <c r="BP94" i="47"/>
  <c r="BR146" i="45"/>
  <c r="BS125" i="45" l="1"/>
  <c r="BQ24" i="47" s="1"/>
  <c r="BQ25" i="47" s="1"/>
  <c r="BP73" i="47"/>
  <c r="BP74" i="47" s="1"/>
  <c r="BQ71" i="47" s="1"/>
  <c r="BQ91" i="47"/>
  <c r="BR147" i="45"/>
  <c r="BM5" i="53"/>
  <c r="BM6" i="53" l="1"/>
  <c r="BM7" i="53" s="1"/>
  <c r="BR22" i="47"/>
  <c r="BT85" i="45" s="1"/>
  <c r="BS126" i="45"/>
  <c r="BQ98" i="47"/>
  <c r="BM32" i="53"/>
  <c r="BM33" i="53" s="1"/>
  <c r="BR148" i="45"/>
  <c r="BR149" i="45" s="1"/>
  <c r="BT86" i="45" l="1"/>
  <c r="BR32" i="47"/>
  <c r="BS29" i="47" s="1"/>
  <c r="BR152" i="45"/>
  <c r="BP76" i="47" s="1"/>
  <c r="BR153" i="45"/>
  <c r="BP102" i="47" s="1"/>
  <c r="BR154" i="45"/>
  <c r="BP114" i="47" s="1"/>
  <c r="BP67" i="47"/>
  <c r="BQ10" i="47"/>
  <c r="BQ11" i="47" s="1"/>
  <c r="BM9" i="53"/>
  <c r="BM10" i="53" s="1"/>
  <c r="BM13" i="53" s="1"/>
  <c r="BS128" i="45"/>
  <c r="BS132" i="45" s="1"/>
  <c r="BR155" i="45" l="1"/>
  <c r="BS134" i="45"/>
  <c r="BS140" i="45" s="1"/>
  <c r="BP78" i="47"/>
  <c r="BP79" i="47" s="1"/>
  <c r="BP125" i="47" s="1"/>
  <c r="BP68" i="47"/>
  <c r="BP115" i="47"/>
  <c r="BP118" i="47" s="1"/>
  <c r="M249" i="26" s="1"/>
  <c r="BK8" i="97"/>
  <c r="H18" i="97" s="1"/>
  <c r="M215" i="26" s="1"/>
  <c r="BK6" i="97"/>
  <c r="BP105" i="47"/>
  <c r="M248" i="26" s="1"/>
  <c r="BQ35" i="47"/>
  <c r="BQ37" i="47" s="1"/>
  <c r="BR8" i="47"/>
  <c r="BS135" i="45" l="1"/>
  <c r="BQ43" i="47" s="1"/>
  <c r="BQ45" i="47" s="1"/>
  <c r="BR41" i="47" s="1"/>
  <c r="BP127" i="47"/>
  <c r="BK11" i="97" s="1"/>
  <c r="N165" i="26" s="1"/>
  <c r="BR157" i="45"/>
  <c r="BQ66" i="47"/>
  <c r="M182" i="26"/>
  <c r="M183" i="26" s="1"/>
  <c r="M184" i="26" s="1"/>
  <c r="H16" i="97"/>
  <c r="BK7" i="97"/>
  <c r="H17" i="97" s="1"/>
  <c r="BP83" i="47"/>
  <c r="M247" i="26" s="1"/>
  <c r="BP80" i="47"/>
  <c r="BT83" i="45"/>
  <c r="BT87" i="45" s="1"/>
  <c r="BT91" i="45" s="1"/>
  <c r="BT93" i="45" s="1"/>
  <c r="BT114" i="45" s="1"/>
  <c r="BT116" i="45" s="1"/>
  <c r="BS141" i="45"/>
  <c r="BS142" i="45" s="1"/>
  <c r="BQ99" i="47"/>
  <c r="BQ100" i="47" s="1"/>
  <c r="BR97" i="47" s="1"/>
  <c r="M237" i="26" l="1"/>
  <c r="M239" i="26" s="1"/>
  <c r="H21" i="97"/>
  <c r="BP128" i="47"/>
  <c r="M211" i="26"/>
  <c r="M212" i="26"/>
  <c r="M230" i="26" s="1"/>
  <c r="M205" i="26"/>
  <c r="M207" i="26"/>
  <c r="M226" i="26" s="1"/>
  <c r="M206" i="26"/>
  <c r="M225" i="26" s="1"/>
  <c r="H19" i="97"/>
  <c r="BR44" i="47"/>
  <c r="BK9" i="97"/>
  <c r="N164" i="26" s="1"/>
  <c r="BQ72" i="47"/>
  <c r="BS143" i="45"/>
  <c r="BQ93" i="47"/>
  <c r="H22" i="97" l="1"/>
  <c r="BP131" i="47"/>
  <c r="M250" i="26"/>
  <c r="M251" i="26" s="1"/>
  <c r="M208" i="26"/>
  <c r="M224" i="26"/>
  <c r="BT117" i="45"/>
  <c r="BT130" i="45"/>
  <c r="BK12" i="97"/>
  <c r="BQ94" i="47"/>
  <c r="BR91" i="47" s="1"/>
  <c r="BR98" i="47" s="1"/>
  <c r="BS146" i="45"/>
  <c r="M229" i="26"/>
  <c r="M213" i="26"/>
  <c r="M216" i="26" l="1"/>
  <c r="M234" i="26"/>
  <c r="BQ73" i="47"/>
  <c r="BQ74" i="47" s="1"/>
  <c r="BR71" i="47" s="1"/>
  <c r="M160" i="26"/>
  <c r="M167" i="26"/>
  <c r="M169" i="26" s="1"/>
  <c r="M168" i="26"/>
  <c r="M194" i="26"/>
  <c r="M195" i="26" s="1"/>
  <c r="M196" i="26" s="1"/>
  <c r="M197" i="26" s="1"/>
  <c r="M198" i="26" s="1"/>
  <c r="M193" i="26"/>
  <c r="G193" i="26" s="1"/>
  <c r="BT118" i="45"/>
  <c r="BS147" i="45"/>
  <c r="BS148" i="45" l="1"/>
  <c r="BS149" i="45" s="1"/>
  <c r="BR23" i="47"/>
  <c r="BR8" i="71"/>
  <c r="BR10" i="71" s="1"/>
  <c r="BT120" i="45"/>
  <c r="BT122" i="45" s="1"/>
  <c r="BN5" i="53" l="1"/>
  <c r="BT125" i="45"/>
  <c r="BS153" i="45"/>
  <c r="BQ102" i="47" s="1"/>
  <c r="BS154" i="45"/>
  <c r="BQ114" i="47" s="1"/>
  <c r="BS152" i="45"/>
  <c r="BQ76" i="47" s="1"/>
  <c r="BQ67" i="47"/>
  <c r="BS155" i="45" l="1"/>
  <c r="BQ127" i="47" s="1"/>
  <c r="BL11" i="97" s="1"/>
  <c r="BQ78" i="47"/>
  <c r="BL7" i="97" s="1"/>
  <c r="BL6" i="97"/>
  <c r="BQ105" i="47"/>
  <c r="BN6" i="53"/>
  <c r="BN7" i="53" s="1"/>
  <c r="BR24" i="47"/>
  <c r="BR25" i="47" s="1"/>
  <c r="BQ68" i="47"/>
  <c r="BR66" i="47" s="1"/>
  <c r="BR72" i="47" s="1"/>
  <c r="BL8" i="97"/>
  <c r="BQ115" i="47"/>
  <c r="BQ118" i="47" s="1"/>
  <c r="BS157" i="45" l="1"/>
  <c r="BQ83" i="47"/>
  <c r="BQ79" i="47"/>
  <c r="BQ125" i="47" s="1"/>
  <c r="BQ128" i="47" s="1"/>
  <c r="BQ131" i="47" s="1"/>
  <c r="BT126" i="45"/>
  <c r="BS22" i="47"/>
  <c r="BU85" i="45" s="1"/>
  <c r="BL9" i="97"/>
  <c r="BN32" i="53"/>
  <c r="BN33" i="53" s="1"/>
  <c r="BQ80" i="47" l="1"/>
  <c r="BU86" i="45"/>
  <c r="BS32" i="47"/>
  <c r="BT29" i="47" s="1"/>
  <c r="BL12" i="97"/>
  <c r="BR10" i="47"/>
  <c r="BR11" i="47" s="1"/>
  <c r="BN9" i="53"/>
  <c r="BN10" i="53" s="1"/>
  <c r="BN13" i="53" s="1"/>
  <c r="BT128" i="45"/>
  <c r="BT132" i="45" l="1"/>
  <c r="BT134" i="45" s="1"/>
  <c r="BR35" i="47"/>
  <c r="BR37" i="47" s="1"/>
  <c r="BS8" i="47"/>
  <c r="BU83" i="45" l="1"/>
  <c r="BU87" i="45" s="1"/>
  <c r="BU91" i="45" s="1"/>
  <c r="BU93" i="45" s="1"/>
  <c r="BU114" i="45" s="1"/>
  <c r="BU116" i="45" s="1"/>
  <c r="BT140" i="45"/>
  <c r="BT141" i="45" s="1"/>
  <c r="BT135" i="45"/>
  <c r="BR43" i="47" s="1"/>
  <c r="BR45" i="47" s="1"/>
  <c r="BS41" i="47" s="1"/>
  <c r="BR99" i="47" l="1"/>
  <c r="BR100" i="47" s="1"/>
  <c r="BS97" i="47" s="1"/>
  <c r="BT142" i="45"/>
  <c r="BR93" i="47" s="1"/>
  <c r="BS44" i="47"/>
  <c r="BU117" i="45" s="1"/>
  <c r="BU118" i="45" s="1"/>
  <c r="BT143" i="45" l="1"/>
  <c r="BT146" i="45" s="1"/>
  <c r="BR73" i="47" s="1"/>
  <c r="BR74" i="47" s="1"/>
  <c r="BS71" i="47" s="1"/>
  <c r="BS23" i="47"/>
  <c r="BS8" i="71"/>
  <c r="BS10" i="71" s="1"/>
  <c r="BU120" i="45"/>
  <c r="BU122" i="45" s="1"/>
  <c r="BR94" i="47"/>
  <c r="BS91" i="47" s="1"/>
  <c r="BS98" i="47" s="1"/>
  <c r="BU130" i="45"/>
  <c r="BT147" i="45" l="1"/>
  <c r="BT148" i="45" s="1"/>
  <c r="BT149" i="45" s="1"/>
  <c r="BO5" i="53"/>
  <c r="BU125" i="45"/>
  <c r="BO6" i="53" l="1"/>
  <c r="BO7" i="53" s="1"/>
  <c r="BS24" i="47"/>
  <c r="BS25" i="47" s="1"/>
  <c r="BT153" i="45"/>
  <c r="BR102" i="47" s="1"/>
  <c r="BT154" i="45"/>
  <c r="BR114" i="47" s="1"/>
  <c r="BT152" i="45"/>
  <c r="BR67" i="47"/>
  <c r="BT155" i="45" l="1"/>
  <c r="BR76" i="47"/>
  <c r="BR78" i="47" s="1"/>
  <c r="BR79" i="47" s="1"/>
  <c r="BR125" i="47" s="1"/>
  <c r="BR115" i="47"/>
  <c r="BR118" i="47" s="1"/>
  <c r="BM8" i="97"/>
  <c r="BR105" i="47"/>
  <c r="BM6" i="97"/>
  <c r="BR68" i="47"/>
  <c r="BS66" i="47" s="1"/>
  <c r="BO32" i="53"/>
  <c r="BO33" i="53" s="1"/>
  <c r="BT22" i="47"/>
  <c r="BV85" i="45" s="1"/>
  <c r="BU126" i="45"/>
  <c r="BV86" i="45" l="1"/>
  <c r="BT32" i="47"/>
  <c r="BU29" i="47" s="1"/>
  <c r="BS72" i="47"/>
  <c r="BS10" i="47"/>
  <c r="BS11" i="47" s="1"/>
  <c r="BO9" i="53"/>
  <c r="BO10" i="53" s="1"/>
  <c r="BO13" i="53" s="1"/>
  <c r="BU128" i="45"/>
  <c r="BR80" i="47"/>
  <c r="BR83" i="47"/>
  <c r="BM7" i="97"/>
  <c r="BM9" i="97" s="1"/>
  <c r="BR127" i="47"/>
  <c r="BM11" i="97" s="1"/>
  <c r="BT157" i="45"/>
  <c r="BU132" i="45" l="1"/>
  <c r="BS35" i="47"/>
  <c r="BS37" i="47" s="1"/>
  <c r="BT8" i="47"/>
  <c r="BM12" i="97"/>
  <c r="BR128" i="47"/>
  <c r="BR131" i="47" s="1"/>
  <c r="BV83" i="45" l="1"/>
  <c r="BV87" i="45" s="1"/>
  <c r="BV91" i="45" s="1"/>
  <c r="BV93" i="45" s="1"/>
  <c r="BV114" i="45" s="1"/>
  <c r="BV116" i="45" s="1"/>
  <c r="BU134" i="45"/>
  <c r="BU140" i="45" l="1"/>
  <c r="BU141" i="45" s="1"/>
  <c r="BU135" i="45"/>
  <c r="BS43" i="47" s="1"/>
  <c r="BS45" i="47" s="1"/>
  <c r="BT41" i="47" s="1"/>
  <c r="BU142" i="45" l="1"/>
  <c r="BS93" i="47" s="1"/>
  <c r="BT44" i="47"/>
  <c r="BV117" i="45" s="1"/>
  <c r="BS99" i="47"/>
  <c r="BS100" i="47" s="1"/>
  <c r="BT97" i="47" s="1"/>
  <c r="BS94" i="47" l="1"/>
  <c r="BT91" i="47" s="1"/>
  <c r="BT98" i="47" s="1"/>
  <c r="BV118" i="45"/>
  <c r="BV120" i="45" s="1"/>
  <c r="BV122" i="45" s="1"/>
  <c r="BU143" i="45"/>
  <c r="BV130" i="45"/>
  <c r="BP5" i="53" l="1"/>
  <c r="BT23" i="47"/>
  <c r="BV125" i="45" s="1"/>
  <c r="BT8" i="71"/>
  <c r="BT10" i="71" s="1"/>
  <c r="BU146" i="45"/>
  <c r="BU147" i="45" s="1"/>
  <c r="BU148" i="45" s="1"/>
  <c r="BT24" i="47" l="1"/>
  <c r="BT25" i="47" s="1"/>
  <c r="BP6" i="53"/>
  <c r="BP7" i="53" s="1"/>
  <c r="BS73" i="47"/>
  <c r="BS74" i="47" s="1"/>
  <c r="BT71" i="47" s="1"/>
  <c r="BU149" i="45"/>
  <c r="BS67" i="47"/>
  <c r="BU152" i="45" l="1"/>
  <c r="BU154" i="45"/>
  <c r="BS114" i="47" s="1"/>
  <c r="BU153" i="45"/>
  <c r="BS102" i="47" s="1"/>
  <c r="BP32" i="53"/>
  <c r="BP33" i="53" s="1"/>
  <c r="BS68" i="47"/>
  <c r="BT66" i="47" s="1"/>
  <c r="BT72" i="47" s="1"/>
  <c r="BV126" i="45"/>
  <c r="BU22" i="47"/>
  <c r="BW85" i="45" s="1"/>
  <c r="BW86" i="45" l="1"/>
  <c r="BU32" i="47"/>
  <c r="BV29" i="47" s="1"/>
  <c r="BU155" i="45"/>
  <c r="BS127" i="47" s="1"/>
  <c r="BN11" i="97" s="1"/>
  <c r="BT10" i="47"/>
  <c r="BT11" i="47" s="1"/>
  <c r="BP9" i="53"/>
  <c r="BP10" i="53" s="1"/>
  <c r="BP13" i="53" s="1"/>
  <c r="BV128" i="45"/>
  <c r="BN6" i="97"/>
  <c r="BS105" i="47"/>
  <c r="BN8" i="97"/>
  <c r="BS115" i="47"/>
  <c r="BS118" i="47" s="1"/>
  <c r="BS76" i="47"/>
  <c r="BU157" i="45"/>
  <c r="BS78" i="47" l="1"/>
  <c r="BS79" i="47" s="1"/>
  <c r="BS125" i="47" s="1"/>
  <c r="BS128" i="47" s="1"/>
  <c r="BS131" i="47" s="1"/>
  <c r="BV132" i="45"/>
  <c r="BV134" i="45" s="1"/>
  <c r="BU8" i="47"/>
  <c r="BT35" i="47"/>
  <c r="BT37" i="47" s="1"/>
  <c r="BW83" i="45" l="1"/>
  <c r="BV135" i="45"/>
  <c r="BT43" i="47" s="1"/>
  <c r="BT45" i="47" s="1"/>
  <c r="BU41" i="47" s="1"/>
  <c r="BV140" i="45"/>
  <c r="BV141" i="45" s="1"/>
  <c r="BN7" i="97"/>
  <c r="BN9" i="97" s="1"/>
  <c r="BS83" i="47"/>
  <c r="BS80" i="47"/>
  <c r="BN12" i="97" l="1"/>
  <c r="BV142" i="45"/>
  <c r="BT93" i="47" s="1"/>
  <c r="BT99" i="47"/>
  <c r="BT100" i="47" s="1"/>
  <c r="BU97" i="47" s="1"/>
  <c r="BW87" i="45"/>
  <c r="BW91" i="45" s="1"/>
  <c r="BW93" i="45" s="1"/>
  <c r="BW114" i="45" s="1"/>
  <c r="BW116" i="45" s="1"/>
  <c r="BV143" i="45" l="1"/>
  <c r="BV146" i="45" s="1"/>
  <c r="BV147" i="45" s="1"/>
  <c r="BU44" i="47"/>
  <c r="BT94" i="47"/>
  <c r="BU91" i="47" s="1"/>
  <c r="BU98" i="47" s="1"/>
  <c r="BW117" i="45" l="1"/>
  <c r="BW130" i="45"/>
  <c r="BV148" i="45"/>
  <c r="BT67" i="47" s="1"/>
  <c r="BT73" i="47"/>
  <c r="BT74" i="47" s="1"/>
  <c r="BU71" i="47" s="1"/>
  <c r="BV149" i="45" l="1"/>
  <c r="BT68" i="47"/>
  <c r="BU66" i="47" s="1"/>
  <c r="BW118" i="45"/>
  <c r="BW120" i="45" s="1"/>
  <c r="BW122" i="45" s="1"/>
  <c r="BQ5" i="53" l="1"/>
  <c r="BU72" i="47"/>
  <c r="BU23" i="47"/>
  <c r="BW125" i="45" s="1"/>
  <c r="BU8" i="71"/>
  <c r="BU10" i="71" s="1"/>
  <c r="BV152" i="45"/>
  <c r="BV153" i="45"/>
  <c r="BT102" i="47" s="1"/>
  <c r="BV154" i="45"/>
  <c r="BT114" i="47" s="1"/>
  <c r="BV155" i="45" l="1"/>
  <c r="BT127" i="47" s="1"/>
  <c r="BO11" i="97" s="1"/>
  <c r="BU24" i="47"/>
  <c r="BU25" i="47" s="1"/>
  <c r="BQ6" i="53"/>
  <c r="BQ7" i="53" s="1"/>
  <c r="BO6" i="97"/>
  <c r="BT105" i="47"/>
  <c r="BO8" i="97"/>
  <c r="BT115" i="47"/>
  <c r="BT118" i="47" s="1"/>
  <c r="BT76" i="47"/>
  <c r="BV157" i="45" l="1"/>
  <c r="BT78" i="47"/>
  <c r="BQ32" i="53"/>
  <c r="BQ33" i="53" s="1"/>
  <c r="BW126" i="45"/>
  <c r="BV22" i="47"/>
  <c r="BX85" i="45" s="1"/>
  <c r="BX86" i="45" l="1"/>
  <c r="BV32" i="47"/>
  <c r="BW29" i="47" s="1"/>
  <c r="BU10" i="47"/>
  <c r="BU11" i="47" s="1"/>
  <c r="BQ9" i="53"/>
  <c r="BQ10" i="53" s="1"/>
  <c r="BQ13" i="53" s="1"/>
  <c r="BW128" i="45"/>
  <c r="BT83" i="47"/>
  <c r="BO7" i="97"/>
  <c r="BO9" i="97" s="1"/>
  <c r="BT79" i="47"/>
  <c r="BT125" i="47" s="1"/>
  <c r="BT128" i="47" s="1"/>
  <c r="BT131" i="47" s="1"/>
  <c r="BO12" i="97" l="1"/>
  <c r="BT80" i="47"/>
  <c r="BW132" i="45"/>
  <c r="BW134" i="45" s="1"/>
  <c r="BV8" i="47"/>
  <c r="BX83" i="45" s="1"/>
  <c r="BU35" i="47"/>
  <c r="BU37" i="47" s="1"/>
  <c r="BW140" i="45" l="1"/>
  <c r="BW141" i="45" s="1"/>
  <c r="BX87" i="45"/>
  <c r="BX91" i="45" s="1"/>
  <c r="BX93" i="45" s="1"/>
  <c r="BX114" i="45" s="1"/>
  <c r="BX116" i="45" s="1"/>
  <c r="BW135" i="45"/>
  <c r="BU43" i="47" s="1"/>
  <c r="BU45" i="47" s="1"/>
  <c r="BV41" i="47" s="1"/>
  <c r="BV44" i="47" l="1"/>
  <c r="BX117" i="45" s="1"/>
  <c r="BX118" i="45" s="1"/>
  <c r="BW142" i="45"/>
  <c r="BU93" i="47" s="1"/>
  <c r="BU99" i="47"/>
  <c r="BU100" i="47" s="1"/>
  <c r="BV97" i="47" s="1"/>
  <c r="BX130" i="45" l="1"/>
  <c r="BW143" i="45"/>
  <c r="BW146" i="45" s="1"/>
  <c r="BW147" i="45" s="1"/>
  <c r="BW148" i="45" s="1"/>
  <c r="BU94" i="47"/>
  <c r="BV91" i="47" s="1"/>
  <c r="BV98" i="47" s="1"/>
  <c r="BX120" i="45"/>
  <c r="BX122" i="45" s="1"/>
  <c r="BV8" i="71"/>
  <c r="BV10" i="71" s="1"/>
  <c r="BV23" i="47"/>
  <c r="BW149" i="45" l="1"/>
  <c r="BU67" i="47"/>
  <c r="BR5" i="53"/>
  <c r="BX125" i="45"/>
  <c r="BU73" i="47"/>
  <c r="BU74" i="47" s="1"/>
  <c r="BV71" i="47" s="1"/>
  <c r="BR6" i="53" l="1"/>
  <c r="BR7" i="53" s="1"/>
  <c r="BV24" i="47"/>
  <c r="BV25" i="47" s="1"/>
  <c r="BU68" i="47"/>
  <c r="BV66" i="47" s="1"/>
  <c r="BW154" i="45"/>
  <c r="BU114" i="47" s="1"/>
  <c r="BW153" i="45"/>
  <c r="BU102" i="47" s="1"/>
  <c r="BW152" i="45"/>
  <c r="BU76" i="47" l="1"/>
  <c r="BU78" i="47" s="1"/>
  <c r="BV72" i="47"/>
  <c r="BW155" i="45"/>
  <c r="BU127" i="47" s="1"/>
  <c r="BP11" i="97" s="1"/>
  <c r="BW22" i="47"/>
  <c r="BY85" i="45" s="1"/>
  <c r="BX126" i="45"/>
  <c r="BP8" i="97"/>
  <c r="BU115" i="47"/>
  <c r="BU118" i="47" s="1"/>
  <c r="BR32" i="53"/>
  <c r="BR33" i="53" s="1"/>
  <c r="BP6" i="97"/>
  <c r="BU105" i="47"/>
  <c r="BY86" i="45" l="1"/>
  <c r="BW32" i="47"/>
  <c r="BX29" i="47" s="1"/>
  <c r="BV10" i="47"/>
  <c r="BV11" i="47" s="1"/>
  <c r="BR9" i="53"/>
  <c r="BR10" i="53" s="1"/>
  <c r="BR13" i="53" s="1"/>
  <c r="BX128" i="45"/>
  <c r="BW157" i="45"/>
  <c r="BU79" i="47"/>
  <c r="BU125" i="47" s="1"/>
  <c r="BU128" i="47" s="1"/>
  <c r="BU83" i="47"/>
  <c r="BP7" i="97"/>
  <c r="BP9" i="97" s="1"/>
  <c r="BU80" i="47" l="1"/>
  <c r="BU131" i="47"/>
  <c r="BX132" i="45"/>
  <c r="BX134" i="45" s="1"/>
  <c r="BP12" i="97"/>
  <c r="BW8" i="47"/>
  <c r="BV35" i="47"/>
  <c r="BV37" i="47" s="1"/>
  <c r="BY83" i="45" l="1"/>
  <c r="BX135" i="45"/>
  <c r="BV43" i="47" s="1"/>
  <c r="BV45" i="47" s="1"/>
  <c r="BW41" i="47" s="1"/>
  <c r="BX140" i="45"/>
  <c r="BX141" i="45" s="1"/>
  <c r="BX142" i="45" l="1"/>
  <c r="BV93" i="47" s="1"/>
  <c r="BV99" i="47"/>
  <c r="BV100" i="47" s="1"/>
  <c r="BW97" i="47" s="1"/>
  <c r="BY87" i="45"/>
  <c r="BY91" i="45" s="1"/>
  <c r="BY93" i="45" s="1"/>
  <c r="BY114" i="45" s="1"/>
  <c r="BY116" i="45" s="1"/>
  <c r="BX143" i="45" l="1"/>
  <c r="BX146" i="45" s="1"/>
  <c r="BX147" i="45" s="1"/>
  <c r="BX148" i="45" s="1"/>
  <c r="BW44" i="47"/>
  <c r="BV94" i="47"/>
  <c r="BW91" i="47" s="1"/>
  <c r="BW98" i="47" l="1"/>
  <c r="BV73" i="47"/>
  <c r="BV74" i="47" s="1"/>
  <c r="BW71" i="47" s="1"/>
  <c r="BX149" i="45"/>
  <c r="BV67" i="47"/>
  <c r="BY117" i="45"/>
  <c r="BY118" i="45" s="1"/>
  <c r="BY130" i="45"/>
  <c r="BV68" i="47" l="1"/>
  <c r="BW66" i="47" s="1"/>
  <c r="BX154" i="45"/>
  <c r="BV114" i="47" s="1"/>
  <c r="BX153" i="45"/>
  <c r="BV102" i="47" s="1"/>
  <c r="BX152" i="45"/>
  <c r="BY120" i="45"/>
  <c r="BY122" i="45" s="1"/>
  <c r="BW23" i="47"/>
  <c r="BW8" i="71"/>
  <c r="BW10" i="71" s="1"/>
  <c r="BY125" i="45" l="1"/>
  <c r="BS6" i="53" s="1"/>
  <c r="BQ6" i="97"/>
  <c r="BV105" i="47"/>
  <c r="BS5" i="53"/>
  <c r="BV115" i="47"/>
  <c r="BV118" i="47" s="1"/>
  <c r="BQ8" i="97"/>
  <c r="BV76" i="47"/>
  <c r="BV78" i="47" s="1"/>
  <c r="BW72" i="47"/>
  <c r="BX155" i="45"/>
  <c r="BV127" i="47" s="1"/>
  <c r="BQ11" i="97" s="1"/>
  <c r="BW24" i="47" l="1"/>
  <c r="BW25" i="47" s="1"/>
  <c r="BS32" i="53"/>
  <c r="BS33" i="53" s="1"/>
  <c r="BX157" i="45"/>
  <c r="BV79" i="47"/>
  <c r="BV125" i="47" s="1"/>
  <c r="BV128" i="47" s="1"/>
  <c r="BV83" i="47"/>
  <c r="BQ7" i="97"/>
  <c r="BQ9" i="97" s="1"/>
  <c r="BS7" i="53"/>
  <c r="BY126" i="45" s="1"/>
  <c r="BX22" i="47"/>
  <c r="BZ85" i="45" s="1"/>
  <c r="BZ86" i="45" l="1"/>
  <c r="BX32" i="47"/>
  <c r="BY29" i="47" s="1"/>
  <c r="BV80" i="47"/>
  <c r="BW10" i="47"/>
  <c r="BW11" i="47" s="1"/>
  <c r="BS9" i="53"/>
  <c r="BS10" i="53" s="1"/>
  <c r="BS13" i="53" s="1"/>
  <c r="BY128" i="45"/>
  <c r="BY132" i="45" s="1"/>
  <c r="BQ12" i="97"/>
  <c r="BV131" i="47"/>
  <c r="BW35" i="47" l="1"/>
  <c r="BW37" i="47" s="1"/>
  <c r="BX8" i="47"/>
  <c r="BY134" i="45"/>
  <c r="BY140" i="45" l="1"/>
  <c r="BY141" i="45" s="1"/>
  <c r="BY142" i="45" s="1"/>
  <c r="BZ83" i="45"/>
  <c r="BY135" i="45"/>
  <c r="BW43" i="47" s="1"/>
  <c r="BW45" i="47" s="1"/>
  <c r="BX41" i="47" s="1"/>
  <c r="BZ87" i="45" l="1"/>
  <c r="BZ91" i="45" s="1"/>
  <c r="BZ93" i="45" s="1"/>
  <c r="BZ114" i="45" s="1"/>
  <c r="BZ116" i="45" s="1"/>
  <c r="BY143" i="45"/>
  <c r="BW93" i="47"/>
  <c r="BW99" i="47"/>
  <c r="BW100" i="47" s="1"/>
  <c r="BX97" i="47" s="1"/>
  <c r="BW94" i="47" l="1"/>
  <c r="BX91" i="47" s="1"/>
  <c r="BY146" i="45"/>
  <c r="BY147" i="45" s="1"/>
  <c r="BX44" i="47"/>
  <c r="BY148" i="45" l="1"/>
  <c r="BW67" i="47" s="1"/>
  <c r="BW73" i="47"/>
  <c r="BW74" i="47" s="1"/>
  <c r="BX71" i="47" s="1"/>
  <c r="BX98" i="47"/>
  <c r="BZ117" i="45"/>
  <c r="BZ130" i="45"/>
  <c r="BY149" i="45" l="1"/>
  <c r="BY154" i="45" s="1"/>
  <c r="BW114" i="47" s="1"/>
  <c r="BZ118" i="45"/>
  <c r="BZ120" i="45" s="1"/>
  <c r="BZ122" i="45" s="1"/>
  <c r="BW68" i="47"/>
  <c r="BX66" i="47" s="1"/>
  <c r="BY153" i="45" l="1"/>
  <c r="BW102" i="47" s="1"/>
  <c r="BW105" i="47" s="1"/>
  <c r="BY152" i="45"/>
  <c r="BW76" i="47" s="1"/>
  <c r="BT5" i="53"/>
  <c r="BR8" i="97"/>
  <c r="BW115" i="47"/>
  <c r="BW118" i="47" s="1"/>
  <c r="BX72" i="47"/>
  <c r="BX23" i="47"/>
  <c r="BZ125" i="45" s="1"/>
  <c r="BX8" i="71"/>
  <c r="BX10" i="71" s="1"/>
  <c r="BR6" i="97" l="1"/>
  <c r="BY155" i="45"/>
  <c r="BW127" i="47" s="1"/>
  <c r="BR11" i="97" s="1"/>
  <c r="BW78" i="47"/>
  <c r="BT6" i="53"/>
  <c r="BT7" i="53" s="1"/>
  <c r="BX24" i="47"/>
  <c r="BX25" i="47" s="1"/>
  <c r="BY157" i="45" l="1"/>
  <c r="BT32" i="53"/>
  <c r="BT33" i="53" s="1"/>
  <c r="BY22" i="47"/>
  <c r="CA85" i="45" s="1"/>
  <c r="BZ126" i="45"/>
  <c r="BR7" i="97"/>
  <c r="BR9" i="97" s="1"/>
  <c r="BW83" i="47"/>
  <c r="BW79" i="47"/>
  <c r="BW125" i="47" s="1"/>
  <c r="BW128" i="47" s="1"/>
  <c r="CA86" i="45" l="1"/>
  <c r="BY32" i="47"/>
  <c r="BZ29" i="47" s="1"/>
  <c r="BW80" i="47"/>
  <c r="BR12" i="97"/>
  <c r="BX10" i="47"/>
  <c r="BX11" i="47" s="1"/>
  <c r="BT9" i="53"/>
  <c r="BT10" i="53" s="1"/>
  <c r="BT13" i="53" s="1"/>
  <c r="BZ128" i="45"/>
  <c r="BW131" i="47"/>
  <c r="BZ132" i="45" l="1"/>
  <c r="O156" i="26"/>
  <c r="BX35" i="47"/>
  <c r="BX37" i="47" s="1"/>
  <c r="BY8" i="47"/>
  <c r="BZ134" i="45"/>
  <c r="BZ140" i="45" l="1"/>
  <c r="CA83" i="45"/>
  <c r="BZ135" i="45"/>
  <c r="BX43" i="47" s="1"/>
  <c r="BX45" i="47" s="1"/>
  <c r="BY41" i="47" s="1"/>
  <c r="CA87" i="45" l="1"/>
  <c r="CA91" i="45" s="1"/>
  <c r="CA93" i="45" s="1"/>
  <c r="CA114" i="45" s="1"/>
  <c r="CA116" i="45" s="1"/>
  <c r="BX99" i="47"/>
  <c r="BX100" i="47" s="1"/>
  <c r="BY97" i="47" s="1"/>
  <c r="BZ141" i="45"/>
  <c r="BZ142" i="45" l="1"/>
  <c r="BZ143" i="45" s="1"/>
  <c r="BZ146" i="45" s="1"/>
  <c r="BY44" i="47"/>
  <c r="BZ147" i="45" l="1"/>
  <c r="BX73" i="47"/>
  <c r="BX74" i="47" s="1"/>
  <c r="BY71" i="47" s="1"/>
  <c r="CA117" i="45"/>
  <c r="CA118" i="45" s="1"/>
  <c r="CA130" i="45"/>
  <c r="BX93" i="47"/>
  <c r="BX94" i="47" l="1"/>
  <c r="BY91" i="47" s="1"/>
  <c r="CA120" i="45"/>
  <c r="CA122" i="45" s="1"/>
  <c r="BY8" i="71"/>
  <c r="BY10" i="71" s="1"/>
  <c r="BY23" i="47"/>
  <c r="BZ148" i="45"/>
  <c r="BZ149" i="45" s="1"/>
  <c r="CA125" i="45" l="1"/>
  <c r="BY24" i="47" s="1"/>
  <c r="BY25" i="47" s="1"/>
  <c r="BX67" i="47"/>
  <c r="BY98" i="47"/>
  <c r="BZ154" i="45"/>
  <c r="BX114" i="47" s="1"/>
  <c r="BZ153" i="45"/>
  <c r="BX102" i="47" s="1"/>
  <c r="BZ152" i="45"/>
  <c r="BX76" i="47" s="1"/>
  <c r="BU5" i="53"/>
  <c r="BU6" i="53" l="1"/>
  <c r="BU7" i="53" s="1"/>
  <c r="BZ155" i="45"/>
  <c r="BX127" i="47" s="1"/>
  <c r="BS11" i="97" s="1"/>
  <c r="BS8" i="97"/>
  <c r="BX115" i="47"/>
  <c r="BX118" i="47" s="1"/>
  <c r="BU32" i="53"/>
  <c r="BU33" i="53" s="1"/>
  <c r="BS6" i="97"/>
  <c r="BX105" i="47"/>
  <c r="BZ22" i="47"/>
  <c r="CB85" i="45" s="1"/>
  <c r="CA126" i="45"/>
  <c r="BX78" i="47"/>
  <c r="BX68" i="47"/>
  <c r="BY66" i="47" s="1"/>
  <c r="BZ157" i="45" l="1"/>
  <c r="CB86" i="45"/>
  <c r="BZ32" i="47"/>
  <c r="CA29" i="47" s="1"/>
  <c r="BY10" i="47"/>
  <c r="BY11" i="47" s="1"/>
  <c r="BU9" i="53"/>
  <c r="BU10" i="53" s="1"/>
  <c r="BU13" i="53" s="1"/>
  <c r="CA128" i="45"/>
  <c r="CA132" i="45" s="1"/>
  <c r="BX79" i="47"/>
  <c r="BX125" i="47" s="1"/>
  <c r="BX128" i="47" s="1"/>
  <c r="BX83" i="47"/>
  <c r="BS7" i="97"/>
  <c r="BS9" i="97" s="1"/>
  <c r="BY72" i="47"/>
  <c r="BX80" i="47" l="1"/>
  <c r="BX131" i="47"/>
  <c r="BS12" i="97"/>
  <c r="BY35" i="47"/>
  <c r="BY37" i="47" s="1"/>
  <c r="BZ8" i="47"/>
  <c r="CA134" i="45"/>
  <c r="CA140" i="45" s="1"/>
  <c r="CA141" i="45" l="1"/>
  <c r="BY99" i="47"/>
  <c r="BY100" i="47" s="1"/>
  <c r="BZ97" i="47" s="1"/>
  <c r="CB83" i="45"/>
  <c r="CB87" i="45" s="1"/>
  <c r="CB91" i="45" s="1"/>
  <c r="CB93" i="45" s="1"/>
  <c r="CB114" i="45" s="1"/>
  <c r="CB116" i="45" s="1"/>
  <c r="CA135" i="45"/>
  <c r="BY43" i="47" s="1"/>
  <c r="BY45" i="47" s="1"/>
  <c r="BZ41" i="47" s="1"/>
  <c r="BZ44" i="47" l="1"/>
  <c r="CB117" i="45" s="1"/>
  <c r="CB118" i="45" s="1"/>
  <c r="CA142" i="45"/>
  <c r="CA143" i="45" s="1"/>
  <c r="BY93" i="47" l="1"/>
  <c r="CB120" i="45"/>
  <c r="CB122" i="45" s="1"/>
  <c r="BZ8" i="71"/>
  <c r="BZ10" i="71" s="1"/>
  <c r="BZ23" i="47"/>
  <c r="CA146" i="45"/>
  <c r="BY73" i="47" s="1"/>
  <c r="BY74" i="47" s="1"/>
  <c r="BZ71" i="47" s="1"/>
  <c r="CB130" i="45"/>
  <c r="CA147" i="45" l="1"/>
  <c r="CA148" i="45" s="1"/>
  <c r="BY67" i="47" s="1"/>
  <c r="BV5" i="53"/>
  <c r="CB125" i="45"/>
  <c r="BY94" i="47"/>
  <c r="BZ91" i="47" s="1"/>
  <c r="CA149" i="45" l="1"/>
  <c r="CA153" i="45" s="1"/>
  <c r="BY102" i="47" s="1"/>
  <c r="BZ24" i="47"/>
  <c r="BZ25" i="47" s="1"/>
  <c r="BV6" i="53"/>
  <c r="BV7" i="53" s="1"/>
  <c r="BZ98" i="47"/>
  <c r="BY68" i="47"/>
  <c r="BZ66" i="47" s="1"/>
  <c r="CA152" i="45" l="1"/>
  <c r="CA154" i="45"/>
  <c r="BY114" i="47" s="1"/>
  <c r="BY115" i="47" s="1"/>
  <c r="BY118" i="47" s="1"/>
  <c r="BZ72" i="47"/>
  <c r="BY105" i="47"/>
  <c r="BT6" i="97"/>
  <c r="BV32" i="53"/>
  <c r="BV33" i="53" s="1"/>
  <c r="CB126" i="45"/>
  <c r="CA22" i="47"/>
  <c r="CC85" i="45" s="1"/>
  <c r="BT8" i="97" l="1"/>
  <c r="CA155" i="45"/>
  <c r="BY127" i="47" s="1"/>
  <c r="BT11" i="97" s="1"/>
  <c r="BY76" i="47"/>
  <c r="BY78" i="47" s="1"/>
  <c r="BY79" i="47" s="1"/>
  <c r="BY125" i="47" s="1"/>
  <c r="CC86" i="45"/>
  <c r="CA32" i="47"/>
  <c r="CB29" i="47" s="1"/>
  <c r="BZ10" i="47"/>
  <c r="BZ11" i="47" s="1"/>
  <c r="BV9" i="53"/>
  <c r="BV10" i="53" s="1"/>
  <c r="BV13" i="53" s="1"/>
  <c r="CB128" i="45"/>
  <c r="BY128" i="47" l="1"/>
  <c r="BY131" i="47" s="1"/>
  <c r="CA157" i="45"/>
  <c r="CB132" i="45"/>
  <c r="CA8" i="47"/>
  <c r="BZ35" i="47"/>
  <c r="BZ37" i="47" s="1"/>
  <c r="CB134" i="45"/>
  <c r="BY83" i="47"/>
  <c r="BT7" i="97"/>
  <c r="BT9" i="97" s="1"/>
  <c r="BY80" i="47"/>
  <c r="BT12" i="97" l="1"/>
  <c r="CB135" i="45"/>
  <c r="BZ43" i="47" s="1"/>
  <c r="BZ45" i="47" s="1"/>
  <c r="CA41" i="47" s="1"/>
  <c r="CB140" i="45"/>
  <c r="CC83" i="45"/>
  <c r="CC87" i="45" s="1"/>
  <c r="CC91" i="45" s="1"/>
  <c r="CC93" i="45" s="1"/>
  <c r="CC114" i="45" s="1"/>
  <c r="CC116" i="45" s="1"/>
  <c r="CA44" i="47" l="1"/>
  <c r="CC117" i="45" s="1"/>
  <c r="CC118" i="45" s="1"/>
  <c r="CB141" i="45"/>
  <c r="BZ99" i="47"/>
  <c r="BZ100" i="47" s="1"/>
  <c r="CA97" i="47" s="1"/>
  <c r="CC130" i="45" l="1"/>
  <c r="CB142" i="45"/>
  <c r="CC120" i="45"/>
  <c r="CC122" i="45" s="1"/>
  <c r="CA8" i="71"/>
  <c r="CA10" i="71" s="1"/>
  <c r="CA23" i="47"/>
  <c r="CC125" i="45" l="1"/>
  <c r="CA24" i="47" s="1"/>
  <c r="CA25" i="47" s="1"/>
  <c r="BW5" i="53"/>
  <c r="BZ93" i="47"/>
  <c r="CB143" i="45"/>
  <c r="BW6" i="53" l="1"/>
  <c r="BW7" i="53" s="1"/>
  <c r="CC126" i="45" s="1"/>
  <c r="CB146" i="45"/>
  <c r="BW32" i="53"/>
  <c r="BW33" i="53" s="1"/>
  <c r="CB22" i="47"/>
  <c r="CD85" i="45" s="1"/>
  <c r="O113" i="26" s="1"/>
  <c r="BZ94" i="47"/>
  <c r="CA91" i="47" s="1"/>
  <c r="CD86" i="45" l="1"/>
  <c r="O114" i="26" s="1"/>
  <c r="CB32" i="47"/>
  <c r="CC29" i="47" s="1"/>
  <c r="CA10" i="47"/>
  <c r="CA11" i="47" s="1"/>
  <c r="BW9" i="53"/>
  <c r="BW10" i="53" s="1"/>
  <c r="BW13" i="53" s="1"/>
  <c r="CC128" i="45"/>
  <c r="CA98" i="47"/>
  <c r="CB147" i="45"/>
  <c r="BZ73" i="47"/>
  <c r="BZ74" i="47" s="1"/>
  <c r="CA71" i="47" s="1"/>
  <c r="CB148" i="45" l="1"/>
  <c r="CB149" i="45" s="1"/>
  <c r="CC132" i="45"/>
  <c r="CB8" i="47"/>
  <c r="CA35" i="47"/>
  <c r="CA37" i="47" s="1"/>
  <c r="CC134" i="45"/>
  <c r="CC140" i="45" l="1"/>
  <c r="CC141" i="45" s="1"/>
  <c r="CC142" i="45" s="1"/>
  <c r="CD83" i="45"/>
  <c r="CC135" i="45"/>
  <c r="CA43" i="47" s="1"/>
  <c r="CA45" i="47" s="1"/>
  <c r="CB41" i="47" s="1"/>
  <c r="CB152" i="45"/>
  <c r="BZ76" i="47" s="1"/>
  <c r="CB154" i="45"/>
  <c r="BZ114" i="47" s="1"/>
  <c r="CB153" i="45"/>
  <c r="BZ102" i="47" s="1"/>
  <c r="BZ67" i="47"/>
  <c r="CB155" i="45" l="1"/>
  <c r="BZ127" i="47" s="1"/>
  <c r="BU11" i="97" s="1"/>
  <c r="BZ78" i="47"/>
  <c r="BZ68" i="47"/>
  <c r="CA66" i="47" s="1"/>
  <c r="CD87" i="45"/>
  <c r="CD91" i="45" s="1"/>
  <c r="CD93" i="45" s="1"/>
  <c r="CD114" i="45" s="1"/>
  <c r="CD116" i="45" s="1"/>
  <c r="O111" i="26"/>
  <c r="O115" i="26" s="1"/>
  <c r="O119" i="26" s="1"/>
  <c r="O121" i="26" s="1"/>
  <c r="O142" i="26" s="1"/>
  <c r="BU6" i="97"/>
  <c r="BZ105" i="47"/>
  <c r="CC143" i="45"/>
  <c r="CA93" i="47"/>
  <c r="BZ115" i="47"/>
  <c r="BZ118" i="47" s="1"/>
  <c r="BU8" i="97"/>
  <c r="CA99" i="47"/>
  <c r="CA100" i="47" s="1"/>
  <c r="CB97" i="47" s="1"/>
  <c r="CB157" i="45" l="1"/>
  <c r="CB44" i="47"/>
  <c r="CA94" i="47"/>
  <c r="CB91" i="47" s="1"/>
  <c r="CA72" i="47"/>
  <c r="CC146" i="45" s="1"/>
  <c r="CC147" i="45" s="1"/>
  <c r="CC148" i="45" s="1"/>
  <c r="BZ79" i="47"/>
  <c r="BZ125" i="47" s="1"/>
  <c r="BZ128" i="47" s="1"/>
  <c r="BZ131" i="47" s="1"/>
  <c r="BU7" i="97"/>
  <c r="BU9" i="97" s="1"/>
  <c r="BU12" i="97" s="1"/>
  <c r="BZ83" i="47"/>
  <c r="CB98" i="47" l="1"/>
  <c r="CD117" i="45"/>
  <c r="CD130" i="45"/>
  <c r="O158" i="26" s="1"/>
  <c r="CC149" i="45"/>
  <c r="CA67" i="47"/>
  <c r="BZ80" i="47"/>
  <c r="CA73" i="47"/>
  <c r="CA74" i="47" s="1"/>
  <c r="CB71" i="47" s="1"/>
  <c r="CC152" i="45" l="1"/>
  <c r="CC154" i="45"/>
  <c r="CA114" i="47" s="1"/>
  <c r="CC153" i="45"/>
  <c r="CA102" i="47" s="1"/>
  <c r="O145" i="26"/>
  <c r="CD118" i="45"/>
  <c r="CD120" i="45" s="1"/>
  <c r="CD122" i="45" s="1"/>
  <c r="CA68" i="47"/>
  <c r="CB66" i="47" s="1"/>
  <c r="CC155" i="45" l="1"/>
  <c r="CA127" i="47" s="1"/>
  <c r="BV11" i="97" s="1"/>
  <c r="BX5" i="53"/>
  <c r="CB72" i="47"/>
  <c r="BV6" i="97"/>
  <c r="CA105" i="47"/>
  <c r="BV8" i="97"/>
  <c r="CA115" i="47"/>
  <c r="CA118" i="47" s="1"/>
  <c r="CB23" i="47"/>
  <c r="CD125" i="45" s="1"/>
  <c r="CB8" i="71"/>
  <c r="CB10" i="71" s="1"/>
  <c r="O146" i="26"/>
  <c r="O148" i="26" s="1"/>
  <c r="O150" i="26" s="1"/>
  <c r="CA76" i="47"/>
  <c r="CA78" i="47" s="1"/>
  <c r="CC157" i="45"/>
  <c r="CB24" i="47" l="1"/>
  <c r="CB25" i="47" s="1"/>
  <c r="BX6" i="53"/>
  <c r="BX7" i="53" s="1"/>
  <c r="O153" i="26"/>
  <c r="CA79" i="47"/>
  <c r="CA125" i="47" s="1"/>
  <c r="CA128" i="47" s="1"/>
  <c r="CA131" i="47" s="1"/>
  <c r="BV7" i="97"/>
  <c r="BV9" i="97" s="1"/>
  <c r="BV12" i="97" s="1"/>
  <c r="CA83" i="47"/>
  <c r="CA80" i="47" l="1"/>
  <c r="CD126" i="45"/>
  <c r="CC22" i="47"/>
  <c r="CE85" i="45" s="1"/>
  <c r="BX32" i="53"/>
  <c r="BX33" i="53" s="1"/>
  <c r="D34" i="53" s="1"/>
  <c r="M14" i="26" s="1"/>
  <c r="CE86" i="45" l="1"/>
  <c r="CC32" i="47"/>
  <c r="CD29" i="47" s="1"/>
  <c r="CB10" i="47"/>
  <c r="CB11" i="47" s="1"/>
  <c r="O177" i="26" s="1"/>
  <c r="BX9" i="53"/>
  <c r="BX10" i="53" s="1"/>
  <c r="BX13" i="53" s="1"/>
  <c r="O154" i="26"/>
  <c r="CD128" i="45"/>
  <c r="CD132" i="45" l="1"/>
  <c r="CD134" i="45" s="1"/>
  <c r="N178" i="26"/>
  <c r="CC8" i="47"/>
  <c r="CB35" i="47"/>
  <c r="CB37" i="47" s="1"/>
  <c r="CD135" i="45" l="1"/>
  <c r="CB43" i="47" s="1"/>
  <c r="CB45" i="47" s="1"/>
  <c r="CD140" i="45"/>
  <c r="CE83" i="45"/>
  <c r="CE87" i="45" l="1"/>
  <c r="CE91" i="45" s="1"/>
  <c r="CE93" i="45" s="1"/>
  <c r="CE114" i="45" s="1"/>
  <c r="CE116" i="45" s="1"/>
  <c r="CD141" i="45"/>
  <c r="CB99" i="47"/>
  <c r="CB100" i="47" s="1"/>
  <c r="CC97" i="47" s="1"/>
  <c r="CC41" i="47"/>
  <c r="CD142" i="45" l="1"/>
  <c r="CD143" i="45" s="1"/>
  <c r="CC44" i="47"/>
  <c r="CE117" i="45" s="1"/>
  <c r="CE118" i="45" s="1"/>
  <c r="CC23" i="47" l="1"/>
  <c r="CC8" i="71"/>
  <c r="CC10" i="71" s="1"/>
  <c r="CD146" i="45"/>
  <c r="CB73" i="47" s="1"/>
  <c r="CB74" i="47" s="1"/>
  <c r="CC71" i="47" s="1"/>
  <c r="CE120" i="45"/>
  <c r="CE122" i="45" s="1"/>
  <c r="CE130" i="45"/>
  <c r="CB93" i="47"/>
  <c r="BY5" i="53" l="1"/>
  <c r="CE125" i="45"/>
  <c r="CB94" i="47"/>
  <c r="CC91" i="47" s="1"/>
  <c r="CD147" i="45"/>
  <c r="CD148" i="45" s="1"/>
  <c r="CC98" i="47" l="1"/>
  <c r="CC24" i="47"/>
  <c r="CC25" i="47" s="1"/>
  <c r="BY6" i="53"/>
  <c r="BY7" i="53" s="1"/>
  <c r="CD149" i="45"/>
  <c r="CB67" i="47"/>
  <c r="CF86" i="45" l="1"/>
  <c r="CD32" i="47"/>
  <c r="CE29" i="47" s="1"/>
  <c r="CB68" i="47"/>
  <c r="CD152" i="45"/>
  <c r="CD154" i="45"/>
  <c r="CB114" i="47" s="1"/>
  <c r="CD153" i="45"/>
  <c r="CB102" i="47" s="1"/>
  <c r="CE126" i="45"/>
  <c r="CD22" i="47"/>
  <c r="CF85" i="45" s="1"/>
  <c r="CD155" i="45" l="1"/>
  <c r="CB127" i="47" s="1"/>
  <c r="BW11" i="97" s="1"/>
  <c r="CB105" i="47"/>
  <c r="N248" i="26" s="1"/>
  <c r="BW6" i="97"/>
  <c r="BW8" i="97"/>
  <c r="I18" i="97" s="1"/>
  <c r="N215" i="26" s="1"/>
  <c r="CB115" i="47"/>
  <c r="CB118" i="47" s="1"/>
  <c r="N249" i="26" s="1"/>
  <c r="CB76" i="47"/>
  <c r="CB78" i="47" s="1"/>
  <c r="N182" i="26"/>
  <c r="N183" i="26" s="1"/>
  <c r="N184" i="26" s="1"/>
  <c r="CC66" i="47"/>
  <c r="CC10" i="47"/>
  <c r="CC11" i="47" s="1"/>
  <c r="BY9" i="53"/>
  <c r="BY10" i="53" s="1"/>
  <c r="BY13" i="53" s="1"/>
  <c r="CE128" i="45"/>
  <c r="CD157" i="45" l="1"/>
  <c r="I21" i="97"/>
  <c r="O165" i="26"/>
  <c r="N237" i="26"/>
  <c r="N239" i="26" s="1"/>
  <c r="CB79" i="47"/>
  <c r="CB125" i="47" s="1"/>
  <c r="CB128" i="47" s="1"/>
  <c r="BW7" i="97"/>
  <c r="I17" i="97" s="1"/>
  <c r="CB83" i="47"/>
  <c r="N247" i="26" s="1"/>
  <c r="CD8" i="47"/>
  <c r="CC35" i="47"/>
  <c r="CC37" i="47" s="1"/>
  <c r="CC72" i="47"/>
  <c r="CE132" i="45"/>
  <c r="CE134" i="45" s="1"/>
  <c r="CE140" i="45" s="1"/>
  <c r="I16" i="97"/>
  <c r="BW9" i="97" l="1"/>
  <c r="O164" i="26" s="1"/>
  <c r="CB80" i="47"/>
  <c r="CE135" i="45"/>
  <c r="CC43" i="47" s="1"/>
  <c r="CC45" i="47" s="1"/>
  <c r="CD41" i="47" s="1"/>
  <c r="CF83" i="45"/>
  <c r="N211" i="26"/>
  <c r="N212" i="26"/>
  <c r="N230" i="26" s="1"/>
  <c r="CE141" i="45"/>
  <c r="CC99" i="47"/>
  <c r="CC100" i="47" s="1"/>
  <c r="CD97" i="47" s="1"/>
  <c r="N205" i="26"/>
  <c r="I19" i="97"/>
  <c r="I22" i="97" s="1"/>
  <c r="N206" i="26"/>
  <c r="N225" i="26" s="1"/>
  <c r="N207" i="26"/>
  <c r="N226" i="26" s="1"/>
  <c r="CB131" i="47"/>
  <c r="N250" i="26"/>
  <c r="N251" i="26" s="1"/>
  <c r="BW12" i="97" l="1"/>
  <c r="N224" i="26"/>
  <c r="N208" i="26"/>
  <c r="CE142" i="45"/>
  <c r="CE143" i="45" s="1"/>
  <c r="N213" i="26"/>
  <c r="N229" i="26"/>
  <c r="CF87" i="45"/>
  <c r="CF91" i="45" s="1"/>
  <c r="CF93" i="45" s="1"/>
  <c r="CF114" i="45" s="1"/>
  <c r="CF116" i="45" s="1"/>
  <c r="N160" i="26"/>
  <c r="N194" i="26"/>
  <c r="G194" i="26" s="1"/>
  <c r="N195" i="26"/>
  <c r="N196" i="26" s="1"/>
  <c r="N197" i="26" s="1"/>
  <c r="N198" i="26" s="1"/>
  <c r="N168" i="26"/>
  <c r="N167" i="26"/>
  <c r="N169" i="26" s="1"/>
  <c r="N216" i="26" l="1"/>
  <c r="CD44" i="47"/>
  <c r="CE146" i="45"/>
  <c r="CC73" i="47" s="1"/>
  <c r="CC74" i="47" s="1"/>
  <c r="CD71" i="47" s="1"/>
  <c r="CC93" i="47"/>
  <c r="N234" i="26"/>
  <c r="CE147" i="45" l="1"/>
  <c r="CE148" i="45" s="1"/>
  <c r="CC94" i="47"/>
  <c r="CD91" i="47" s="1"/>
  <c r="CD98" i="47" s="1"/>
  <c r="CF117" i="45"/>
  <c r="CF130" i="45"/>
  <c r="CF118" i="45" l="1"/>
  <c r="CF120" i="45" s="1"/>
  <c r="CF122" i="45" s="1"/>
  <c r="CC67" i="47"/>
  <c r="CE149" i="45"/>
  <c r="BZ5" i="53" l="1"/>
  <c r="CC68" i="47"/>
  <c r="CD66" i="47" s="1"/>
  <c r="CE154" i="45"/>
  <c r="CC114" i="47" s="1"/>
  <c r="CE153" i="45"/>
  <c r="CC102" i="47" s="1"/>
  <c r="CE152" i="45"/>
  <c r="CD23" i="47"/>
  <c r="CF125" i="45" s="1"/>
  <c r="CD8" i="71"/>
  <c r="CD10" i="71" s="1"/>
  <c r="CE155" i="45" l="1"/>
  <c r="CC127" i="47" s="1"/>
  <c r="BX11" i="97" s="1"/>
  <c r="BZ6" i="53"/>
  <c r="BZ7" i="53" s="1"/>
  <c r="CD24" i="47"/>
  <c r="CD25" i="47" s="1"/>
  <c r="CD72" i="47"/>
  <c r="CC115" i="47"/>
  <c r="CC118" i="47" s="1"/>
  <c r="BX8" i="97"/>
  <c r="CC76" i="47"/>
  <c r="CC105" i="47"/>
  <c r="BX6" i="97"/>
  <c r="CE157" i="45" l="1"/>
  <c r="CG86" i="45"/>
  <c r="CE32" i="47"/>
  <c r="CF29" i="47" s="1"/>
  <c r="CC78" i="47"/>
  <c r="CC79" i="47" s="1"/>
  <c r="CC125" i="47" s="1"/>
  <c r="CC128" i="47" s="1"/>
  <c r="CE22" i="47"/>
  <c r="CG85" i="45" s="1"/>
  <c r="CF126" i="45"/>
  <c r="CD10" i="47" l="1"/>
  <c r="CD11" i="47" s="1"/>
  <c r="BZ9" i="53"/>
  <c r="BZ10" i="53" s="1"/>
  <c r="BZ13" i="53" s="1"/>
  <c r="CF128" i="45"/>
  <c r="CC131" i="47"/>
  <c r="CC83" i="47"/>
  <c r="BX7" i="97"/>
  <c r="BX9" i="97" s="1"/>
  <c r="CC80" i="47"/>
  <c r="CF132" i="45" l="1"/>
  <c r="BX12" i="97"/>
  <c r="CE8" i="47"/>
  <c r="CD35" i="47"/>
  <c r="CD37" i="47" s="1"/>
  <c r="CF134" i="45"/>
  <c r="CG83" i="45" l="1"/>
  <c r="CF140" i="45"/>
  <c r="CF141" i="45" s="1"/>
  <c r="CF135" i="45"/>
  <c r="CD43" i="47" s="1"/>
  <c r="CD45" i="47" s="1"/>
  <c r="CE41" i="47" s="1"/>
  <c r="CF142" i="45" l="1"/>
  <c r="CD93" i="47" s="1"/>
  <c r="CD99" i="47"/>
  <c r="CD100" i="47" s="1"/>
  <c r="CE97" i="47" s="1"/>
  <c r="CG87" i="45"/>
  <c r="CG91" i="45" s="1"/>
  <c r="CG93" i="45" s="1"/>
  <c r="CG114" i="45" s="1"/>
  <c r="CG116" i="45" s="1"/>
  <c r="CF143" i="45" l="1"/>
  <c r="CF146" i="45" s="1"/>
  <c r="CE44" i="47"/>
  <c r="CD94" i="47"/>
  <c r="CE91" i="47" s="1"/>
  <c r="CE98" i="47" l="1"/>
  <c r="CF147" i="45"/>
  <c r="CD73" i="47"/>
  <c r="CD74" i="47" s="1"/>
  <c r="CE71" i="47" s="1"/>
  <c r="CG117" i="45"/>
  <c r="CG130" i="45"/>
  <c r="CG118" i="45" l="1"/>
  <c r="CG120" i="45" s="1"/>
  <c r="CG122" i="45" s="1"/>
  <c r="CF148" i="45"/>
  <c r="CA5" i="53" l="1"/>
  <c r="CD67" i="47"/>
  <c r="CF149" i="45"/>
  <c r="CE8" i="71"/>
  <c r="CE10" i="71" s="1"/>
  <c r="CE23" i="47"/>
  <c r="CG125" i="45" s="1"/>
  <c r="CF153" i="45" l="1"/>
  <c r="CD102" i="47" s="1"/>
  <c r="CF152" i="45"/>
  <c r="CF154" i="45"/>
  <c r="CD114" i="47" s="1"/>
  <c r="CE24" i="47"/>
  <c r="CE25" i="47" s="1"/>
  <c r="CA6" i="53"/>
  <c r="CA7" i="53" s="1"/>
  <c r="CD68" i="47"/>
  <c r="CE66" i="47" s="1"/>
  <c r="CH86" i="45" l="1"/>
  <c r="CF32" i="47"/>
  <c r="CG29" i="47" s="1"/>
  <c r="CF155" i="45"/>
  <c r="CD127" i="47" s="1"/>
  <c r="BY11" i="97" s="1"/>
  <c r="CE72" i="47"/>
  <c r="BY8" i="97"/>
  <c r="CD115" i="47"/>
  <c r="CD118" i="47" s="1"/>
  <c r="CG126" i="45"/>
  <c r="CF22" i="47"/>
  <c r="CH85" i="45" s="1"/>
  <c r="CD76" i="47"/>
  <c r="CD105" i="47"/>
  <c r="BY6" i="97"/>
  <c r="CF157" i="45" l="1"/>
  <c r="CE10" i="47"/>
  <c r="CE11" i="47" s="1"/>
  <c r="CA9" i="53"/>
  <c r="CA10" i="53" s="1"/>
  <c r="CA13" i="53" s="1"/>
  <c r="CG128" i="45"/>
  <c r="CG132" i="45" s="1"/>
  <c r="CD78" i="47"/>
  <c r="CD79" i="47" s="1"/>
  <c r="CD125" i="47" s="1"/>
  <c r="CD128" i="47" s="1"/>
  <c r="CD131" i="47" l="1"/>
  <c r="CD83" i="47"/>
  <c r="BY7" i="97"/>
  <c r="BY9" i="97" s="1"/>
  <c r="CD80" i="47"/>
  <c r="CE35" i="47"/>
  <c r="CE37" i="47" s="1"/>
  <c r="CF8" i="47"/>
  <c r="CG134" i="45"/>
  <c r="CH83" i="45" l="1"/>
  <c r="CG135" i="45"/>
  <c r="CE43" i="47" s="1"/>
  <c r="CE45" i="47" s="1"/>
  <c r="CF41" i="47" s="1"/>
  <c r="CG140" i="45"/>
  <c r="CG141" i="45" s="1"/>
  <c r="BY12" i="97"/>
  <c r="CG142" i="45" l="1"/>
  <c r="CE93" i="47" s="1"/>
  <c r="CE99" i="47"/>
  <c r="CE100" i="47" s="1"/>
  <c r="CF97" i="47" s="1"/>
  <c r="CH87" i="45"/>
  <c r="CH91" i="45" s="1"/>
  <c r="CH93" i="45" s="1"/>
  <c r="CH114" i="45" s="1"/>
  <c r="CH116" i="45" s="1"/>
  <c r="CF44" i="47" l="1"/>
  <c r="CG143" i="45"/>
  <c r="CG146" i="45" s="1"/>
  <c r="CE94" i="47"/>
  <c r="CF91" i="47" s="1"/>
  <c r="CF98" i="47" s="1"/>
  <c r="CG147" i="45" l="1"/>
  <c r="CE73" i="47"/>
  <c r="CE74" i="47" s="1"/>
  <c r="CF71" i="47" s="1"/>
  <c r="CH117" i="45"/>
  <c r="CH130" i="45"/>
  <c r="CH118" i="45" l="1"/>
  <c r="CH120" i="45" s="1"/>
  <c r="CH122" i="45" s="1"/>
  <c r="CG148" i="45"/>
  <c r="CG149" i="45" s="1"/>
  <c r="CB5" i="53" l="1"/>
  <c r="CG153" i="45"/>
  <c r="CE102" i="47" s="1"/>
  <c r="CG154" i="45"/>
  <c r="CE114" i="47" s="1"/>
  <c r="CG152" i="45"/>
  <c r="CE76" i="47" s="1"/>
  <c r="CE67" i="47"/>
  <c r="CF8" i="71"/>
  <c r="CF10" i="71" s="1"/>
  <c r="CF23" i="47"/>
  <c r="CH125" i="45" s="1"/>
  <c r="CG155" i="45" l="1"/>
  <c r="CE127" i="47" s="1"/>
  <c r="BZ11" i="97" s="1"/>
  <c r="CE78" i="47"/>
  <c r="CE83" i="47" s="1"/>
  <c r="CB6" i="53"/>
  <c r="CB7" i="53" s="1"/>
  <c r="CF24" i="47"/>
  <c r="CF25" i="47" s="1"/>
  <c r="CG22" i="47" s="1"/>
  <c r="CI85" i="45" s="1"/>
  <c r="CE105" i="47"/>
  <c r="BZ6" i="97"/>
  <c r="CE68" i="47"/>
  <c r="CF66" i="47" s="1"/>
  <c r="CE115" i="47"/>
  <c r="CE118" i="47" s="1"/>
  <c r="BZ8" i="97"/>
  <c r="CG157" i="45" l="1"/>
  <c r="CE79" i="47"/>
  <c r="CE125" i="47" s="1"/>
  <c r="CE128" i="47" s="1"/>
  <c r="CE131" i="47" s="1"/>
  <c r="BZ7" i="97"/>
  <c r="BZ9" i="97" s="1"/>
  <c r="CI86" i="45"/>
  <c r="CG32" i="47"/>
  <c r="CH29" i="47" s="1"/>
  <c r="CH126" i="45"/>
  <c r="CH128" i="45" s="1"/>
  <c r="CH132" i="45" s="1"/>
  <c r="CF72" i="47"/>
  <c r="CE80" i="47" l="1"/>
  <c r="BZ12" i="97"/>
  <c r="CB9" i="53"/>
  <c r="CB10" i="53" s="1"/>
  <c r="CB13" i="53" s="1"/>
  <c r="CF10" i="47"/>
  <c r="CF11" i="47" s="1"/>
  <c r="CH134" i="45" s="1"/>
  <c r="CH135" i="45" s="1"/>
  <c r="CF43" i="47" s="1"/>
  <c r="CF45" i="47" s="1"/>
  <c r="CG41" i="47" s="1"/>
  <c r="CF35" i="47" l="1"/>
  <c r="CF37" i="47" s="1"/>
  <c r="CG8" i="47"/>
  <c r="CI83" i="45" s="1"/>
  <c r="CH140" i="45"/>
  <c r="CH141" i="45" s="1"/>
  <c r="CH142" i="45" s="1"/>
  <c r="CF93" i="47" s="1"/>
  <c r="CF99" i="47" l="1"/>
  <c r="CF100" i="47" s="1"/>
  <c r="CG97" i="47" s="1"/>
  <c r="CF94" i="47"/>
  <c r="CG91" i="47" s="1"/>
  <c r="CG98" i="47" s="1"/>
  <c r="CH143" i="45"/>
  <c r="CI87" i="45"/>
  <c r="CI91" i="45" s="1"/>
  <c r="CI93" i="45" s="1"/>
  <c r="CI114" i="45" s="1"/>
  <c r="CI116" i="45" s="1"/>
  <c r="CH146" i="45" l="1"/>
  <c r="CH147" i="45" s="1"/>
  <c r="CG44" i="47"/>
  <c r="CI117" i="45" l="1"/>
  <c r="CI118" i="45" s="1"/>
  <c r="CI130" i="45"/>
  <c r="CH148" i="45"/>
  <c r="CF67" i="47" s="1"/>
  <c r="CF73" i="47"/>
  <c r="CF74" i="47" s="1"/>
  <c r="CG71" i="47" s="1"/>
  <c r="CH149" i="45" l="1"/>
  <c r="CH152" i="45" s="1"/>
  <c r="CF68" i="47"/>
  <c r="CG66" i="47" s="1"/>
  <c r="CI120" i="45"/>
  <c r="CI122" i="45" s="1"/>
  <c r="CG23" i="47"/>
  <c r="CG8" i="71"/>
  <c r="CG10" i="71" s="1"/>
  <c r="CH153" i="45" l="1"/>
  <c r="CF102" i="47" s="1"/>
  <c r="CF105" i="47" s="1"/>
  <c r="CH154" i="45"/>
  <c r="CF114" i="47" s="1"/>
  <c r="CF115" i="47" s="1"/>
  <c r="CF118" i="47" s="1"/>
  <c r="CI125" i="45"/>
  <c r="CG24" i="47" s="1"/>
  <c r="CG25" i="47" s="1"/>
  <c r="CG72" i="47"/>
  <c r="CC5" i="53"/>
  <c r="CF76" i="47"/>
  <c r="CF78" i="47" s="1"/>
  <c r="CH155" i="45" l="1"/>
  <c r="CF127" i="47" s="1"/>
  <c r="CA11" i="97" s="1"/>
  <c r="CA8" i="97"/>
  <c r="CA6" i="97"/>
  <c r="CC6" i="53"/>
  <c r="CC7" i="53" s="1"/>
  <c r="CI126" i="45" s="1"/>
  <c r="CH22" i="47"/>
  <c r="CJ85" i="45" s="1"/>
  <c r="CF79" i="47"/>
  <c r="CF125" i="47" s="1"/>
  <c r="CF83" i="47"/>
  <c r="CA7" i="97"/>
  <c r="CF128" i="47" l="1"/>
  <c r="CF131" i="47" s="1"/>
  <c r="CH157" i="45"/>
  <c r="CA9" i="97"/>
  <c r="CA12" i="97" s="1"/>
  <c r="CJ86" i="45"/>
  <c r="CH32" i="47"/>
  <c r="CI29" i="47" s="1"/>
  <c r="CF80" i="47"/>
  <c r="CG10" i="47"/>
  <c r="CG11" i="47" s="1"/>
  <c r="CC9" i="53"/>
  <c r="CC10" i="53" s="1"/>
  <c r="CC13" i="53" s="1"/>
  <c r="CI128" i="45"/>
  <c r="CI132" i="45" s="1"/>
  <c r="CH8" i="47" l="1"/>
  <c r="CG35" i="47"/>
  <c r="CG37" i="47" s="1"/>
  <c r="CI134" i="45"/>
  <c r="CI135" i="45" s="1"/>
  <c r="CG43" i="47" s="1"/>
  <c r="CG45" i="47" s="1"/>
  <c r="CH41" i="47" s="1"/>
  <c r="CI140" i="45" l="1"/>
  <c r="CI141" i="45" s="1"/>
  <c r="CJ83" i="45"/>
  <c r="CJ87" i="45" s="1"/>
  <c r="CJ91" i="45" s="1"/>
  <c r="CJ93" i="45" s="1"/>
  <c r="CJ114" i="45" s="1"/>
  <c r="CJ116" i="45" s="1"/>
  <c r="CI142" i="45" l="1"/>
  <c r="CG93" i="47" s="1"/>
  <c r="CH44" i="47"/>
  <c r="CG99" i="47"/>
  <c r="CG100" i="47" s="1"/>
  <c r="CH97" i="47" s="1"/>
  <c r="CJ117" i="45" l="1"/>
  <c r="CJ130" i="45"/>
  <c r="CI143" i="45"/>
  <c r="CI146" i="45" s="1"/>
  <c r="CG94" i="47"/>
  <c r="CH91" i="47" s="1"/>
  <c r="CH98" i="47" s="1"/>
  <c r="CI147" i="45" l="1"/>
  <c r="CG73" i="47"/>
  <c r="CG74" i="47" s="1"/>
  <c r="CH71" i="47" s="1"/>
  <c r="CJ118" i="45"/>
  <c r="CJ120" i="45" s="1"/>
  <c r="CJ122" i="45" s="1"/>
  <c r="CD5" i="53" l="1"/>
  <c r="CH23" i="47"/>
  <c r="CJ125" i="45" s="1"/>
  <c r="CH8" i="71"/>
  <c r="CH10" i="71" s="1"/>
  <c r="CI148" i="45"/>
  <c r="CI149" i="45" s="1"/>
  <c r="CI152" i="45" l="1"/>
  <c r="CG76" i="47" s="1"/>
  <c r="CI153" i="45"/>
  <c r="CG102" i="47" s="1"/>
  <c r="CI154" i="45"/>
  <c r="CG114" i="47" s="1"/>
  <c r="CH24" i="47"/>
  <c r="CH25" i="47" s="1"/>
  <c r="CD6" i="53"/>
  <c r="CD7" i="53" s="1"/>
  <c r="CG67" i="47"/>
  <c r="CK86" i="45" l="1"/>
  <c r="CI32" i="47"/>
  <c r="CJ29" i="47" s="1"/>
  <c r="CI155" i="45"/>
  <c r="CI22" i="47"/>
  <c r="CK85" i="45" s="1"/>
  <c r="CJ126" i="45"/>
  <c r="CG115" i="47"/>
  <c r="CG118" i="47" s="1"/>
  <c r="CB8" i="97"/>
  <c r="CB6" i="97"/>
  <c r="CG105" i="47"/>
  <c r="CG78" i="47"/>
  <c r="CG68" i="47"/>
  <c r="CH66" i="47" s="1"/>
  <c r="CG127" i="47" l="1"/>
  <c r="CB11" i="97" s="1"/>
  <c r="CI157" i="45"/>
  <c r="CG79" i="47"/>
  <c r="CG125" i="47" s="1"/>
  <c r="CG83" i="47"/>
  <c r="CB7" i="97"/>
  <c r="CB9" i="97" s="1"/>
  <c r="CH72" i="47"/>
  <c r="CH10" i="47"/>
  <c r="CH11" i="47" s="1"/>
  <c r="CD9" i="53"/>
  <c r="CD10" i="53" s="1"/>
  <c r="CD13" i="53" s="1"/>
  <c r="CJ128" i="45"/>
  <c r="CJ132" i="45" s="1"/>
  <c r="CG128" i="47" l="1"/>
  <c r="CG131" i="47" s="1"/>
  <c r="CG80" i="47"/>
  <c r="CH35" i="47"/>
  <c r="CH37" i="47" s="1"/>
  <c r="CI8" i="47"/>
  <c r="CJ134" i="45"/>
  <c r="CJ135" i="45" s="1"/>
  <c r="CH43" i="47" s="1"/>
  <c r="CH45" i="47" s="1"/>
  <c r="CI41" i="47" s="1"/>
  <c r="CB12" i="97"/>
  <c r="CJ140" i="45" l="1"/>
  <c r="CJ141" i="45" s="1"/>
  <c r="CK83" i="45"/>
  <c r="CK87" i="45" s="1"/>
  <c r="CK91" i="45" s="1"/>
  <c r="CK93" i="45" s="1"/>
  <c r="CK114" i="45" s="1"/>
  <c r="CK116" i="45" s="1"/>
  <c r="CJ142" i="45" l="1"/>
  <c r="CH93" i="47" s="1"/>
  <c r="CH99" i="47"/>
  <c r="CH100" i="47" s="1"/>
  <c r="CI97" i="47" s="1"/>
  <c r="CI44" i="47"/>
  <c r="CJ143" i="45" l="1"/>
  <c r="CJ146" i="45" s="1"/>
  <c r="CJ147" i="45" s="1"/>
  <c r="CK117" i="45"/>
  <c r="CK130" i="45"/>
  <c r="CH94" i="47"/>
  <c r="CI91" i="47" s="1"/>
  <c r="CI98" i="47" s="1"/>
  <c r="CJ148" i="45" l="1"/>
  <c r="CH67" i="47" s="1"/>
  <c r="CK118" i="45"/>
  <c r="CH73" i="47"/>
  <c r="CH74" i="47" s="1"/>
  <c r="CI71" i="47" s="1"/>
  <c r="CJ149" i="45" l="1"/>
  <c r="CJ154" i="45" s="1"/>
  <c r="CH114" i="47" s="1"/>
  <c r="CI23" i="47"/>
  <c r="CI8" i="71"/>
  <c r="CI10" i="71" s="1"/>
  <c r="CK120" i="45"/>
  <c r="CK122" i="45" s="1"/>
  <c r="CH68" i="47"/>
  <c r="CI66" i="47" s="1"/>
  <c r="CJ152" i="45" l="1"/>
  <c r="CH76" i="47" s="1"/>
  <c r="CH78" i="47" s="1"/>
  <c r="CJ153" i="45"/>
  <c r="CH102" i="47" s="1"/>
  <c r="CC6" i="97" s="1"/>
  <c r="CE5" i="53"/>
  <c r="CC8" i="97"/>
  <c r="CH115" i="47"/>
  <c r="CH118" i="47" s="1"/>
  <c r="CI72" i="47"/>
  <c r="CK125" i="45"/>
  <c r="CH105" i="47" l="1"/>
  <c r="CJ155" i="45"/>
  <c r="CE6" i="53"/>
  <c r="CE7" i="53" s="1"/>
  <c r="CI24" i="47"/>
  <c r="CI25" i="47" s="1"/>
  <c r="CH79" i="47"/>
  <c r="CH125" i="47" s="1"/>
  <c r="CC7" i="97"/>
  <c r="CC9" i="97" s="1"/>
  <c r="CH83" i="47"/>
  <c r="CH127" i="47" l="1"/>
  <c r="CC11" i="97" s="1"/>
  <c r="CC12" i="97" s="1"/>
  <c r="CJ157" i="45"/>
  <c r="CL86" i="45"/>
  <c r="CJ32" i="47"/>
  <c r="CK29" i="47" s="1"/>
  <c r="CH80" i="47"/>
  <c r="CK126" i="45"/>
  <c r="CJ22" i="47"/>
  <c r="CL85" i="45" s="1"/>
  <c r="CH128" i="47" l="1"/>
  <c r="CH131" i="47" s="1"/>
  <c r="CI10" i="47"/>
  <c r="CI11" i="47" s="1"/>
  <c r="CE9" i="53"/>
  <c r="CE10" i="53" s="1"/>
  <c r="CE13" i="53" s="1"/>
  <c r="CK128" i="45"/>
  <c r="CK132" i="45" s="1"/>
  <c r="CI35" i="47" l="1"/>
  <c r="CI37" i="47" s="1"/>
  <c r="CJ8" i="47"/>
  <c r="CK134" i="45"/>
  <c r="CL83" i="45" l="1"/>
  <c r="CL87" i="45" s="1"/>
  <c r="CL91" i="45" s="1"/>
  <c r="CL93" i="45" s="1"/>
  <c r="CL114" i="45" s="1"/>
  <c r="CL116" i="45" s="1"/>
  <c r="CK140" i="45"/>
  <c r="CK141" i="45" s="1"/>
  <c r="CK135" i="45"/>
  <c r="CI43" i="47" s="1"/>
  <c r="CI45" i="47" s="1"/>
  <c r="CJ41" i="47" s="1"/>
  <c r="CK142" i="45" l="1"/>
  <c r="CI93" i="47" s="1"/>
  <c r="CI99" i="47"/>
  <c r="CI100" i="47" s="1"/>
  <c r="CJ97" i="47" s="1"/>
  <c r="CJ44" i="47"/>
  <c r="CL117" i="45" s="1"/>
  <c r="CL118" i="45" l="1"/>
  <c r="CL130" i="45"/>
  <c r="CK143" i="45"/>
  <c r="CI94" i="47"/>
  <c r="CJ91" i="47" s="1"/>
  <c r="CK146" i="45" l="1"/>
  <c r="CK147" i="45" s="1"/>
  <c r="CK148" i="45" s="1"/>
  <c r="CJ98" i="47"/>
  <c r="CJ23" i="47"/>
  <c r="CJ8" i="71"/>
  <c r="CJ10" i="71" s="1"/>
  <c r="CL120" i="45"/>
  <c r="CL122" i="45" s="1"/>
  <c r="CL125" i="45" l="1"/>
  <c r="CF6" i="53" s="1"/>
  <c r="CK149" i="45"/>
  <c r="CI67" i="47"/>
  <c r="CF5" i="53"/>
  <c r="CI73" i="47"/>
  <c r="CI74" i="47" s="1"/>
  <c r="CJ71" i="47" s="1"/>
  <c r="CJ24" i="47" l="1"/>
  <c r="CJ25" i="47" s="1"/>
  <c r="CK22" i="47" s="1"/>
  <c r="CM85" i="45" s="1"/>
  <c r="CM86" i="45"/>
  <c r="CK32" i="47"/>
  <c r="CL29" i="47" s="1"/>
  <c r="CF7" i="53"/>
  <c r="CI68" i="47"/>
  <c r="CJ66" i="47" s="1"/>
  <c r="CK154" i="45"/>
  <c r="CI114" i="47" s="1"/>
  <c r="CK153" i="45"/>
  <c r="CI102" i="47" s="1"/>
  <c r="CK152" i="45"/>
  <c r="CL126" i="45" l="1"/>
  <c r="CD8" i="97"/>
  <c r="CI115" i="47"/>
  <c r="CI118" i="47" s="1"/>
  <c r="CD6" i="97"/>
  <c r="CI105" i="47"/>
  <c r="CJ72" i="47"/>
  <c r="CJ10" i="47"/>
  <c r="CJ11" i="47" s="1"/>
  <c r="CF9" i="53"/>
  <c r="CF10" i="53" s="1"/>
  <c r="CF13" i="53" s="1"/>
  <c r="CL128" i="45"/>
  <c r="CI76" i="47"/>
  <c r="CK155" i="45"/>
  <c r="CI127" i="47" s="1"/>
  <c r="CD11" i="97" s="1"/>
  <c r="CK157" i="45" l="1"/>
  <c r="CL132" i="45"/>
  <c r="P156" i="26"/>
  <c r="CK8" i="47"/>
  <c r="CJ35" i="47"/>
  <c r="CJ37" i="47" s="1"/>
  <c r="CL134" i="45"/>
  <c r="CI78" i="47"/>
  <c r="CD7" i="97" l="1"/>
  <c r="CD9" i="97" s="1"/>
  <c r="CD12" i="97" s="1"/>
  <c r="CI83" i="47"/>
  <c r="CI79" i="47"/>
  <c r="CI125" i="47" s="1"/>
  <c r="CI128" i="47" s="1"/>
  <c r="CI131" i="47" s="1"/>
  <c r="CL140" i="45"/>
  <c r="CL141" i="45" s="1"/>
  <c r="CL142" i="45" s="1"/>
  <c r="CM83" i="45"/>
  <c r="CM87" i="45" s="1"/>
  <c r="CM91" i="45" s="1"/>
  <c r="CM93" i="45" s="1"/>
  <c r="CM114" i="45" s="1"/>
  <c r="CM116" i="45" s="1"/>
  <c r="CL135" i="45"/>
  <c r="CJ43" i="47" s="1"/>
  <c r="CJ45" i="47" s="1"/>
  <c r="CK41" i="47" s="1"/>
  <c r="CJ99" i="47" l="1"/>
  <c r="CJ100" i="47" s="1"/>
  <c r="CK97" i="47" s="1"/>
  <c r="CL143" i="45"/>
  <c r="CJ93" i="47"/>
  <c r="CI80" i="47"/>
  <c r="CK44" i="47"/>
  <c r="CM117" i="45" s="1"/>
  <c r="CM118" i="45" s="1"/>
  <c r="CK23" i="47" l="1"/>
  <c r="CK8" i="71"/>
  <c r="CK10" i="71" s="1"/>
  <c r="CM130" i="45"/>
  <c r="CL146" i="45"/>
  <c r="CL147" i="45" s="1"/>
  <c r="DP143" i="45"/>
  <c r="CM120" i="45"/>
  <c r="CM122" i="45" s="1"/>
  <c r="CJ94" i="47"/>
  <c r="CK91" i="47" s="1"/>
  <c r="CK98" i="47" l="1"/>
  <c r="CG5" i="53"/>
  <c r="CM125" i="45"/>
  <c r="CL148" i="45"/>
  <c r="CJ67" i="47" s="1"/>
  <c r="CJ73" i="47"/>
  <c r="CJ74" i="47" s="1"/>
  <c r="CK71" i="47" s="1"/>
  <c r="CJ68" i="47" l="1"/>
  <c r="CK66" i="47" s="1"/>
  <c r="CL149" i="45"/>
  <c r="CK24" i="47"/>
  <c r="CK25" i="47" s="1"/>
  <c r="CG6" i="53"/>
  <c r="CG7" i="53" s="1"/>
  <c r="CN86" i="45" l="1"/>
  <c r="CL32" i="47"/>
  <c r="CM29" i="47" s="1"/>
  <c r="CL154" i="45"/>
  <c r="CJ114" i="47" s="1"/>
  <c r="CL153" i="45"/>
  <c r="CJ102" i="47" s="1"/>
  <c r="CL152" i="45"/>
  <c r="DP149" i="45"/>
  <c r="CL22" i="47"/>
  <c r="CN85" i="45" s="1"/>
  <c r="CM126" i="45"/>
  <c r="CK72" i="47"/>
  <c r="CL155" i="45" l="1"/>
  <c r="CJ127" i="47" s="1"/>
  <c r="CE11" i="97" s="1"/>
  <c r="CK10" i="47"/>
  <c r="CK11" i="47" s="1"/>
  <c r="CG9" i="53"/>
  <c r="CG10" i="53" s="1"/>
  <c r="CG13" i="53" s="1"/>
  <c r="CM128" i="45"/>
  <c r="CJ76" i="47"/>
  <c r="CE6" i="97"/>
  <c r="CJ105" i="47"/>
  <c r="CE8" i="97"/>
  <c r="CJ115" i="47"/>
  <c r="CJ118" i="47" s="1"/>
  <c r="CL157" i="45" l="1"/>
  <c r="CM132" i="45"/>
  <c r="CJ78" i="47"/>
  <c r="CJ79" i="47" s="1"/>
  <c r="CJ125" i="47" s="1"/>
  <c r="CJ128" i="47" s="1"/>
  <c r="CJ131" i="47" s="1"/>
  <c r="CL8" i="47"/>
  <c r="CK35" i="47"/>
  <c r="CK37" i="47" s="1"/>
  <c r="CM134" i="45"/>
  <c r="CM140" i="45" l="1"/>
  <c r="CM141" i="45" s="1"/>
  <c r="CN83" i="45"/>
  <c r="CN87" i="45" s="1"/>
  <c r="CN91" i="45" s="1"/>
  <c r="CN93" i="45" s="1"/>
  <c r="CN114" i="45" s="1"/>
  <c r="CN116" i="45" s="1"/>
  <c r="CJ83" i="47"/>
  <c r="CE7" i="97"/>
  <c r="CE9" i="97" s="1"/>
  <c r="CE12" i="97" s="1"/>
  <c r="CJ80" i="47"/>
  <c r="CM135" i="45"/>
  <c r="CK43" i="47" s="1"/>
  <c r="CK45" i="47" s="1"/>
  <c r="CL41" i="47" s="1"/>
  <c r="CL44" i="47" l="1"/>
  <c r="CN117" i="45" s="1"/>
  <c r="CN118" i="45" s="1"/>
  <c r="CM142" i="45"/>
  <c r="CK93" i="47" s="1"/>
  <c r="CK99" i="47"/>
  <c r="CK100" i="47" s="1"/>
  <c r="CL97" i="47" s="1"/>
  <c r="CK94" i="47" l="1"/>
  <c r="CL91" i="47" s="1"/>
  <c r="CL98" i="47" s="1"/>
  <c r="CM143" i="45"/>
  <c r="CN120" i="45"/>
  <c r="CN122" i="45" s="1"/>
  <c r="CL8" i="71"/>
  <c r="CL10" i="71" s="1"/>
  <c r="CL23" i="47"/>
  <c r="CN130" i="45"/>
  <c r="CN125" i="45" l="1"/>
  <c r="CH5" i="53"/>
  <c r="CM146" i="45"/>
  <c r="CM147" i="45" s="1"/>
  <c r="CM148" i="45" s="1"/>
  <c r="CL24" i="47" l="1"/>
  <c r="CL25" i="47" s="1"/>
  <c r="CN126" i="45" s="1"/>
  <c r="CO86" i="45"/>
  <c r="CM32" i="47"/>
  <c r="CN29" i="47" s="1"/>
  <c r="CH6" i="53"/>
  <c r="CH7" i="53" s="1"/>
  <c r="CM149" i="45"/>
  <c r="CK67" i="47"/>
  <c r="CK73" i="47"/>
  <c r="CK74" i="47" s="1"/>
  <c r="CL71" i="47" s="1"/>
  <c r="CM22" i="47" l="1"/>
  <c r="CO85" i="45" s="1"/>
  <c r="CK68" i="47"/>
  <c r="CL66" i="47" s="1"/>
  <c r="CM152" i="45"/>
  <c r="CM154" i="45"/>
  <c r="CK114" i="47" s="1"/>
  <c r="CM153" i="45"/>
  <c r="CK102" i="47" s="1"/>
  <c r="CL10" i="47"/>
  <c r="CL11" i="47" s="1"/>
  <c r="CH9" i="53"/>
  <c r="CH10" i="53" s="1"/>
  <c r="CH13" i="53" s="1"/>
  <c r="CN128" i="45"/>
  <c r="CM155" i="45" l="1"/>
  <c r="CK127" i="47" s="1"/>
  <c r="CF11" i="97" s="1"/>
  <c r="CL35" i="47"/>
  <c r="CL37" i="47" s="1"/>
  <c r="CM8" i="47"/>
  <c r="CK76" i="47"/>
  <c r="CF6" i="97"/>
  <c r="CK105" i="47"/>
  <c r="CL72" i="47"/>
  <c r="CN132" i="45"/>
  <c r="CF8" i="97"/>
  <c r="CK115" i="47"/>
  <c r="CK118" i="47" s="1"/>
  <c r="CM157" i="45" l="1"/>
  <c r="CN134" i="45"/>
  <c r="CN135" i="45" s="1"/>
  <c r="CL43" i="47" s="1"/>
  <c r="CL45" i="47" s="1"/>
  <c r="CM41" i="47" s="1"/>
  <c r="CK78" i="47"/>
  <c r="CK79" i="47" s="1"/>
  <c r="CK125" i="47" s="1"/>
  <c r="CK128" i="47" s="1"/>
  <c r="CK131" i="47" s="1"/>
  <c r="CO83" i="45"/>
  <c r="CO87" i="45" s="1"/>
  <c r="CO91" i="45" s="1"/>
  <c r="CO93" i="45" s="1"/>
  <c r="CO114" i="45" s="1"/>
  <c r="CO116" i="45" s="1"/>
  <c r="CK83" i="47" l="1"/>
  <c r="CK80" i="47"/>
  <c r="CF7" i="97"/>
  <c r="CF9" i="97" s="1"/>
  <c r="CF12" i="97" s="1"/>
  <c r="CN140" i="45"/>
  <c r="CM44" i="47"/>
  <c r="CO117" i="45" s="1"/>
  <c r="CO118" i="45" s="1"/>
  <c r="CO120" i="45" s="1"/>
  <c r="CO122" i="45" s="1"/>
  <c r="CI5" i="53" l="1"/>
  <c r="CL99" i="47"/>
  <c r="CL100" i="47" s="1"/>
  <c r="CM97" i="47" s="1"/>
  <c r="CN141" i="45"/>
  <c r="CM23" i="47"/>
  <c r="CO125" i="45" s="1"/>
  <c r="CM8" i="71"/>
  <c r="CM10" i="71" s="1"/>
  <c r="CO130" i="45"/>
  <c r="CM24" i="47" l="1"/>
  <c r="CM25" i="47" s="1"/>
  <c r="CI6" i="53"/>
  <c r="CI7" i="53" s="1"/>
  <c r="CN142" i="45"/>
  <c r="CN143" i="45" s="1"/>
  <c r="CN146" i="45" s="1"/>
  <c r="CP86" i="45" l="1"/>
  <c r="P114" i="26" s="1"/>
  <c r="CN32" i="47"/>
  <c r="CO29" i="47" s="1"/>
  <c r="CN147" i="45"/>
  <c r="CL73" i="47"/>
  <c r="CL74" i="47" s="1"/>
  <c r="CM71" i="47" s="1"/>
  <c r="CL93" i="47"/>
  <c r="CN22" i="47"/>
  <c r="CP85" i="45" s="1"/>
  <c r="P113" i="26" s="1"/>
  <c r="CO126" i="45"/>
  <c r="CM10" i="47" l="1"/>
  <c r="CM11" i="47" s="1"/>
  <c r="CI9" i="53"/>
  <c r="CI10" i="53" s="1"/>
  <c r="CI13" i="53" s="1"/>
  <c r="CO128" i="45"/>
  <c r="CL94" i="47"/>
  <c r="CM91" i="47" s="1"/>
  <c r="CN148" i="45"/>
  <c r="CN149" i="45" s="1"/>
  <c r="CN153" i="45" l="1"/>
  <c r="CL102" i="47" s="1"/>
  <c r="CN154" i="45"/>
  <c r="CL114" i="47" s="1"/>
  <c r="CN152" i="45"/>
  <c r="CL76" i="47" s="1"/>
  <c r="CL67" i="47"/>
  <c r="CM98" i="47"/>
  <c r="CO132" i="45"/>
  <c r="CN8" i="47"/>
  <c r="CM35" i="47"/>
  <c r="CM37" i="47" s="1"/>
  <c r="CO134" i="45"/>
  <c r="CO140" i="45" s="1"/>
  <c r="CL78" i="47" l="1"/>
  <c r="CL79" i="47" s="1"/>
  <c r="CL125" i="47" s="1"/>
  <c r="CO135" i="45"/>
  <c r="CM43" i="47" s="1"/>
  <c r="CM45" i="47" s="1"/>
  <c r="CN41" i="47" s="1"/>
  <c r="CN155" i="45"/>
  <c r="CL127" i="47" s="1"/>
  <c r="CG11" i="97" s="1"/>
  <c r="CP83" i="45"/>
  <c r="CL68" i="47"/>
  <c r="CM66" i="47" s="1"/>
  <c r="CL115" i="47"/>
  <c r="CL118" i="47" s="1"/>
  <c r="CG8" i="97"/>
  <c r="CO141" i="45"/>
  <c r="CM99" i="47"/>
  <c r="CM100" i="47" s="1"/>
  <c r="CN97" i="47" s="1"/>
  <c r="CL105" i="47"/>
  <c r="CG6" i="97"/>
  <c r="CG7" i="97" l="1"/>
  <c r="CG9" i="97" s="1"/>
  <c r="CG12" i="97" s="1"/>
  <c r="CL83" i="47"/>
  <c r="CL80" i="47"/>
  <c r="CL128" i="47"/>
  <c r="CL131" i="47" s="1"/>
  <c r="CN157" i="45"/>
  <c r="CO142" i="45"/>
  <c r="CO143" i="45" s="1"/>
  <c r="CO146" i="45" s="1"/>
  <c r="CM72" i="47"/>
  <c r="CP87" i="45"/>
  <c r="CP91" i="45" s="1"/>
  <c r="CP93" i="45" s="1"/>
  <c r="CP114" i="45" s="1"/>
  <c r="CP116" i="45" s="1"/>
  <c r="P111" i="26"/>
  <c r="P115" i="26" s="1"/>
  <c r="P119" i="26" s="1"/>
  <c r="P121" i="26" s="1"/>
  <c r="P142" i="26" s="1"/>
  <c r="CO147" i="45" l="1"/>
  <c r="CM73" i="47"/>
  <c r="CM74" i="47" s="1"/>
  <c r="CN71" i="47" s="1"/>
  <c r="CN44" i="47"/>
  <c r="CM93" i="47"/>
  <c r="CM94" i="47" l="1"/>
  <c r="CN91" i="47" s="1"/>
  <c r="CN98" i="47" s="1"/>
  <c r="CP117" i="45"/>
  <c r="CP130" i="45"/>
  <c r="P158" i="26" s="1"/>
  <c r="CO148" i="45"/>
  <c r="CO149" i="45" s="1"/>
  <c r="CO153" i="45" l="1"/>
  <c r="CM102" i="47" s="1"/>
  <c r="CO154" i="45"/>
  <c r="CM114" i="47" s="1"/>
  <c r="CO152" i="45"/>
  <c r="CM76" i="47" s="1"/>
  <c r="CM67" i="47"/>
  <c r="P145" i="26"/>
  <c r="CP118" i="45"/>
  <c r="CO155" i="45" l="1"/>
  <c r="CM127" i="47" s="1"/>
  <c r="CH11" i="97" s="1"/>
  <c r="CM78" i="47"/>
  <c r="CM68" i="47"/>
  <c r="CN66" i="47" s="1"/>
  <c r="CN72" i="47" s="1"/>
  <c r="CP120" i="45"/>
  <c r="CP122" i="45" s="1"/>
  <c r="CN8" i="71"/>
  <c r="CN10" i="71" s="1"/>
  <c r="CN23" i="47"/>
  <c r="P146" i="26"/>
  <c r="P148" i="26" s="1"/>
  <c r="P150" i="26" s="1"/>
  <c r="CH8" i="97"/>
  <c r="CM115" i="47"/>
  <c r="CM118" i="47" s="1"/>
  <c r="CM105" i="47"/>
  <c r="CH6" i="97"/>
  <c r="CO157" i="45" l="1"/>
  <c r="CP125" i="45"/>
  <c r="CJ5" i="53"/>
  <c r="CM79" i="47"/>
  <c r="CM125" i="47" s="1"/>
  <c r="CM128" i="47" s="1"/>
  <c r="CM131" i="47" s="1"/>
  <c r="CM83" i="47"/>
  <c r="CH7" i="97"/>
  <c r="CH9" i="97" s="1"/>
  <c r="CH12" i="97" s="1"/>
  <c r="CM80" i="47" l="1"/>
  <c r="CN24" i="47"/>
  <c r="CN25" i="47" s="1"/>
  <c r="CJ6" i="53"/>
  <c r="CJ7" i="53" s="1"/>
  <c r="P153" i="26"/>
  <c r="CQ86" i="45" l="1"/>
  <c r="CO32" i="47"/>
  <c r="CP29" i="47" s="1"/>
  <c r="CO22" i="47"/>
  <c r="CQ85" i="45" s="1"/>
  <c r="CP126" i="45"/>
  <c r="CN10" i="47" l="1"/>
  <c r="CN11" i="47" s="1"/>
  <c r="P177" i="26" s="1"/>
  <c r="CJ9" i="53"/>
  <c r="CJ10" i="53" s="1"/>
  <c r="CJ13" i="53" s="1"/>
  <c r="P154" i="26"/>
  <c r="CP128" i="45"/>
  <c r="CP132" i="45" l="1"/>
  <c r="CN35" i="47"/>
  <c r="CN37" i="47" s="1"/>
  <c r="O178" i="26"/>
  <c r="CO8" i="47"/>
  <c r="CQ83" i="45" l="1"/>
  <c r="CQ87" i="45" s="1"/>
  <c r="CQ91" i="45" s="1"/>
  <c r="CQ93" i="45" s="1"/>
  <c r="CQ114" i="45" s="1"/>
  <c r="CQ116" i="45" s="1"/>
  <c r="CP134" i="45"/>
  <c r="CP140" i="45" l="1"/>
  <c r="CP141" i="45" s="1"/>
  <c r="CP135" i="45"/>
  <c r="CN43" i="47" s="1"/>
  <c r="CN45" i="47" s="1"/>
  <c r="CP142" i="45" l="1"/>
  <c r="CN93" i="47" s="1"/>
  <c r="CO41" i="47"/>
  <c r="CN99" i="47"/>
  <c r="CN100" i="47" s="1"/>
  <c r="CO97" i="47" s="1"/>
  <c r="CP143" i="45" l="1"/>
  <c r="CP146" i="45" s="1"/>
  <c r="CP147" i="45" s="1"/>
  <c r="CO44" i="47"/>
  <c r="CQ117" i="45" s="1"/>
  <c r="CN94" i="47"/>
  <c r="CO91" i="47" s="1"/>
  <c r="CQ118" i="45" l="1"/>
  <c r="CQ120" i="45" s="1"/>
  <c r="CQ122" i="45" s="1"/>
  <c r="CP148" i="45"/>
  <c r="CN67" i="47" s="1"/>
  <c r="CO98" i="47"/>
  <c r="CQ130" i="45"/>
  <c r="CN73" i="47"/>
  <c r="CN74" i="47" s="1"/>
  <c r="CO71" i="47" s="1"/>
  <c r="CP149" i="45" l="1"/>
  <c r="CP152" i="45" s="1"/>
  <c r="CK5" i="53"/>
  <c r="CN68" i="47"/>
  <c r="CO8" i="71"/>
  <c r="CO10" i="71" s="1"/>
  <c r="CO23" i="47"/>
  <c r="CQ125" i="45" s="1"/>
  <c r="CP153" i="45" l="1"/>
  <c r="CN102" i="47" s="1"/>
  <c r="CI6" i="97" s="1"/>
  <c r="CP154" i="45"/>
  <c r="CN114" i="47" s="1"/>
  <c r="CI8" i="97" s="1"/>
  <c r="J18" i="97" s="1"/>
  <c r="O215" i="26" s="1"/>
  <c r="CK6" i="53"/>
  <c r="CK7" i="53" s="1"/>
  <c r="CO24" i="47"/>
  <c r="CO25" i="47" s="1"/>
  <c r="CN76" i="47"/>
  <c r="CO66" i="47"/>
  <c r="O182" i="26"/>
  <c r="CN105" i="47" l="1"/>
  <c r="CN115" i="47"/>
  <c r="CN118" i="47" s="1"/>
  <c r="O249" i="26" s="1"/>
  <c r="CP155" i="45"/>
  <c r="CN127" i="47" s="1"/>
  <c r="CI11" i="97" s="1"/>
  <c r="J21" i="97" s="1"/>
  <c r="CR86" i="45"/>
  <c r="CP32" i="47"/>
  <c r="CQ29" i="47" s="1"/>
  <c r="O237" i="26"/>
  <c r="G237" i="26" s="1"/>
  <c r="CN78" i="47"/>
  <c r="CN79" i="47" s="1"/>
  <c r="CN125" i="47" s="1"/>
  <c r="O183" i="26"/>
  <c r="O238" i="26" s="1"/>
  <c r="G238" i="26" s="1"/>
  <c r="O232" i="26"/>
  <c r="G232" i="26" s="1"/>
  <c r="CQ126" i="45"/>
  <c r="CP22" i="47"/>
  <c r="CR85" i="45" s="1"/>
  <c r="J16" i="97"/>
  <c r="CO72" i="47"/>
  <c r="O248" i="26"/>
  <c r="CP157" i="45" l="1"/>
  <c r="CN128" i="47"/>
  <c r="CN131" i="47" s="1"/>
  <c r="P165" i="26"/>
  <c r="O184" i="26"/>
  <c r="CO10" i="47"/>
  <c r="CO11" i="47" s="1"/>
  <c r="CK9" i="53"/>
  <c r="CK10" i="53" s="1"/>
  <c r="CK13" i="53" s="1"/>
  <c r="CQ128" i="45"/>
  <c r="I232" i="26"/>
  <c r="R228" i="26"/>
  <c r="O239" i="26"/>
  <c r="G239" i="26" s="1"/>
  <c r="O206" i="26"/>
  <c r="O225" i="26" s="1"/>
  <c r="G225" i="26" s="1"/>
  <c r="O207" i="26"/>
  <c r="O226" i="26" s="1"/>
  <c r="G226" i="26" s="1"/>
  <c r="O205" i="26"/>
  <c r="CI7" i="97"/>
  <c r="CN83" i="47"/>
  <c r="CN80" i="47"/>
  <c r="O250" i="26" l="1"/>
  <c r="I225" i="26"/>
  <c r="R226" i="26"/>
  <c r="I226" i="26"/>
  <c r="CQ132" i="45"/>
  <c r="O208" i="26"/>
  <c r="O224" i="26"/>
  <c r="O247" i="26"/>
  <c r="J17" i="97"/>
  <c r="CI9" i="97"/>
  <c r="P164" i="26" s="1"/>
  <c r="CO35" i="47"/>
  <c r="CO37" i="47" s="1"/>
  <c r="CP8" i="47"/>
  <c r="CQ134" i="45"/>
  <c r="O251" i="26" l="1"/>
  <c r="G224" i="26"/>
  <c r="O212" i="26"/>
  <c r="O230" i="26" s="1"/>
  <c r="G230" i="26" s="1"/>
  <c r="O211" i="26"/>
  <c r="J19" i="97"/>
  <c r="J22" i="97" s="1"/>
  <c r="CR83" i="45"/>
  <c r="CR87" i="45" s="1"/>
  <c r="CR91" i="45" s="1"/>
  <c r="CR93" i="45" s="1"/>
  <c r="CR114" i="45" s="1"/>
  <c r="CR116" i="45" s="1"/>
  <c r="CQ135" i="45"/>
  <c r="CO43" i="47" s="1"/>
  <c r="CO45" i="47" s="1"/>
  <c r="CP41" i="47" s="1"/>
  <c r="CQ140" i="45"/>
  <c r="CI12" i="97"/>
  <c r="CP44" i="47" l="1"/>
  <c r="CR117" i="45" s="1"/>
  <c r="CO99" i="47"/>
  <c r="CO100" i="47" s="1"/>
  <c r="CP97" i="47" s="1"/>
  <c r="O213" i="26"/>
  <c r="O216" i="26" s="1"/>
  <c r="O229" i="26"/>
  <c r="O195" i="26"/>
  <c r="G195" i="26" s="1"/>
  <c r="H224" i="26" s="1"/>
  <c r="H225" i="26" s="1"/>
  <c r="H226" i="26" s="1"/>
  <c r="H229" i="26" s="1"/>
  <c r="H230" i="26" s="1"/>
  <c r="H232" i="26" s="1"/>
  <c r="H234" i="26" s="1"/>
  <c r="O167" i="26"/>
  <c r="O169" i="26" s="1"/>
  <c r="O160" i="26"/>
  <c r="O196" i="26"/>
  <c r="O197" i="26" s="1"/>
  <c r="O198" i="26" s="1"/>
  <c r="O168" i="26"/>
  <c r="I230" i="26"/>
  <c r="R227" i="26"/>
  <c r="CQ141" i="45"/>
  <c r="I224" i="26"/>
  <c r="R224" i="26"/>
  <c r="CR130" i="45" l="1"/>
  <c r="G229" i="26"/>
  <c r="O234" i="26"/>
  <c r="CQ142" i="45"/>
  <c r="CQ143" i="45" s="1"/>
  <c r="CQ146" i="45" s="1"/>
  <c r="CR118" i="45"/>
  <c r="CQ147" i="45" l="1"/>
  <c r="CO73" i="47"/>
  <c r="CO74" i="47" s="1"/>
  <c r="CP71" i="47" s="1"/>
  <c r="CO93" i="47"/>
  <c r="CR120" i="45"/>
  <c r="CR122" i="45" s="1"/>
  <c r="CP8" i="71"/>
  <c r="CP10" i="71" s="1"/>
  <c r="CP23" i="47"/>
  <c r="I229" i="26"/>
  <c r="R225" i="26"/>
  <c r="R229" i="26" s="1"/>
  <c r="G234" i="26"/>
  <c r="CR125" i="45" l="1"/>
  <c r="CL6" i="53" s="1"/>
  <c r="CL5" i="53"/>
  <c r="CO94" i="47"/>
  <c r="CP91" i="47" s="1"/>
  <c r="CP98" i="47" s="1"/>
  <c r="CQ148" i="45"/>
  <c r="CQ149" i="45" s="1"/>
  <c r="CS86" i="45" l="1"/>
  <c r="CQ32" i="47"/>
  <c r="CR29" i="47" s="1"/>
  <c r="CP24" i="47"/>
  <c r="CP25" i="47" s="1"/>
  <c r="CQ22" i="47" s="1"/>
  <c r="CS85" i="45" s="1"/>
  <c r="CQ153" i="45"/>
  <c r="CO102" i="47" s="1"/>
  <c r="CQ154" i="45"/>
  <c r="CO114" i="47" s="1"/>
  <c r="CQ152" i="45"/>
  <c r="CO76" i="47" s="1"/>
  <c r="CO67" i="47"/>
  <c r="CL7" i="53"/>
  <c r="CR126" i="45" l="1"/>
  <c r="CR128" i="45" s="1"/>
  <c r="CR132" i="45" s="1"/>
  <c r="CO78" i="47"/>
  <c r="CO79" i="47" s="1"/>
  <c r="CO68" i="47"/>
  <c r="CP66" i="47" s="1"/>
  <c r="CJ6" i="97"/>
  <c r="CO105" i="47"/>
  <c r="CQ155" i="45"/>
  <c r="CO115" i="47"/>
  <c r="CO118" i="47" s="1"/>
  <c r="CJ8" i="97"/>
  <c r="CP10" i="47" l="1"/>
  <c r="CP11" i="47" s="1"/>
  <c r="CQ8" i="47" s="1"/>
  <c r="CL9" i="53"/>
  <c r="CL10" i="53" s="1"/>
  <c r="CL13" i="53" s="1"/>
  <c r="CJ7" i="97"/>
  <c r="CJ9" i="97" s="1"/>
  <c r="CO83" i="47"/>
  <c r="CO125" i="47"/>
  <c r="CO80" i="47"/>
  <c r="CO127" i="47"/>
  <c r="CJ11" i="97" s="1"/>
  <c r="CQ157" i="45"/>
  <c r="CP72" i="47"/>
  <c r="CR134" i="45" l="1"/>
  <c r="CR135" i="45" s="1"/>
  <c r="CP43" i="47" s="1"/>
  <c r="CP45" i="47" s="1"/>
  <c r="CQ41" i="47" s="1"/>
  <c r="CP35" i="47"/>
  <c r="CP37" i="47" s="1"/>
  <c r="CS83" i="45"/>
  <c r="CS87" i="45" s="1"/>
  <c r="CS91" i="45" s="1"/>
  <c r="CS93" i="45" s="1"/>
  <c r="CS114" i="45" s="1"/>
  <c r="CS116" i="45" s="1"/>
  <c r="CJ12" i="97"/>
  <c r="CO128" i="47"/>
  <c r="CR140" i="45" l="1"/>
  <c r="CP99" i="47" s="1"/>
  <c r="CP100" i="47" s="1"/>
  <c r="CQ97" i="47" s="1"/>
  <c r="CO131" i="47"/>
  <c r="CQ44" i="47"/>
  <c r="CS117" i="45" s="1"/>
  <c r="CR141" i="45" l="1"/>
  <c r="CR142" i="45"/>
  <c r="CR143" i="45" s="1"/>
  <c r="CS130" i="45"/>
  <c r="CS118" i="45"/>
  <c r="CR146" i="45" l="1"/>
  <c r="CP73" i="47" s="1"/>
  <c r="CP74" i="47" s="1"/>
  <c r="CQ71" i="47" s="1"/>
  <c r="CQ8" i="71"/>
  <c r="CQ10" i="71" s="1"/>
  <c r="CQ23" i="47"/>
  <c r="CP93" i="47"/>
  <c r="CS120" i="45"/>
  <c r="CS122" i="45" s="1"/>
  <c r="CR147" i="45" l="1"/>
  <c r="CR148" i="45" s="1"/>
  <c r="CP94" i="47"/>
  <c r="CQ91" i="47" s="1"/>
  <c r="CS125" i="45"/>
  <c r="CM5" i="53"/>
  <c r="CP67" i="47" l="1"/>
  <c r="CR149" i="45"/>
  <c r="CM6" i="53"/>
  <c r="CM7" i="53" s="1"/>
  <c r="CQ24" i="47"/>
  <c r="CQ25" i="47" s="1"/>
  <c r="CQ98" i="47"/>
  <c r="CT86" i="45" l="1"/>
  <c r="CR32" i="47"/>
  <c r="CS29" i="47" s="1"/>
  <c r="CS126" i="45"/>
  <c r="CR22" i="47"/>
  <c r="CT85" i="45" s="1"/>
  <c r="CR153" i="45"/>
  <c r="CP102" i="47" s="1"/>
  <c r="CR152" i="45"/>
  <c r="CR154" i="45"/>
  <c r="CP114" i="47" s="1"/>
  <c r="CP68" i="47"/>
  <c r="CQ66" i="47" s="1"/>
  <c r="CR155" i="45" l="1"/>
  <c r="CP127" i="47" s="1"/>
  <c r="CK11" i="97" s="1"/>
  <c r="CQ72" i="47"/>
  <c r="CK6" i="97"/>
  <c r="CP105" i="47"/>
  <c r="CK8" i="97"/>
  <c r="CP115" i="47"/>
  <c r="CP118" i="47" s="1"/>
  <c r="CP76" i="47"/>
  <c r="CP78" i="47" s="1"/>
  <c r="CQ10" i="47"/>
  <c r="CQ11" i="47" s="1"/>
  <c r="CM9" i="53"/>
  <c r="CM10" i="53" s="1"/>
  <c r="CM13" i="53" s="1"/>
  <c r="CS128" i="45"/>
  <c r="CS132" i="45" s="1"/>
  <c r="CR157" i="45" l="1"/>
  <c r="CQ35" i="47"/>
  <c r="CQ37" i="47" s="1"/>
  <c r="CR8" i="47"/>
  <c r="CS134" i="45"/>
  <c r="CS135" i="45" s="1"/>
  <c r="CQ43" i="47" s="1"/>
  <c r="CQ45" i="47" s="1"/>
  <c r="CR41" i="47" s="1"/>
  <c r="CP79" i="47"/>
  <c r="CP125" i="47" s="1"/>
  <c r="CP128" i="47" s="1"/>
  <c r="CP83" i="47"/>
  <c r="CK7" i="97"/>
  <c r="CP80" i="47" l="1"/>
  <c r="CK9" i="97"/>
  <c r="CP131" i="47"/>
  <c r="CS140" i="45"/>
  <c r="CS141" i="45" s="1"/>
  <c r="CS142" i="45" s="1"/>
  <c r="CT83" i="45"/>
  <c r="CT87" i="45" s="1"/>
  <c r="CT91" i="45" s="1"/>
  <c r="CT93" i="45" s="1"/>
  <c r="CT114" i="45" s="1"/>
  <c r="CT116" i="45" s="1"/>
  <c r="CS143" i="45" l="1"/>
  <c r="CQ93" i="47"/>
  <c r="CQ99" i="47"/>
  <c r="CQ100" i="47" s="1"/>
  <c r="CR97" i="47" s="1"/>
  <c r="CR44" i="47"/>
  <c r="CK12" i="97"/>
  <c r="CT117" i="45" l="1"/>
  <c r="CT130" i="45"/>
  <c r="CQ94" i="47"/>
  <c r="CR91" i="47" s="1"/>
  <c r="CS146" i="45"/>
  <c r="CS147" i="45" s="1"/>
  <c r="CS148" i="45" s="1"/>
  <c r="CS149" i="45" l="1"/>
  <c r="CQ67" i="47"/>
  <c r="CQ73" i="47"/>
  <c r="CQ74" i="47" s="1"/>
  <c r="CR71" i="47" s="1"/>
  <c r="CR98" i="47"/>
  <c r="CT118" i="45"/>
  <c r="CT120" i="45" l="1"/>
  <c r="CT122" i="45" s="1"/>
  <c r="CR8" i="71"/>
  <c r="CR10" i="71" s="1"/>
  <c r="CR23" i="47"/>
  <c r="CQ68" i="47"/>
  <c r="CR66" i="47" s="1"/>
  <c r="CS153" i="45"/>
  <c r="CQ102" i="47" s="1"/>
  <c r="CS152" i="45"/>
  <c r="CS154" i="45"/>
  <c r="CQ114" i="47" s="1"/>
  <c r="CS155" i="45" l="1"/>
  <c r="CQ127" i="47" s="1"/>
  <c r="CL11" i="97" s="1"/>
  <c r="CR72" i="47"/>
  <c r="CL6" i="97"/>
  <c r="CQ105" i="47"/>
  <c r="CQ76" i="47"/>
  <c r="CQ115" i="47"/>
  <c r="CQ118" i="47" s="1"/>
  <c r="CL8" i="97"/>
  <c r="CN5" i="53"/>
  <c r="CT125" i="45"/>
  <c r="CS157" i="45" l="1"/>
  <c r="CQ78" i="47"/>
  <c r="CQ79" i="47" s="1"/>
  <c r="CQ125" i="47" s="1"/>
  <c r="CQ128" i="47" s="1"/>
  <c r="CN6" i="53"/>
  <c r="CN7" i="53" s="1"/>
  <c r="CR24" i="47"/>
  <c r="CR25" i="47" s="1"/>
  <c r="CU86" i="45" l="1"/>
  <c r="CS32" i="47"/>
  <c r="CT29" i="47" s="1"/>
  <c r="CQ131" i="47"/>
  <c r="CT126" i="45"/>
  <c r="CS22" i="47"/>
  <c r="CU85" i="45" s="1"/>
  <c r="CL7" i="97"/>
  <c r="CQ83" i="47"/>
  <c r="CQ80" i="47"/>
  <c r="S144" i="26"/>
  <c r="CL9" i="97" l="1"/>
  <c r="CR10" i="47"/>
  <c r="CR11" i="47" s="1"/>
  <c r="CN9" i="53"/>
  <c r="CN10" i="53" s="1"/>
  <c r="CN13" i="53" s="1"/>
  <c r="CT128" i="45"/>
  <c r="CT132" i="45" s="1"/>
  <c r="CS8" i="47" l="1"/>
  <c r="CR35" i="47"/>
  <c r="CR37" i="47" s="1"/>
  <c r="CT134" i="45"/>
  <c r="CL12" i="97"/>
  <c r="CT135" i="45" l="1"/>
  <c r="CR43" i="47" s="1"/>
  <c r="CR45" i="47" s="1"/>
  <c r="CS41" i="47" s="1"/>
  <c r="CT140" i="45"/>
  <c r="CU83" i="45"/>
  <c r="CU87" i="45" l="1"/>
  <c r="CT141" i="45"/>
  <c r="CR99" i="47"/>
  <c r="CR100" i="47" s="1"/>
  <c r="CS97" i="47" s="1"/>
  <c r="CT142" i="45" l="1"/>
  <c r="CT143" i="45" s="1"/>
  <c r="CT146" i="45" s="1"/>
  <c r="CU91" i="45"/>
  <c r="CT147" i="45" l="1"/>
  <c r="CR73" i="47"/>
  <c r="CR74" i="47" s="1"/>
  <c r="CS71" i="47" s="1"/>
  <c r="CU93" i="45"/>
  <c r="CR93" i="47"/>
  <c r="CR94" i="47" l="1"/>
  <c r="CS91" i="47" s="1"/>
  <c r="CS98" i="47" s="1"/>
  <c r="CU114" i="45"/>
  <c r="CU116" i="45" s="1"/>
  <c r="CT148" i="45"/>
  <c r="CT149" i="45" s="1"/>
  <c r="CT154" i="45" l="1"/>
  <c r="CR114" i="47" s="1"/>
  <c r="CT152" i="45"/>
  <c r="CR76" i="47" s="1"/>
  <c r="CT153" i="45"/>
  <c r="CR102" i="47" s="1"/>
  <c r="CS44" i="47"/>
  <c r="CR67" i="47"/>
  <c r="CT155" i="45" l="1"/>
  <c r="CU117" i="45"/>
  <c r="CU130" i="45"/>
  <c r="CR68" i="47"/>
  <c r="CS66" i="47" s="1"/>
  <c r="CR105" i="47"/>
  <c r="CM6" i="97"/>
  <c r="CR78" i="47"/>
  <c r="CR115" i="47"/>
  <c r="CR118" i="47" s="1"/>
  <c r="CM8" i="97"/>
  <c r="CR127" i="47" l="1"/>
  <c r="CM11" i="97" s="1"/>
  <c r="CT157" i="45"/>
  <c r="CS72" i="47"/>
  <c r="CM7" i="97"/>
  <c r="CR83" i="47"/>
  <c r="CR79" i="47"/>
  <c r="CR125" i="47" s="1"/>
  <c r="CU118" i="45"/>
  <c r="CR128" i="47" l="1"/>
  <c r="CR131" i="47" s="1"/>
  <c r="CS23" i="47"/>
  <c r="CS8" i="71"/>
  <c r="CS10" i="71" s="1"/>
  <c r="CR80" i="47"/>
  <c r="CU120" i="45"/>
  <c r="CM9" i="97"/>
  <c r="CM12" i="97" l="1"/>
  <c r="CU122" i="45"/>
  <c r="CU125" i="45" l="1"/>
  <c r="CO5" i="53"/>
  <c r="CS24" i="47" l="1"/>
  <c r="CS25" i="47" s="1"/>
  <c r="CO6" i="53"/>
  <c r="CO7" i="53" s="1"/>
  <c r="CV86" i="45" l="1"/>
  <c r="CT32" i="47"/>
  <c r="CU29" i="47" s="1"/>
  <c r="CU126" i="45"/>
  <c r="CT22" i="47"/>
  <c r="CV85" i="45" s="1"/>
  <c r="CS10" i="47" l="1"/>
  <c r="CS11" i="47" s="1"/>
  <c r="CO9" i="53"/>
  <c r="CO10" i="53" s="1"/>
  <c r="CO13" i="53" s="1"/>
  <c r="CU128" i="45"/>
  <c r="CU132" i="45" s="1"/>
  <c r="CT8" i="47" l="1"/>
  <c r="CS35" i="47"/>
  <c r="CS37" i="47" s="1"/>
  <c r="CU134" i="45"/>
  <c r="CU140" i="45" l="1"/>
  <c r="CU141" i="45" s="1"/>
  <c r="CV83" i="45"/>
  <c r="CU135" i="45"/>
  <c r="CS43" i="47" s="1"/>
  <c r="CS45" i="47" s="1"/>
  <c r="CT41" i="47" s="1"/>
  <c r="CV87" i="45" l="1"/>
  <c r="CU142" i="45"/>
  <c r="CU143" i="45" s="1"/>
  <c r="CU146" i="45" s="1"/>
  <c r="CS99" i="47"/>
  <c r="CS100" i="47" s="1"/>
  <c r="CT97" i="47" s="1"/>
  <c r="CU147" i="45" l="1"/>
  <c r="CS73" i="47"/>
  <c r="CS74" i="47" s="1"/>
  <c r="CT71" i="47" s="1"/>
  <c r="CS93" i="47"/>
  <c r="CV91" i="45"/>
  <c r="CV93" i="45" l="1"/>
  <c r="CS94" i="47"/>
  <c r="CT91" i="47" s="1"/>
  <c r="CU148" i="45"/>
  <c r="CU149" i="45" s="1"/>
  <c r="CS67" i="47" l="1"/>
  <c r="CU154" i="45"/>
  <c r="CU152" i="45"/>
  <c r="CU153" i="45"/>
  <c r="CT98" i="47"/>
  <c r="CV114" i="45"/>
  <c r="CV116" i="45" s="1"/>
  <c r="CU155" i="45" l="1"/>
  <c r="CU157" i="45" s="1"/>
  <c r="CS76" i="47"/>
  <c r="CS78" i="47" s="1"/>
  <c r="CS114" i="47"/>
  <c r="CT44" i="47"/>
  <c r="CS102" i="47"/>
  <c r="CS68" i="47"/>
  <c r="CT66" i="47" s="1"/>
  <c r="CS127" i="47" l="1"/>
  <c r="CN11" i="97" s="1"/>
  <c r="CV117" i="45"/>
  <c r="CV130" i="45"/>
  <c r="CS105" i="47"/>
  <c r="CN6" i="97"/>
  <c r="CS115" i="47"/>
  <c r="CS118" i="47" s="1"/>
  <c r="CN8" i="97"/>
  <c r="CT72" i="47"/>
  <c r="CS79" i="47"/>
  <c r="CS125" i="47" s="1"/>
  <c r="CS83" i="47"/>
  <c r="CN7" i="97"/>
  <c r="CS128" i="47" l="1"/>
  <c r="CS131" i="47" s="1"/>
  <c r="CS80" i="47"/>
  <c r="CN9" i="97"/>
  <c r="CV118" i="45"/>
  <c r="CV120" i="45" l="1"/>
  <c r="CT8" i="71"/>
  <c r="CT10" i="71" s="1"/>
  <c r="CT23" i="47"/>
  <c r="CN12" i="97"/>
  <c r="CV122" i="45" l="1"/>
  <c r="CP5" i="53" l="1"/>
  <c r="CV125" i="45"/>
  <c r="CT24" i="47" l="1"/>
  <c r="CP6" i="53"/>
  <c r="CP7" i="53" s="1"/>
  <c r="CT25" i="47" l="1"/>
  <c r="CW86" i="45" l="1"/>
  <c r="CU32" i="47"/>
  <c r="CV29" i="47" s="1"/>
  <c r="CV126" i="45"/>
  <c r="CU22" i="47"/>
  <c r="CW85" i="45" s="1"/>
  <c r="CT10" i="47" l="1"/>
  <c r="CP9" i="53"/>
  <c r="CP10" i="53" s="1"/>
  <c r="CP13" i="53" s="1"/>
  <c r="CV128" i="45"/>
  <c r="CV132" i="45" s="1"/>
  <c r="CT11" i="47" l="1"/>
  <c r="CV134" i="45" s="1"/>
  <c r="CV140" i="45" s="1"/>
  <c r="CV141" i="45" l="1"/>
  <c r="CT99" i="47"/>
  <c r="CV135" i="45"/>
  <c r="CT43" i="47" s="1"/>
  <c r="CT45" i="47" s="1"/>
  <c r="CU41" i="47" s="1"/>
  <c r="CT35" i="47"/>
  <c r="CT37" i="47" s="1"/>
  <c r="CU8" i="47"/>
  <c r="CW83" i="45" l="1"/>
  <c r="CT100" i="47"/>
  <c r="CU97" i="47" s="1"/>
  <c r="CV142" i="45"/>
  <c r="CV143" i="45" s="1"/>
  <c r="CV146" i="45" l="1"/>
  <c r="CV147" i="45" s="1"/>
  <c r="CT93" i="47"/>
  <c r="CW87" i="45"/>
  <c r="CW91" i="45" l="1"/>
  <c r="CV148" i="45"/>
  <c r="CV149" i="45" s="1"/>
  <c r="CT94" i="47"/>
  <c r="CU91" i="47" s="1"/>
  <c r="CT73" i="47"/>
  <c r="CT74" i="47" l="1"/>
  <c r="CU71" i="47" s="1"/>
  <c r="CV154" i="45"/>
  <c r="CV152" i="45"/>
  <c r="CV153" i="45"/>
  <c r="CT67" i="47"/>
  <c r="CU98" i="47"/>
  <c r="CW93" i="45"/>
  <c r="CV155" i="45" l="1"/>
  <c r="CV157" i="45" s="1"/>
  <c r="CT102" i="47"/>
  <c r="CT68" i="47"/>
  <c r="CU66" i="47" s="1"/>
  <c r="CT76" i="47"/>
  <c r="CT78" i="47" s="1"/>
  <c r="CT114" i="47"/>
  <c r="CW114" i="45"/>
  <c r="CW116" i="45" s="1"/>
  <c r="CT127" i="47" l="1"/>
  <c r="CO11" i="97" s="1"/>
  <c r="CU44" i="47"/>
  <c r="CT115" i="47"/>
  <c r="CT118" i="47" s="1"/>
  <c r="CO8" i="97"/>
  <c r="CU72" i="47"/>
  <c r="CT79" i="47"/>
  <c r="CT125" i="47" s="1"/>
  <c r="CT128" i="47" s="1"/>
  <c r="CT131" i="47" s="1"/>
  <c r="CT83" i="47"/>
  <c r="CO7" i="97"/>
  <c r="CT105" i="47"/>
  <c r="CO6" i="97"/>
  <c r="CT80" i="47" l="1"/>
  <c r="CO9" i="97"/>
  <c r="CO12" i="97" s="1"/>
  <c r="CW117" i="45"/>
  <c r="CW130" i="45"/>
  <c r="CW118" i="45" l="1"/>
  <c r="CW120" i="45" l="1"/>
  <c r="CU8" i="71"/>
  <c r="CU10" i="71" s="1"/>
  <c r="CU23" i="47"/>
  <c r="CW122" i="45" l="1"/>
  <c r="CQ5" i="53" l="1"/>
  <c r="CW125" i="45"/>
  <c r="CU24" i="47" l="1"/>
  <c r="CQ6" i="53"/>
  <c r="CQ7" i="53" s="1"/>
  <c r="CU25" i="47" l="1"/>
  <c r="CX86" i="45" l="1"/>
  <c r="CV32" i="47"/>
  <c r="CW29" i="47" s="1"/>
  <c r="CV22" i="47"/>
  <c r="CX85" i="45" s="1"/>
  <c r="CW126" i="45"/>
  <c r="CU10" i="47" l="1"/>
  <c r="CQ9" i="53"/>
  <c r="CQ10" i="53" s="1"/>
  <c r="CQ13" i="53" s="1"/>
  <c r="CW128" i="45"/>
  <c r="CW132" i="45" s="1"/>
  <c r="CU11" i="47" l="1"/>
  <c r="CU35" i="47" l="1"/>
  <c r="CU37" i="47" s="1"/>
  <c r="CV8" i="47"/>
  <c r="CX83" i="45" s="1"/>
  <c r="CW134" i="45"/>
  <c r="CX87" i="45" l="1"/>
  <c r="CW135" i="45"/>
  <c r="CU43" i="47" s="1"/>
  <c r="CU45" i="47" s="1"/>
  <c r="CV41" i="47" s="1"/>
  <c r="CW140" i="45"/>
  <c r="CW141" i="45" l="1"/>
  <c r="CU99" i="47"/>
  <c r="CX91" i="45"/>
  <c r="CX93" i="45" l="1"/>
  <c r="CU100" i="47"/>
  <c r="CV97" i="47" s="1"/>
  <c r="CW142" i="45"/>
  <c r="CW143" i="45" s="1"/>
  <c r="CW146" i="45" s="1"/>
  <c r="CW147" i="45" l="1"/>
  <c r="CU73" i="47"/>
  <c r="CU93" i="47"/>
  <c r="CX114" i="45"/>
  <c r="CX116" i="45" s="1"/>
  <c r="CV44" i="47" l="1"/>
  <c r="CU94" i="47"/>
  <c r="CV91" i="47" s="1"/>
  <c r="CU74" i="47"/>
  <c r="CV71" i="47" s="1"/>
  <c r="CW148" i="45"/>
  <c r="CU67" i="47" l="1"/>
  <c r="CW149" i="45"/>
  <c r="CV98" i="47"/>
  <c r="CX117" i="45"/>
  <c r="CX130" i="45"/>
  <c r="CX118" i="45" l="1"/>
  <c r="CX120" i="45" s="1"/>
  <c r="CW153" i="45"/>
  <c r="CW152" i="45"/>
  <c r="CW154" i="45"/>
  <c r="CU68" i="47"/>
  <c r="CV66" i="47" s="1"/>
  <c r="CX122" i="45" l="1"/>
  <c r="CU102" i="47"/>
  <c r="CV72" i="47"/>
  <c r="CW155" i="45"/>
  <c r="CW157" i="45" s="1"/>
  <c r="CU114" i="47"/>
  <c r="CU76" i="47"/>
  <c r="CV23" i="47"/>
  <c r="CV8" i="71"/>
  <c r="CV10" i="71" s="1"/>
  <c r="CU78" i="47" l="1"/>
  <c r="CU115" i="47"/>
  <c r="CU118" i="47" s="1"/>
  <c r="CP8" i="97"/>
  <c r="CU105" i="47"/>
  <c r="CP6" i="97"/>
  <c r="CU127" i="47"/>
  <c r="CR5" i="53"/>
  <c r="CX125" i="45"/>
  <c r="CP11" i="97" l="1"/>
  <c r="CP7" i="97"/>
  <c r="CU83" i="47"/>
  <c r="CV24" i="47"/>
  <c r="CR6" i="53"/>
  <c r="CR7" i="53" s="1"/>
  <c r="CU79" i="47"/>
  <c r="CU80" i="47" s="1"/>
  <c r="CP9" i="97" l="1"/>
  <c r="CP12" i="97" s="1"/>
  <c r="CU125" i="47"/>
  <c r="CV25" i="47"/>
  <c r="CY86" i="45" l="1"/>
  <c r="CW32" i="47"/>
  <c r="CX29" i="47" s="1"/>
  <c r="CU128" i="47"/>
  <c r="CX126" i="45"/>
  <c r="CW22" i="47"/>
  <c r="CY85" i="45" s="1"/>
  <c r="CV10" i="47" l="1"/>
  <c r="CR9" i="53"/>
  <c r="CR10" i="53" s="1"/>
  <c r="CR13" i="53" s="1"/>
  <c r="CX128" i="45"/>
  <c r="CU131" i="47"/>
  <c r="CX132" i="45" l="1"/>
  <c r="Q156" i="26"/>
  <c r="CV11" i="47"/>
  <c r="CW8" i="47" l="1"/>
  <c r="CV35" i="47"/>
  <c r="CV37" i="47" s="1"/>
  <c r="CX134" i="45"/>
  <c r="CX140" i="45" s="1"/>
  <c r="CX135" i="45" l="1"/>
  <c r="CV43" i="47" s="1"/>
  <c r="CV45" i="47" s="1"/>
  <c r="CW41" i="47" s="1"/>
  <c r="CX141" i="45"/>
  <c r="CV99" i="47"/>
  <c r="CY83" i="45"/>
  <c r="CY87" i="45" l="1"/>
  <c r="CV100" i="47"/>
  <c r="CW97" i="47" s="1"/>
  <c r="CX142" i="45"/>
  <c r="CX143" i="45" s="1"/>
  <c r="CX146" i="45" l="1"/>
  <c r="CX147" i="45" s="1"/>
  <c r="CV93" i="47"/>
  <c r="CY91" i="45"/>
  <c r="CY93" i="45" l="1"/>
  <c r="CV94" i="47"/>
  <c r="CW91" i="47" s="1"/>
  <c r="CX148" i="45"/>
  <c r="CV73" i="47"/>
  <c r="CW98" i="47" l="1"/>
  <c r="CV74" i="47"/>
  <c r="CW71" i="47" s="1"/>
  <c r="CV67" i="47"/>
  <c r="CX149" i="45"/>
  <c r="CY114" i="45"/>
  <c r="CY116" i="45" s="1"/>
  <c r="CW44" i="47" l="1"/>
  <c r="CX153" i="45"/>
  <c r="CX154" i="45"/>
  <c r="CX152" i="45"/>
  <c r="CV68" i="47"/>
  <c r="CW66" i="47" s="1"/>
  <c r="CX155" i="45" l="1"/>
  <c r="CV127" i="47" s="1"/>
  <c r="CW72" i="47"/>
  <c r="CV76" i="47"/>
  <c r="CV114" i="47"/>
  <c r="CV102" i="47"/>
  <c r="CY117" i="45"/>
  <c r="CY130" i="45"/>
  <c r="CX157" i="45" l="1"/>
  <c r="CY118" i="45"/>
  <c r="CY120" i="45" s="1"/>
  <c r="CV78" i="47"/>
  <c r="CV79" i="47" s="1"/>
  <c r="CQ11" i="97"/>
  <c r="CV115" i="47"/>
  <c r="CV118" i="47" s="1"/>
  <c r="CQ8" i="97"/>
  <c r="CQ6" i="97"/>
  <c r="CV105" i="47"/>
  <c r="CY122" i="45" l="1"/>
  <c r="CV125" i="47"/>
  <c r="CQ7" i="97"/>
  <c r="CV83" i="47"/>
  <c r="CV80" i="47"/>
  <c r="CW8" i="71"/>
  <c r="CW10" i="71" s="1"/>
  <c r="CW23" i="47"/>
  <c r="CQ9" i="97" l="1"/>
  <c r="CQ12" i="97" s="1"/>
  <c r="CV128" i="47"/>
  <c r="CY125" i="45"/>
  <c r="CS5" i="53"/>
  <c r="CS6" i="53" l="1"/>
  <c r="CS7" i="53" s="1"/>
  <c r="CW24" i="47"/>
  <c r="CV131" i="47"/>
  <c r="CW25" i="47" l="1"/>
  <c r="CZ86" i="45" l="1"/>
  <c r="CX32" i="47"/>
  <c r="CY29" i="47" s="1"/>
  <c r="CY126" i="45"/>
  <c r="CX22" i="47"/>
  <c r="CZ85" i="45" s="1"/>
  <c r="CW10" i="47" l="1"/>
  <c r="CS9" i="53"/>
  <c r="CS10" i="53" s="1"/>
  <c r="CS13" i="53" s="1"/>
  <c r="CY128" i="45"/>
  <c r="CY132" i="45" l="1"/>
  <c r="CW11" i="47"/>
  <c r="CX8" i="47" l="1"/>
  <c r="CW35" i="47"/>
  <c r="CW37" i="47" s="1"/>
  <c r="CY134" i="45"/>
  <c r="CY135" i="45" l="1"/>
  <c r="CW43" i="47" s="1"/>
  <c r="CW45" i="47" s="1"/>
  <c r="CX41" i="47" s="1"/>
  <c r="CY140" i="45"/>
  <c r="CZ83" i="45"/>
  <c r="CZ87" i="45" s="1"/>
  <c r="CZ91" i="45" s="1"/>
  <c r="CZ93" i="45" s="1"/>
  <c r="CZ114" i="45" s="1"/>
  <c r="CZ116" i="45" s="1"/>
  <c r="CX44" i="47" l="1"/>
  <c r="CZ117" i="45" s="1"/>
  <c r="CZ118" i="45" s="1"/>
  <c r="CY141" i="45"/>
  <c r="CW99" i="47"/>
  <c r="CZ130" i="45" l="1"/>
  <c r="CZ120" i="45"/>
  <c r="CZ122" i="45" s="1"/>
  <c r="CX23" i="47"/>
  <c r="CX8" i="71"/>
  <c r="CX10" i="71" s="1"/>
  <c r="CW100" i="47"/>
  <c r="CX97" i="47" s="1"/>
  <c r="CY142" i="45"/>
  <c r="CY143" i="45" s="1"/>
  <c r="CY146" i="45" s="1"/>
  <c r="CZ125" i="45" l="1"/>
  <c r="CT6" i="53" s="1"/>
  <c r="CY147" i="45"/>
  <c r="CW73" i="47"/>
  <c r="CW93" i="47"/>
  <c r="CT5" i="53"/>
  <c r="CX24" i="47" l="1"/>
  <c r="CX25" i="47" s="1"/>
  <c r="CT7" i="53"/>
  <c r="CW74" i="47"/>
  <c r="CX71" i="47" s="1"/>
  <c r="CW94" i="47"/>
  <c r="CX91" i="47" s="1"/>
  <c r="CY148" i="45"/>
  <c r="DA86" i="45" l="1"/>
  <c r="CY32" i="47"/>
  <c r="CZ29" i="47" s="1"/>
  <c r="CW67" i="47"/>
  <c r="CZ126" i="45"/>
  <c r="CY22" i="47"/>
  <c r="DA85" i="45" s="1"/>
  <c r="CX98" i="47"/>
  <c r="CY149" i="45"/>
  <c r="CY154" i="45" l="1"/>
  <c r="CY152" i="45"/>
  <c r="CY153" i="45"/>
  <c r="CX10" i="47"/>
  <c r="CT9" i="53"/>
  <c r="CT10" i="53" s="1"/>
  <c r="CT13" i="53" s="1"/>
  <c r="CZ128" i="45"/>
  <c r="CW68" i="47"/>
  <c r="CX66" i="47" s="1"/>
  <c r="CZ132" i="45" l="1"/>
  <c r="CW102" i="47"/>
  <c r="CX11" i="47"/>
  <c r="CW76" i="47"/>
  <c r="CX72" i="47"/>
  <c r="CY155" i="45"/>
  <c r="CW114" i="47"/>
  <c r="CW78" i="47" l="1"/>
  <c r="CW79" i="47" s="1"/>
  <c r="CW127" i="47"/>
  <c r="CW105" i="47"/>
  <c r="CR6" i="97"/>
  <c r="CY157" i="45"/>
  <c r="CX35" i="47"/>
  <c r="CX37" i="47" s="1"/>
  <c r="CY8" i="47"/>
  <c r="CZ134" i="45"/>
  <c r="CZ140" i="45" s="1"/>
  <c r="CW115" i="47"/>
  <c r="CW118" i="47" s="1"/>
  <c r="CR8" i="97"/>
  <c r="DA83" i="45" l="1"/>
  <c r="DA87" i="45" s="1"/>
  <c r="DA91" i="45" s="1"/>
  <c r="DA93" i="45" s="1"/>
  <c r="DA114" i="45" s="1"/>
  <c r="DA116" i="45" s="1"/>
  <c r="CR11" i="97"/>
  <c r="CZ135" i="45"/>
  <c r="CX43" i="47" s="1"/>
  <c r="CX45" i="47" s="1"/>
  <c r="CY41" i="47" s="1"/>
  <c r="CW125" i="47"/>
  <c r="CW83" i="47"/>
  <c r="CR7" i="97"/>
  <c r="CW80" i="47"/>
  <c r="CZ141" i="45"/>
  <c r="CX99" i="47"/>
  <c r="CW128" i="47" l="1"/>
  <c r="CZ142" i="45"/>
  <c r="CX100" i="47"/>
  <c r="CY97" i="47" s="1"/>
  <c r="CR9" i="97"/>
  <c r="CR12" i="97" s="1"/>
  <c r="CY44" i="47"/>
  <c r="DA117" i="45" s="1"/>
  <c r="DA118" i="45" s="1"/>
  <c r="DA120" i="45" s="1"/>
  <c r="DA122" i="45" s="1"/>
  <c r="DA130" i="45" l="1"/>
  <c r="CU5" i="53"/>
  <c r="CX93" i="47"/>
  <c r="CY8" i="71"/>
  <c r="CY10" i="71" s="1"/>
  <c r="CY23" i="47"/>
  <c r="DA125" i="45" s="1"/>
  <c r="CZ143" i="45"/>
  <c r="CZ146" i="45" s="1"/>
  <c r="CW131" i="47"/>
  <c r="CY24" i="47" l="1"/>
  <c r="CY25" i="47" s="1"/>
  <c r="CU6" i="53"/>
  <c r="CU7" i="53" s="1"/>
  <c r="CZ147" i="45"/>
  <c r="CX73" i="47"/>
  <c r="CX94" i="47"/>
  <c r="CY91" i="47" s="1"/>
  <c r="DB86" i="45" l="1"/>
  <c r="Q114" i="26" s="1"/>
  <c r="CZ32" i="47"/>
  <c r="DA29" i="47" s="1"/>
  <c r="CZ148" i="45"/>
  <c r="CZ149" i="45" s="1"/>
  <c r="CX74" i="47"/>
  <c r="CY71" i="47" s="1"/>
  <c r="CZ22" i="47"/>
  <c r="DB85" i="45" s="1"/>
  <c r="Q113" i="26" s="1"/>
  <c r="DA126" i="45"/>
  <c r="CY98" i="47"/>
  <c r="CZ153" i="45" l="1"/>
  <c r="CX102" i="47" s="1"/>
  <c r="CZ152" i="45"/>
  <c r="CX76" i="47" s="1"/>
  <c r="CZ154" i="45"/>
  <c r="CX114" i="47" s="1"/>
  <c r="CY10" i="47"/>
  <c r="CY11" i="47" s="1"/>
  <c r="CU9" i="53"/>
  <c r="CU10" i="53" s="1"/>
  <c r="CU13" i="53" s="1"/>
  <c r="DA128" i="45"/>
  <c r="CX67" i="47"/>
  <c r="CX78" i="47" l="1"/>
  <c r="CX79" i="47" s="1"/>
  <c r="CX68" i="47"/>
  <c r="CY66" i="47" s="1"/>
  <c r="DA132" i="45"/>
  <c r="CY35" i="47"/>
  <c r="CY37" i="47" s="1"/>
  <c r="CZ8" i="47"/>
  <c r="DA134" i="45"/>
  <c r="DA140" i="45" s="1"/>
  <c r="CZ155" i="45"/>
  <c r="CX115" i="47"/>
  <c r="CX118" i="47" s="1"/>
  <c r="CS8" i="97"/>
  <c r="CS6" i="97"/>
  <c r="CX105" i="47"/>
  <c r="CX125" i="47" l="1"/>
  <c r="CX127" i="47"/>
  <c r="CZ157" i="45"/>
  <c r="DA135" i="45"/>
  <c r="CY43" i="47" s="1"/>
  <c r="CY45" i="47" s="1"/>
  <c r="CZ41" i="47" s="1"/>
  <c r="DA141" i="45"/>
  <c r="CY99" i="47"/>
  <c r="CY100" i="47" s="1"/>
  <c r="CZ97" i="47" s="1"/>
  <c r="DB83" i="45"/>
  <c r="CY72" i="47"/>
  <c r="CS7" i="97"/>
  <c r="CX83" i="47"/>
  <c r="CX80" i="47"/>
  <c r="DA142" i="45" l="1"/>
  <c r="DA143" i="45" s="1"/>
  <c r="DA146" i="45" s="1"/>
  <c r="CS11" i="97"/>
  <c r="Q111" i="26"/>
  <c r="DB87" i="45"/>
  <c r="DB91" i="45" s="1"/>
  <c r="DB93" i="45" s="1"/>
  <c r="DB114" i="45" s="1"/>
  <c r="DB116" i="45" s="1"/>
  <c r="CS9" i="97"/>
  <c r="CX128" i="47"/>
  <c r="CS12" i="97" l="1"/>
  <c r="DA147" i="45"/>
  <c r="CY73" i="47"/>
  <c r="CY74" i="47" s="1"/>
  <c r="CZ71" i="47" s="1"/>
  <c r="Q115" i="26"/>
  <c r="Q119" i="26" s="1"/>
  <c r="Q121" i="26" s="1"/>
  <c r="CX131" i="47"/>
  <c r="CZ44" i="47"/>
  <c r="CY93" i="47"/>
  <c r="DB117" i="45" l="1"/>
  <c r="DB130" i="45"/>
  <c r="Q158" i="26" s="1"/>
  <c r="CY94" i="47"/>
  <c r="CZ91" i="47" s="1"/>
  <c r="Q142" i="26"/>
  <c r="DA148" i="45"/>
  <c r="DA149" i="45" s="1"/>
  <c r="DA154" i="45" l="1"/>
  <c r="CY114" i="47" s="1"/>
  <c r="DA152" i="45"/>
  <c r="CY76" i="47" s="1"/>
  <c r="DA153" i="45"/>
  <c r="CY102" i="47" s="1"/>
  <c r="CZ98" i="47"/>
  <c r="CY67" i="47"/>
  <c r="Q145" i="26"/>
  <c r="DB118" i="45"/>
  <c r="DB120" i="45" s="1"/>
  <c r="DB122" i="45" s="1"/>
  <c r="DA155" i="45" l="1"/>
  <c r="CY127" i="47" s="1"/>
  <c r="CT11" i="97" s="1"/>
  <c r="CV5" i="53"/>
  <c r="CY78" i="47"/>
  <c r="CY68" i="47"/>
  <c r="CZ66" i="47" s="1"/>
  <c r="CY105" i="47"/>
  <c r="CT6" i="97"/>
  <c r="Q146" i="26"/>
  <c r="Q148" i="26" s="1"/>
  <c r="CZ8" i="71"/>
  <c r="CZ10" i="71" s="1"/>
  <c r="CZ23" i="47"/>
  <c r="DB125" i="45" s="1"/>
  <c r="CT8" i="97"/>
  <c r="CY115" i="47"/>
  <c r="CY118" i="47" s="1"/>
  <c r="DA157" i="45" l="1"/>
  <c r="Q150" i="26"/>
  <c r="CZ72" i="47"/>
  <c r="CY79" i="47"/>
  <c r="CY80" i="47" s="1"/>
  <c r="CY83" i="47"/>
  <c r="CT7" i="97"/>
  <c r="CT9" i="97" s="1"/>
  <c r="CT12" i="97" s="1"/>
  <c r="CZ24" i="47"/>
  <c r="CZ25" i="47" s="1"/>
  <c r="CV6" i="53"/>
  <c r="CV7" i="53" s="1"/>
  <c r="Q153" i="26"/>
  <c r="DC86" i="45" l="1"/>
  <c r="DA32" i="47"/>
  <c r="DB29" i="47" s="1"/>
  <c r="DB126" i="45"/>
  <c r="DA22" i="47"/>
  <c r="DC85" i="45" s="1"/>
  <c r="CY125" i="47"/>
  <c r="CY128" i="47" l="1"/>
  <c r="Q154" i="26"/>
  <c r="CZ10" i="47"/>
  <c r="CZ11" i="47" s="1"/>
  <c r="Q177" i="26" s="1"/>
  <c r="CV9" i="53"/>
  <c r="CV10" i="53" s="1"/>
  <c r="CV13" i="53" s="1"/>
  <c r="DB128" i="45"/>
  <c r="DB132" i="45" l="1"/>
  <c r="CY131" i="47"/>
  <c r="DA8" i="47"/>
  <c r="CZ35" i="47"/>
  <c r="CZ37" i="47" s="1"/>
  <c r="P178" i="26"/>
  <c r="DB134" i="45"/>
  <c r="DB140" i="45" s="1"/>
  <c r="DB141" i="45" l="1"/>
  <c r="CZ99" i="47"/>
  <c r="CZ100" i="47" s="1"/>
  <c r="DA97" i="47" s="1"/>
  <c r="DC83" i="45"/>
  <c r="DC87" i="45" s="1"/>
  <c r="DC91" i="45" s="1"/>
  <c r="DC93" i="45" s="1"/>
  <c r="DC114" i="45" s="1"/>
  <c r="DC116" i="45" s="1"/>
  <c r="DB135" i="45"/>
  <c r="CZ43" i="47" s="1"/>
  <c r="CZ45" i="47" s="1"/>
  <c r="DA41" i="47" l="1"/>
  <c r="DA44" i="47"/>
  <c r="DC117" i="45" s="1"/>
  <c r="DC118" i="45" s="1"/>
  <c r="DB142" i="45"/>
  <c r="DA23" i="47" l="1"/>
  <c r="DA8" i="71"/>
  <c r="DA10" i="71" s="1"/>
  <c r="CZ93" i="47"/>
  <c r="DB143" i="45"/>
  <c r="DB146" i="45" s="1"/>
  <c r="DC120" i="45"/>
  <c r="DC122" i="45" s="1"/>
  <c r="DC130" i="45"/>
  <c r="DB147" i="45" l="1"/>
  <c r="CZ73" i="47"/>
  <c r="CZ74" i="47" s="1"/>
  <c r="DA71" i="47" s="1"/>
  <c r="CZ94" i="47"/>
  <c r="DA91" i="47" s="1"/>
  <c r="CW5" i="53"/>
  <c r="DC125" i="45"/>
  <c r="DA98" i="47" l="1"/>
  <c r="DA24" i="47"/>
  <c r="DA25" i="47" s="1"/>
  <c r="DB22" i="47" s="1"/>
  <c r="DD85" i="45" s="1"/>
  <c r="CW6" i="53"/>
  <c r="CW7" i="53" s="1"/>
  <c r="DB148" i="45"/>
  <c r="DB149" i="45" s="1"/>
  <c r="DC126" i="45" l="1"/>
  <c r="DA10" i="47" s="1"/>
  <c r="DA11" i="47" s="1"/>
  <c r="DD86" i="45"/>
  <c r="DB32" i="47"/>
  <c r="DC29" i="47" s="1"/>
  <c r="DB154" i="45"/>
  <c r="CZ114" i="47" s="1"/>
  <c r="DB152" i="45"/>
  <c r="CZ76" i="47" s="1"/>
  <c r="DB153" i="45"/>
  <c r="CZ102" i="47" s="1"/>
  <c r="CZ67" i="47"/>
  <c r="DC128" i="45" l="1"/>
  <c r="CW9" i="53"/>
  <c r="CW10" i="53" s="1"/>
  <c r="CW13" i="53" s="1"/>
  <c r="CZ105" i="47"/>
  <c r="CU6" i="97"/>
  <c r="CZ115" i="47"/>
  <c r="CZ118" i="47" s="1"/>
  <c r="CU8" i="97"/>
  <c r="K18" i="97" s="1"/>
  <c r="CZ78" i="47"/>
  <c r="CZ68" i="47"/>
  <c r="DB155" i="45"/>
  <c r="CZ127" i="47" s="1"/>
  <c r="CU11" i="97" s="1"/>
  <c r="Q165" i="26" s="1"/>
  <c r="DC132" i="45"/>
  <c r="DC134" i="45" s="1"/>
  <c r="DA35" i="47"/>
  <c r="DA37" i="47" s="1"/>
  <c r="DB8" i="47"/>
  <c r="DD83" i="45" l="1"/>
  <c r="DD87" i="45" s="1"/>
  <c r="DD91" i="45" s="1"/>
  <c r="DD93" i="45" s="1"/>
  <c r="DD114" i="45" s="1"/>
  <c r="DD116" i="45" s="1"/>
  <c r="K21" i="97"/>
  <c r="P215" i="26"/>
  <c r="DB157" i="45"/>
  <c r="G121" i="47"/>
  <c r="P22" i="46" s="1"/>
  <c r="P249" i="26"/>
  <c r="CZ79" i="47"/>
  <c r="CZ125" i="47" s="1"/>
  <c r="CZ128" i="47" s="1"/>
  <c r="CZ83" i="47"/>
  <c r="CU7" i="97"/>
  <c r="K17" i="97" s="1"/>
  <c r="K16" i="97"/>
  <c r="DA66" i="47"/>
  <c r="P182" i="26"/>
  <c r="P183" i="26" s="1"/>
  <c r="P184" i="26" s="1"/>
  <c r="DC135" i="45"/>
  <c r="DA43" i="47" s="1"/>
  <c r="DA45" i="47" s="1"/>
  <c r="DB41" i="47" s="1"/>
  <c r="DC140" i="45"/>
  <c r="DC141" i="45" s="1"/>
  <c r="DC142" i="45" s="1"/>
  <c r="G108" i="47"/>
  <c r="P14" i="46" s="1"/>
  <c r="P248" i="26"/>
  <c r="CZ80" i="47" l="1"/>
  <c r="G86" i="47"/>
  <c r="P4" i="46" s="1"/>
  <c r="P247" i="26"/>
  <c r="CZ131" i="47"/>
  <c r="G134" i="47" s="1"/>
  <c r="P26" i="46" s="1"/>
  <c r="P250" i="26"/>
  <c r="DC143" i="45"/>
  <c r="DA93" i="47"/>
  <c r="DA72" i="47"/>
  <c r="P207" i="26"/>
  <c r="P205" i="26"/>
  <c r="P206" i="26"/>
  <c r="K19" i="97"/>
  <c r="K22" i="97" s="1"/>
  <c r="CU9" i="97"/>
  <c r="Q164" i="26" s="1"/>
  <c r="DA99" i="47"/>
  <c r="DA100" i="47" s="1"/>
  <c r="DB97" i="47" s="1"/>
  <c r="P211" i="26"/>
  <c r="P212" i="26"/>
  <c r="DB44" i="47"/>
  <c r="DD117" i="45" s="1"/>
  <c r="DD118" i="45" s="1"/>
  <c r="P208" i="26" l="1"/>
  <c r="DB23" i="47"/>
  <c r="DB8" i="71"/>
  <c r="DB10" i="71" s="1"/>
  <c r="DD120" i="45"/>
  <c r="DD122" i="45" s="1"/>
  <c r="P213" i="26"/>
  <c r="DA94" i="47"/>
  <c r="DB91" i="47" s="1"/>
  <c r="DC146" i="45"/>
  <c r="DC147" i="45" s="1"/>
  <c r="DD130" i="45"/>
  <c r="P251" i="26"/>
  <c r="S251" i="26" s="1"/>
  <c r="CU12" i="97"/>
  <c r="DC148" i="45" l="1"/>
  <c r="DA67" i="47" s="1"/>
  <c r="DB98" i="47"/>
  <c r="P216" i="26"/>
  <c r="CX5" i="53"/>
  <c r="DD125" i="45"/>
  <c r="DA73" i="47"/>
  <c r="DA74" i="47" s="1"/>
  <c r="DB71" i="47" s="1"/>
  <c r="P168" i="26"/>
  <c r="P167" i="26"/>
  <c r="P169" i="26" s="1"/>
  <c r="P196" i="26"/>
  <c r="G196" i="26" s="1"/>
  <c r="P197" i="26"/>
  <c r="P198" i="26" s="1"/>
  <c r="P160" i="26"/>
  <c r="DC149" i="45" l="1"/>
  <c r="DC153" i="45" s="1"/>
  <c r="DA102" i="47" s="1"/>
  <c r="CX6" i="53"/>
  <c r="CX7" i="53" s="1"/>
  <c r="DB24" i="47"/>
  <c r="DB25" i="47" s="1"/>
  <c r="DC22" i="47" s="1"/>
  <c r="DE85" i="45" s="1"/>
  <c r="DA68" i="47"/>
  <c r="DB66" i="47" s="1"/>
  <c r="DC154" i="45" l="1"/>
  <c r="DA114" i="47" s="1"/>
  <c r="CV8" i="97" s="1"/>
  <c r="DC152" i="45"/>
  <c r="DE86" i="45"/>
  <c r="DC32" i="47"/>
  <c r="DD29" i="47" s="1"/>
  <c r="DD126" i="45"/>
  <c r="DD128" i="45" s="1"/>
  <c r="DD132" i="45" s="1"/>
  <c r="DA105" i="47"/>
  <c r="CV6" i="97"/>
  <c r="DB72" i="47"/>
  <c r="DC155" i="45" l="1"/>
  <c r="DA127" i="47" s="1"/>
  <c r="CV11" i="97" s="1"/>
  <c r="DA115" i="47"/>
  <c r="DA118" i="47" s="1"/>
  <c r="DA76" i="47"/>
  <c r="DA78" i="47" s="1"/>
  <c r="DA79" i="47" s="1"/>
  <c r="DA125" i="47" s="1"/>
  <c r="CX9" i="53"/>
  <c r="CX10" i="53" s="1"/>
  <c r="CX13" i="53" s="1"/>
  <c r="DB10" i="47"/>
  <c r="DB11" i="47" s="1"/>
  <c r="DC8" i="47" s="1"/>
  <c r="DA128" i="47" l="1"/>
  <c r="DA131" i="47" s="1"/>
  <c r="DC157" i="45"/>
  <c r="DD134" i="45"/>
  <c r="DD140" i="45" s="1"/>
  <c r="DB35" i="47"/>
  <c r="DB37" i="47" s="1"/>
  <c r="DA83" i="47"/>
  <c r="CV7" i="97"/>
  <c r="DA80" i="47"/>
  <c r="DE83" i="45"/>
  <c r="DE87" i="45" s="1"/>
  <c r="DE91" i="45" s="1"/>
  <c r="DE93" i="45" s="1"/>
  <c r="DE114" i="45" s="1"/>
  <c r="DE116" i="45" s="1"/>
  <c r="DD135" i="45" l="1"/>
  <c r="DB43" i="47" s="1"/>
  <c r="DB45" i="47" s="1"/>
  <c r="DC41" i="47" s="1"/>
  <c r="DC44" i="47"/>
  <c r="DE117" i="45" s="1"/>
  <c r="CV9" i="97"/>
  <c r="DD141" i="45"/>
  <c r="DB99" i="47"/>
  <c r="DB100" i="47" s="1"/>
  <c r="DC97" i="47" s="1"/>
  <c r="CV12" i="97" l="1"/>
  <c r="DE118" i="45"/>
  <c r="DE120" i="45" s="1"/>
  <c r="DE122" i="45" s="1"/>
  <c r="DE130" i="45"/>
  <c r="DD142" i="45"/>
  <c r="DD143" i="45" s="1"/>
  <c r="DD146" i="45" s="1"/>
  <c r="DB93" i="47" l="1"/>
  <c r="DC8" i="71"/>
  <c r="DC10" i="71" s="1"/>
  <c r="DC23" i="47"/>
  <c r="DE125" i="45" s="1"/>
  <c r="CY5" i="53"/>
  <c r="DD147" i="45"/>
  <c r="DB73" i="47"/>
  <c r="DB74" i="47" s="1"/>
  <c r="DC71" i="47" s="1"/>
  <c r="DD148" i="45" l="1"/>
  <c r="DD149" i="45" s="1"/>
  <c r="DC24" i="47"/>
  <c r="DC25" i="47" s="1"/>
  <c r="CY6" i="53"/>
  <c r="CY7" i="53" s="1"/>
  <c r="DB94" i="47"/>
  <c r="DC91" i="47" s="1"/>
  <c r="DC98" i="47" s="1"/>
  <c r="DF86" i="45" l="1"/>
  <c r="DD32" i="47"/>
  <c r="DE29" i="47" s="1"/>
  <c r="DD154" i="45"/>
  <c r="DB114" i="47" s="1"/>
  <c r="DD152" i="45"/>
  <c r="DB76" i="47" s="1"/>
  <c r="DD153" i="45"/>
  <c r="DB102" i="47" s="1"/>
  <c r="DD22" i="47"/>
  <c r="DF85" i="45" s="1"/>
  <c r="DE126" i="45"/>
  <c r="DB67" i="47"/>
  <c r="DC10" i="47" l="1"/>
  <c r="DC11" i="47" s="1"/>
  <c r="CY9" i="53"/>
  <c r="CY10" i="53" s="1"/>
  <c r="CY13" i="53" s="1"/>
  <c r="DE128" i="45"/>
  <c r="DE132" i="45" s="1"/>
  <c r="DB105" i="47"/>
  <c r="CW6" i="97"/>
  <c r="DB78" i="47"/>
  <c r="DB68" i="47"/>
  <c r="DC66" i="47" s="1"/>
  <c r="DD155" i="45"/>
  <c r="CW8" i="97"/>
  <c r="DB115" i="47"/>
  <c r="DB118" i="47" s="1"/>
  <c r="DB79" i="47" l="1"/>
  <c r="DB125" i="47" s="1"/>
  <c r="DB83" i="47"/>
  <c r="CW7" i="97"/>
  <c r="DC72" i="47"/>
  <c r="DB127" i="47"/>
  <c r="CW11" i="97" s="1"/>
  <c r="DD157" i="45"/>
  <c r="DC35" i="47"/>
  <c r="DC37" i="47" s="1"/>
  <c r="DD8" i="47"/>
  <c r="DE134" i="45"/>
  <c r="DB80" i="47" l="1"/>
  <c r="CW9" i="97"/>
  <c r="DE140" i="45"/>
  <c r="DE141" i="45" s="1"/>
  <c r="DB128" i="47"/>
  <c r="DF83" i="45"/>
  <c r="DF87" i="45" s="1"/>
  <c r="DF91" i="45" s="1"/>
  <c r="DF93" i="45" s="1"/>
  <c r="DF114" i="45" s="1"/>
  <c r="DF116" i="45" s="1"/>
  <c r="DE135" i="45"/>
  <c r="DC43" i="47" s="1"/>
  <c r="DC45" i="47" s="1"/>
  <c r="DD41" i="47" s="1"/>
  <c r="DE142" i="45" l="1"/>
  <c r="DC93" i="47" s="1"/>
  <c r="DB131" i="47"/>
  <c r="DD44" i="47"/>
  <c r="DF117" i="45" s="1"/>
  <c r="DF118" i="45" s="1"/>
  <c r="DC99" i="47"/>
  <c r="DC100" i="47" s="1"/>
  <c r="DD97" i="47" s="1"/>
  <c r="CW12" i="97"/>
  <c r="DF130" i="45" l="1"/>
  <c r="DE143" i="45"/>
  <c r="DE146" i="45" s="1"/>
  <c r="DD23" i="47"/>
  <c r="DD8" i="71"/>
  <c r="DD10" i="71" s="1"/>
  <c r="DF120" i="45"/>
  <c r="DF122" i="45" s="1"/>
  <c r="DC94" i="47"/>
  <c r="DD91" i="47" s="1"/>
  <c r="DC73" i="47" l="1"/>
  <c r="DC74" i="47" s="1"/>
  <c r="DD71" i="47" s="1"/>
  <c r="CZ5" i="53"/>
  <c r="DF125" i="45"/>
  <c r="DE147" i="45"/>
  <c r="DE148" i="45" s="1"/>
  <c r="DD98" i="47"/>
  <c r="CZ6" i="53" l="1"/>
  <c r="CZ7" i="53" s="1"/>
  <c r="DD24" i="47"/>
  <c r="DD25" i="47" s="1"/>
  <c r="DE149" i="45"/>
  <c r="DC67" i="47"/>
  <c r="DG86" i="45" l="1"/>
  <c r="DE32" i="47"/>
  <c r="DF29" i="47" s="1"/>
  <c r="DE22" i="47"/>
  <c r="DG85" i="45" s="1"/>
  <c r="DF126" i="45"/>
  <c r="DC68" i="47"/>
  <c r="DD66" i="47" s="1"/>
  <c r="DE154" i="45"/>
  <c r="DC114" i="47" s="1"/>
  <c r="DE152" i="45"/>
  <c r="DE153" i="45"/>
  <c r="DC102" i="47" s="1"/>
  <c r="DC115" i="47" l="1"/>
  <c r="DC118" i="47" s="1"/>
  <c r="CX8" i="97"/>
  <c r="CX6" i="97"/>
  <c r="DC105" i="47"/>
  <c r="DD72" i="47"/>
  <c r="DD10" i="47"/>
  <c r="DD11" i="47" s="1"/>
  <c r="CZ9" i="53"/>
  <c r="CZ10" i="53" s="1"/>
  <c r="CZ13" i="53" s="1"/>
  <c r="DF128" i="45"/>
  <c r="DF132" i="45" s="1"/>
  <c r="DE155" i="45"/>
  <c r="DC127" i="47" s="1"/>
  <c r="CX11" i="97" s="1"/>
  <c r="DC76" i="47"/>
  <c r="DE157" i="45" l="1"/>
  <c r="DF134" i="45"/>
  <c r="DF140" i="45" s="1"/>
  <c r="DC78" i="47"/>
  <c r="DE8" i="47"/>
  <c r="DD35" i="47"/>
  <c r="DD37" i="47" s="1"/>
  <c r="DF135" i="45" l="1"/>
  <c r="DD43" i="47" s="1"/>
  <c r="DD45" i="47" s="1"/>
  <c r="DE41" i="47" s="1"/>
  <c r="DC83" i="47"/>
  <c r="CX7" i="97"/>
  <c r="DG83" i="45"/>
  <c r="DG87" i="45" s="1"/>
  <c r="DG91" i="45" s="1"/>
  <c r="DG93" i="45" s="1"/>
  <c r="DG114" i="45" s="1"/>
  <c r="DG116" i="45" s="1"/>
  <c r="DC79" i="47"/>
  <c r="DC125" i="47" s="1"/>
  <c r="DC128" i="47" s="1"/>
  <c r="DF141" i="45"/>
  <c r="DD99" i="47"/>
  <c r="DD100" i="47" s="1"/>
  <c r="DE97" i="47" s="1"/>
  <c r="DF142" i="45" l="1"/>
  <c r="DF143" i="45" s="1"/>
  <c r="DE44" i="47"/>
  <c r="DC80" i="47"/>
  <c r="CX9" i="97"/>
  <c r="DC131" i="47"/>
  <c r="CX12" i="97" l="1"/>
  <c r="DG117" i="45"/>
  <c r="DG130" i="45"/>
  <c r="DF146" i="45"/>
  <c r="DD73" i="47" s="1"/>
  <c r="DD74" i="47" s="1"/>
  <c r="DE71" i="47" s="1"/>
  <c r="DD93" i="47"/>
  <c r="DF147" i="45" l="1"/>
  <c r="DF148" i="45" s="1"/>
  <c r="DF149" i="45" s="1"/>
  <c r="DD94" i="47"/>
  <c r="DE91" i="47" s="1"/>
  <c r="DG118" i="45"/>
  <c r="DE23" i="47" l="1"/>
  <c r="DE8" i="71"/>
  <c r="DE10" i="71" s="1"/>
  <c r="DE98" i="47"/>
  <c r="DF154" i="45"/>
  <c r="DD114" i="47" s="1"/>
  <c r="DF153" i="45"/>
  <c r="DD102" i="47" s="1"/>
  <c r="DF152" i="45"/>
  <c r="DD76" i="47" s="1"/>
  <c r="DG120" i="45"/>
  <c r="DG122" i="45" s="1"/>
  <c r="DD67" i="47"/>
  <c r="DF155" i="45" l="1"/>
  <c r="DD78" i="47"/>
  <c r="DD79" i="47" s="1"/>
  <c r="DD125" i="47" s="1"/>
  <c r="DA5" i="53"/>
  <c r="DG125" i="45"/>
  <c r="DD68" i="47"/>
  <c r="DE66" i="47" s="1"/>
  <c r="DD105" i="47"/>
  <c r="CY6" i="97"/>
  <c r="DD115" i="47"/>
  <c r="DD118" i="47" s="1"/>
  <c r="CY8" i="97"/>
  <c r="DD127" i="47" l="1"/>
  <c r="CY11" i="97" s="1"/>
  <c r="DF157" i="45"/>
  <c r="DE72" i="47"/>
  <c r="DE24" i="47"/>
  <c r="DE25" i="47" s="1"/>
  <c r="DA6" i="53"/>
  <c r="DA7" i="53" s="1"/>
  <c r="CY7" i="97"/>
  <c r="DD83" i="47"/>
  <c r="DD80" i="47"/>
  <c r="DH86" i="45" l="1"/>
  <c r="DF32" i="47"/>
  <c r="DG29" i="47" s="1"/>
  <c r="DD128" i="47"/>
  <c r="DD131" i="47" s="1"/>
  <c r="CY9" i="97"/>
  <c r="DG126" i="45"/>
  <c r="DF22" i="47"/>
  <c r="DH85" i="45" s="1"/>
  <c r="DE10" i="47" l="1"/>
  <c r="DE11" i="47" s="1"/>
  <c r="DA9" i="53"/>
  <c r="DA10" i="53" s="1"/>
  <c r="DA13" i="53" s="1"/>
  <c r="DG128" i="45"/>
  <c r="DG132" i="45" s="1"/>
  <c r="CY12" i="97"/>
  <c r="DE35" i="47" l="1"/>
  <c r="DE37" i="47" s="1"/>
  <c r="DF8" i="47"/>
  <c r="DG134" i="45"/>
  <c r="DG140" i="45" s="1"/>
  <c r="DG141" i="45" l="1"/>
  <c r="DE99" i="47"/>
  <c r="DE100" i="47" s="1"/>
  <c r="DF97" i="47" s="1"/>
  <c r="DH83" i="45"/>
  <c r="DH87" i="45" s="1"/>
  <c r="DH91" i="45" s="1"/>
  <c r="DH93" i="45" s="1"/>
  <c r="DH114" i="45" s="1"/>
  <c r="DH116" i="45" s="1"/>
  <c r="DG135" i="45"/>
  <c r="DE43" i="47" s="1"/>
  <c r="DE45" i="47" s="1"/>
  <c r="DF41" i="47" s="1"/>
  <c r="DF44" i="47" l="1"/>
  <c r="DH117" i="45" s="1"/>
  <c r="DH118" i="45" s="1"/>
  <c r="DG142" i="45"/>
  <c r="DG143" i="45" s="1"/>
  <c r="DG146" i="45" s="1"/>
  <c r="DH120" i="45" l="1"/>
  <c r="DH122" i="45" s="1"/>
  <c r="DF23" i="47"/>
  <c r="DF8" i="71"/>
  <c r="DF10" i="71" s="1"/>
  <c r="DG147" i="45"/>
  <c r="DE73" i="47"/>
  <c r="DE74" i="47" s="1"/>
  <c r="DF71" i="47" s="1"/>
  <c r="DE93" i="47"/>
  <c r="DH130" i="45"/>
  <c r="DH125" i="45" l="1"/>
  <c r="DB6" i="53" s="1"/>
  <c r="DE94" i="47"/>
  <c r="DF91" i="47" s="1"/>
  <c r="DG148" i="45"/>
  <c r="DG149" i="45" s="1"/>
  <c r="DB5" i="53"/>
  <c r="DF24" i="47" l="1"/>
  <c r="DF25" i="47" s="1"/>
  <c r="DG22" i="47" s="1"/>
  <c r="DI85" i="45" s="1"/>
  <c r="DI86" i="45"/>
  <c r="DG32" i="47"/>
  <c r="DH29" i="47" s="1"/>
  <c r="DF98" i="47"/>
  <c r="DB7" i="53"/>
  <c r="DG154" i="45"/>
  <c r="DE114" i="47" s="1"/>
  <c r="DG153" i="45"/>
  <c r="DE102" i="47" s="1"/>
  <c r="DG152" i="45"/>
  <c r="DE76" i="47" s="1"/>
  <c r="DE67" i="47"/>
  <c r="DH126" i="45" l="1"/>
  <c r="DF10" i="47" s="1"/>
  <c r="DF11" i="47" s="1"/>
  <c r="DG155" i="45"/>
  <c r="DE127" i="47" s="1"/>
  <c r="CZ11" i="97" s="1"/>
  <c r="DE68" i="47"/>
  <c r="DF66" i="47" s="1"/>
  <c r="CZ8" i="97"/>
  <c r="DE115" i="47"/>
  <c r="DE118" i="47" s="1"/>
  <c r="DE105" i="47"/>
  <c r="CZ6" i="97"/>
  <c r="DE78" i="47"/>
  <c r="DE79" i="47" s="1"/>
  <c r="DE125" i="47" s="1"/>
  <c r="DH128" i="45" l="1"/>
  <c r="DH132" i="45" s="1"/>
  <c r="DB9" i="53"/>
  <c r="DB10" i="53" s="1"/>
  <c r="DB13" i="53" s="1"/>
  <c r="DE128" i="47"/>
  <c r="DE131" i="47" s="1"/>
  <c r="DF72" i="47"/>
  <c r="DG8" i="47"/>
  <c r="DF35" i="47"/>
  <c r="DF37" i="47" s="1"/>
  <c r="DH134" i="45"/>
  <c r="DH140" i="45" s="1"/>
  <c r="CZ7" i="97"/>
  <c r="DE83" i="47"/>
  <c r="DE80" i="47"/>
  <c r="DG157" i="45"/>
  <c r="CZ9" i="97" l="1"/>
  <c r="DH135" i="45"/>
  <c r="DF43" i="47" s="1"/>
  <c r="DF45" i="47" s="1"/>
  <c r="DG41" i="47" s="1"/>
  <c r="DH141" i="45"/>
  <c r="DF99" i="47"/>
  <c r="DF100" i="47" s="1"/>
  <c r="DG97" i="47" s="1"/>
  <c r="DI83" i="45"/>
  <c r="DI87" i="45" s="1"/>
  <c r="DI91" i="45" s="1"/>
  <c r="DI93" i="45" s="1"/>
  <c r="DI114" i="45" s="1"/>
  <c r="DI116" i="45" s="1"/>
  <c r="DH142" i="45" l="1"/>
  <c r="DH143" i="45" s="1"/>
  <c r="DH146" i="45" s="1"/>
  <c r="DG44" i="47"/>
  <c r="DI117" i="45" s="1"/>
  <c r="DI118" i="45" s="1"/>
  <c r="CZ12" i="97"/>
  <c r="DI120" i="45" l="1"/>
  <c r="DI122" i="45" s="1"/>
  <c r="DG8" i="71"/>
  <c r="DG10" i="71" s="1"/>
  <c r="DG23" i="47"/>
  <c r="DH147" i="45"/>
  <c r="DF73" i="47"/>
  <c r="DF74" i="47" s="1"/>
  <c r="DG71" i="47" s="1"/>
  <c r="DI130" i="45"/>
  <c r="DF93" i="47"/>
  <c r="DH148" i="45" l="1"/>
  <c r="DH149" i="45" s="1"/>
  <c r="DF94" i="47"/>
  <c r="DG91" i="47" s="1"/>
  <c r="DC5" i="53"/>
  <c r="DI125" i="45"/>
  <c r="DG98" i="47" l="1"/>
  <c r="DH32" i="47"/>
  <c r="DI29" i="47" s="1"/>
  <c r="DG24" i="47"/>
  <c r="DG25" i="47" s="1"/>
  <c r="DC6" i="53"/>
  <c r="DC7" i="53" s="1"/>
  <c r="DH153" i="45"/>
  <c r="DF102" i="47" s="1"/>
  <c r="DH154" i="45"/>
  <c r="DF114" i="47" s="1"/>
  <c r="DH152" i="45"/>
  <c r="DF76" i="47" s="1"/>
  <c r="DF67" i="47"/>
  <c r="DF68" i="47" l="1"/>
  <c r="DG66" i="47" s="1"/>
  <c r="DH155" i="45"/>
  <c r="DA8" i="97"/>
  <c r="DF115" i="47"/>
  <c r="DF118" i="47" s="1"/>
  <c r="DJ86" i="45"/>
  <c r="DP86" i="45" s="1"/>
  <c r="DA6" i="97"/>
  <c r="DF105" i="47"/>
  <c r="DF78" i="47"/>
  <c r="DI126" i="45"/>
  <c r="DH22" i="47"/>
  <c r="DA7" i="97" l="1"/>
  <c r="DA9" i="97" s="1"/>
  <c r="DF83" i="47"/>
  <c r="DG10" i="47"/>
  <c r="DG11" i="47" s="1"/>
  <c r="DC9" i="53"/>
  <c r="DC10" i="53" s="1"/>
  <c r="DC13" i="53" s="1"/>
  <c r="DI128" i="45"/>
  <c r="DI132" i="45" s="1"/>
  <c r="DG72" i="47"/>
  <c r="DJ85" i="45"/>
  <c r="DP85" i="45" s="1"/>
  <c r="DF127" i="47"/>
  <c r="DA11" i="97" s="1"/>
  <c r="DH157" i="45"/>
  <c r="DF79" i="47"/>
  <c r="DF125" i="47" s="1"/>
  <c r="DG35" i="47" l="1"/>
  <c r="DG37" i="47" s="1"/>
  <c r="DH8" i="47"/>
  <c r="DI134" i="45"/>
  <c r="DI140" i="45" s="1"/>
  <c r="DF80" i="47"/>
  <c r="DF128" i="47"/>
  <c r="DF131" i="47" s="1"/>
  <c r="DA12" i="97"/>
  <c r="DI135" i="45" l="1"/>
  <c r="DG43" i="47" s="1"/>
  <c r="DG45" i="47" s="1"/>
  <c r="DH41" i="47" s="1"/>
  <c r="DJ83" i="45"/>
  <c r="DI141" i="45"/>
  <c r="DI142" i="45" s="1"/>
  <c r="DG99" i="47"/>
  <c r="DG100" i="47" s="1"/>
  <c r="DH97" i="47" s="1"/>
  <c r="DI143" i="45" l="1"/>
  <c r="DI146" i="45" s="1"/>
  <c r="DG93" i="47"/>
  <c r="DJ87" i="45"/>
  <c r="DP83" i="45"/>
  <c r="DJ91" i="45" l="1"/>
  <c r="DP87" i="45"/>
  <c r="DG94" i="47"/>
  <c r="DH91" i="47" s="1"/>
  <c r="DI147" i="45"/>
  <c r="DG73" i="47"/>
  <c r="DG74" i="47" s="1"/>
  <c r="DH71" i="47" s="1"/>
  <c r="DH98" i="47" l="1"/>
  <c r="DI148" i="45"/>
  <c r="DJ93" i="45"/>
  <c r="DP91" i="45"/>
  <c r="DJ114" i="45" l="1"/>
  <c r="DJ116" i="45" s="1"/>
  <c r="DP93" i="45"/>
  <c r="DG67" i="47"/>
  <c r="DI149" i="45"/>
  <c r="DI152" i="45" l="1"/>
  <c r="DI153" i="45"/>
  <c r="DG102" i="47" s="1"/>
  <c r="DI154" i="45"/>
  <c r="DG114" i="47" s="1"/>
  <c r="DG68" i="47"/>
  <c r="DH66" i="47" s="1"/>
  <c r="DH44" i="47"/>
  <c r="DP116" i="45"/>
  <c r="DH72" i="47" l="1"/>
  <c r="DG115" i="47"/>
  <c r="DG118" i="47" s="1"/>
  <c r="DB8" i="97"/>
  <c r="DJ117" i="45"/>
  <c r="DJ130" i="45"/>
  <c r="DB6" i="97"/>
  <c r="DG105" i="47"/>
  <c r="DI155" i="45"/>
  <c r="DG127" i="47" s="1"/>
  <c r="DB11" i="97" s="1"/>
  <c r="DG76" i="47"/>
  <c r="DI157" i="45" l="1"/>
  <c r="DG78" i="47"/>
  <c r="DG79" i="47" s="1"/>
  <c r="DG125" i="47" s="1"/>
  <c r="DG128" i="47" s="1"/>
  <c r="DG131" i="47" s="1"/>
  <c r="DP117" i="45"/>
  <c r="DJ118" i="45"/>
  <c r="DJ120" i="45" s="1"/>
  <c r="DJ122" i="45" l="1"/>
  <c r="DP120" i="45"/>
  <c r="DH23" i="47"/>
  <c r="DH8" i="71"/>
  <c r="DH10" i="71" s="1"/>
  <c r="DP118" i="45"/>
  <c r="DB7" i="97"/>
  <c r="DB9" i="97" s="1"/>
  <c r="DB12" i="97" s="1"/>
  <c r="DG83" i="47"/>
  <c r="DG80" i="47"/>
  <c r="DJ125" i="45" l="1"/>
  <c r="DD5" i="53"/>
  <c r="DP122" i="45"/>
  <c r="DD6" i="53" l="1"/>
  <c r="DD7" i="53" s="1"/>
  <c r="DH24" i="47"/>
  <c r="DH25" i="47" s="1"/>
  <c r="DK86" i="45" l="1"/>
  <c r="DI32" i="47"/>
  <c r="DJ29" i="47" s="1"/>
  <c r="DJ126" i="45"/>
  <c r="DI22" i="47"/>
  <c r="DK85" i="45" s="1"/>
  <c r="DH10" i="47" l="1"/>
  <c r="DH11" i="47" s="1"/>
  <c r="DD9" i="53"/>
  <c r="DD10" i="53" s="1"/>
  <c r="DD13" i="53" s="1"/>
  <c r="DJ128" i="45"/>
  <c r="DJ132" i="45" l="1"/>
  <c r="DJ134" i="45" s="1"/>
  <c r="DJ140" i="45" s="1"/>
  <c r="R156" i="26"/>
  <c r="S156" i="26" s="1"/>
  <c r="DH35" i="47"/>
  <c r="DH37" i="47" s="1"/>
  <c r="DI8" i="47"/>
  <c r="DJ141" i="45" l="1"/>
  <c r="DH99" i="47"/>
  <c r="DH100" i="47" s="1"/>
  <c r="DI97" i="47" s="1"/>
  <c r="DP140" i="45"/>
  <c r="DK83" i="45"/>
  <c r="DJ135" i="45"/>
  <c r="DH43" i="47" s="1"/>
  <c r="DH45" i="47" s="1"/>
  <c r="DI41" i="47" s="1"/>
  <c r="DI44" i="47" l="1"/>
  <c r="DK117" i="45" s="1"/>
  <c r="DJ142" i="45"/>
  <c r="DP141" i="45"/>
  <c r="DJ143" i="45" l="1"/>
  <c r="DJ146" i="45" s="1"/>
  <c r="DH93" i="47"/>
  <c r="DP142" i="45"/>
  <c r="DK130" i="45"/>
  <c r="DK118" i="45"/>
  <c r="DK120" i="45" s="1"/>
  <c r="DK122" i="45" s="1"/>
  <c r="R145" i="26"/>
  <c r="DE5" i="53" l="1"/>
  <c r="S145" i="26"/>
  <c r="DI23" i="47"/>
  <c r="DN23" i="47" s="1"/>
  <c r="DI8" i="71"/>
  <c r="DI10" i="71" s="1"/>
  <c r="R146" i="26"/>
  <c r="S146" i="26" s="1"/>
  <c r="DH94" i="47"/>
  <c r="DI91" i="47" s="1"/>
  <c r="DI98" i="47" s="1"/>
  <c r="DJ147" i="45"/>
  <c r="DH73" i="47"/>
  <c r="DH74" i="47" s="1"/>
  <c r="DI71" i="47" s="1"/>
  <c r="DP146" i="45"/>
  <c r="R148" i="26" l="1"/>
  <c r="DJ148" i="45"/>
  <c r="DP147" i="45"/>
  <c r="DK125" i="45"/>
  <c r="DE6" i="53" l="1"/>
  <c r="DE7" i="53" s="1"/>
  <c r="DI24" i="47"/>
  <c r="DI25" i="47" s="1"/>
  <c r="DH67" i="47"/>
  <c r="DP148" i="45"/>
  <c r="DJ149" i="45"/>
  <c r="R150" i="26"/>
  <c r="S150" i="26" s="1"/>
  <c r="S148" i="26"/>
  <c r="DL86" i="45" l="1"/>
  <c r="DJ32" i="47"/>
  <c r="DK29" i="47" s="1"/>
  <c r="DJ152" i="45"/>
  <c r="DJ154" i="45"/>
  <c r="DJ153" i="45"/>
  <c r="DH68" i="47"/>
  <c r="DI66" i="47" s="1"/>
  <c r="DI72" i="47" s="1"/>
  <c r="DK126" i="45"/>
  <c r="DJ22" i="47"/>
  <c r="DJ155" i="45" l="1"/>
  <c r="DH127" i="47" s="1"/>
  <c r="DC11" i="97" s="1"/>
  <c r="DL85" i="45"/>
  <c r="DL125" i="45"/>
  <c r="DI10" i="47"/>
  <c r="DI11" i="47" s="1"/>
  <c r="DE9" i="53"/>
  <c r="DE10" i="53" s="1"/>
  <c r="DE13" i="53" s="1"/>
  <c r="DK128" i="45"/>
  <c r="DK132" i="45" s="1"/>
  <c r="DH114" i="47"/>
  <c r="DP154" i="45"/>
  <c r="DN114" i="47" s="1"/>
  <c r="DN115" i="47" s="1"/>
  <c r="DH102" i="47"/>
  <c r="DP153" i="45"/>
  <c r="DH76" i="47"/>
  <c r="DH78" i="47" s="1"/>
  <c r="DP152" i="45"/>
  <c r="DP155" i="45" l="1"/>
  <c r="DJ157" i="45"/>
  <c r="DP157" i="45" s="1"/>
  <c r="DC8" i="97"/>
  <c r="DH115" i="47"/>
  <c r="DH118" i="47" s="1"/>
  <c r="DH105" i="47"/>
  <c r="DC6" i="97"/>
  <c r="DI35" i="47"/>
  <c r="DI37" i="47" s="1"/>
  <c r="DJ8" i="47"/>
  <c r="DK134" i="45"/>
  <c r="DF6" i="53"/>
  <c r="DF7" i="53" s="1"/>
  <c r="DJ24" i="47"/>
  <c r="DJ25" i="47" s="1"/>
  <c r="DH79" i="47"/>
  <c r="DH125" i="47" s="1"/>
  <c r="DH128" i="47" s="1"/>
  <c r="DH131" i="47" s="1"/>
  <c r="DC7" i="97"/>
  <c r="DH83" i="47"/>
  <c r="DM86" i="45" l="1"/>
  <c r="DK32" i="47"/>
  <c r="DL29" i="47" s="1"/>
  <c r="DH80" i="47"/>
  <c r="DK22" i="47"/>
  <c r="DL126" i="45"/>
  <c r="DL83" i="45"/>
  <c r="DK140" i="45"/>
  <c r="DK141" i="45" s="1"/>
  <c r="DC9" i="97"/>
  <c r="DC12" i="97" s="1"/>
  <c r="DK135" i="45"/>
  <c r="DI43" i="47" s="1"/>
  <c r="DI45" i="47" s="1"/>
  <c r="DJ41" i="47" s="1"/>
  <c r="DL130" i="45" s="1"/>
  <c r="DJ10" i="47" l="1"/>
  <c r="DJ11" i="47" s="1"/>
  <c r="DF9" i="53"/>
  <c r="DF10" i="53" s="1"/>
  <c r="DF13" i="53" s="1"/>
  <c r="DL128" i="45"/>
  <c r="DL132" i="45" s="1"/>
  <c r="DK142" i="45"/>
  <c r="DI93" i="47" s="1"/>
  <c r="DI99" i="47"/>
  <c r="DI100" i="47" s="1"/>
  <c r="DJ97" i="47" s="1"/>
  <c r="DM85" i="45"/>
  <c r="DM125" i="45"/>
  <c r="DK143" i="45" l="1"/>
  <c r="DK146" i="45" s="1"/>
  <c r="DK147" i="45" s="1"/>
  <c r="DK24" i="47"/>
  <c r="DK25" i="47" s="1"/>
  <c r="DG6" i="53"/>
  <c r="DG7" i="53" s="1"/>
  <c r="DL32" i="47"/>
  <c r="DI94" i="47"/>
  <c r="DJ91" i="47" s="1"/>
  <c r="DJ98" i="47" s="1"/>
  <c r="DK8" i="47"/>
  <c r="DJ35" i="47"/>
  <c r="DJ37" i="47" s="1"/>
  <c r="DL134" i="45"/>
  <c r="DL135" i="45" s="1"/>
  <c r="DJ43" i="47" s="1"/>
  <c r="DJ45" i="47" s="1"/>
  <c r="DK41" i="47" s="1"/>
  <c r="DM130" i="45" s="1"/>
  <c r="DK148" i="45" l="1"/>
  <c r="DI67" i="47" s="1"/>
  <c r="DM83" i="45"/>
  <c r="DN86" i="45"/>
  <c r="R114" i="26" s="1"/>
  <c r="S114" i="26" s="1"/>
  <c r="DI73" i="47"/>
  <c r="DI74" i="47" s="1"/>
  <c r="DJ71" i="47" s="1"/>
  <c r="DL140" i="45"/>
  <c r="DL141" i="45" s="1"/>
  <c r="DL22" i="47"/>
  <c r="DM126" i="45"/>
  <c r="DL142" i="45" l="1"/>
  <c r="DJ93" i="47" s="1"/>
  <c r="DK10" i="47"/>
  <c r="DK11" i="47" s="1"/>
  <c r="DG9" i="53"/>
  <c r="DG10" i="53" s="1"/>
  <c r="DG13" i="53" s="1"/>
  <c r="DM128" i="45"/>
  <c r="DM132" i="45" s="1"/>
  <c r="DN125" i="45"/>
  <c r="DN85" i="45"/>
  <c r="R113" i="26" s="1"/>
  <c r="S113" i="26" s="1"/>
  <c r="DJ99" i="47"/>
  <c r="DJ100" i="47" s="1"/>
  <c r="DK97" i="47" s="1"/>
  <c r="DI68" i="47"/>
  <c r="DJ66" i="47" s="1"/>
  <c r="DK149" i="45"/>
  <c r="DL143" i="45" l="1"/>
  <c r="DL8" i="47"/>
  <c r="DK35" i="47"/>
  <c r="DK37" i="47" s="1"/>
  <c r="DM134" i="45"/>
  <c r="DM135" i="45" s="1"/>
  <c r="DK43" i="47" s="1"/>
  <c r="DK45" i="47" s="1"/>
  <c r="DL41" i="47" s="1"/>
  <c r="DN130" i="45" s="1"/>
  <c r="R158" i="26" s="1"/>
  <c r="S158" i="26" s="1"/>
  <c r="DH6" i="53"/>
  <c r="DH7" i="53" s="1"/>
  <c r="DL24" i="47"/>
  <c r="R153" i="26"/>
  <c r="S153" i="26" s="1"/>
  <c r="DK154" i="45"/>
  <c r="DI114" i="47" s="1"/>
  <c r="DK152" i="45"/>
  <c r="DK153" i="45"/>
  <c r="DI102" i="47" s="1"/>
  <c r="DL146" i="45"/>
  <c r="DL147" i="45" s="1"/>
  <c r="DL148" i="45" s="1"/>
  <c r="DJ72" i="47"/>
  <c r="DJ94" i="47"/>
  <c r="DK91" i="47" s="1"/>
  <c r="DK98" i="47" s="1"/>
  <c r="DD8" i="97" l="1"/>
  <c r="DI115" i="47"/>
  <c r="DI118" i="47" s="1"/>
  <c r="DI76" i="47"/>
  <c r="DN24" i="47"/>
  <c r="DL25" i="47"/>
  <c r="DN126" i="45" s="1"/>
  <c r="DD6" i="97"/>
  <c r="DI105" i="47"/>
  <c r="DM140" i="45"/>
  <c r="DN31" i="47"/>
  <c r="DK155" i="45"/>
  <c r="DI127" i="47" s="1"/>
  <c r="DD11" i="97" s="1"/>
  <c r="DL149" i="45"/>
  <c r="DJ67" i="47"/>
  <c r="DJ73" i="47"/>
  <c r="DJ74" i="47" s="1"/>
  <c r="DK71" i="47" s="1"/>
  <c r="DN83" i="45"/>
  <c r="R111" i="26" s="1"/>
  <c r="DK157" i="45" l="1"/>
  <c r="DK99" i="47"/>
  <c r="DK100" i="47" s="1"/>
  <c r="DL97" i="47" s="1"/>
  <c r="R115" i="26"/>
  <c r="R119" i="26" s="1"/>
  <c r="R121" i="26" s="1"/>
  <c r="S111" i="26"/>
  <c r="DM141" i="45"/>
  <c r="DJ68" i="47"/>
  <c r="DK66" i="47" s="1"/>
  <c r="DI78" i="47"/>
  <c r="DL10" i="47"/>
  <c r="DH9" i="53"/>
  <c r="DH10" i="53" s="1"/>
  <c r="DH13" i="53" s="1"/>
  <c r="R154" i="26"/>
  <c r="S154" i="26" s="1"/>
  <c r="DN128" i="45"/>
  <c r="DN132" i="45" s="1"/>
  <c r="DL154" i="45"/>
  <c r="DJ114" i="47" s="1"/>
  <c r="DL152" i="45"/>
  <c r="DL153" i="45"/>
  <c r="DJ102" i="47" s="1"/>
  <c r="DL155" i="45" l="1"/>
  <c r="DJ127" i="47" s="1"/>
  <c r="DE11" i="97" s="1"/>
  <c r="DK72" i="47"/>
  <c r="DI83" i="47"/>
  <c r="DD7" i="97"/>
  <c r="DD9" i="97" s="1"/>
  <c r="DD12" i="97" s="1"/>
  <c r="DM142" i="45"/>
  <c r="DM143" i="45" s="1"/>
  <c r="DI79" i="47"/>
  <c r="DI125" i="47" s="1"/>
  <c r="DI128" i="47" s="1"/>
  <c r="DI131" i="47" s="1"/>
  <c r="S115" i="26"/>
  <c r="S119" i="26" s="1"/>
  <c r="Q16" i="26"/>
  <c r="DN10" i="47"/>
  <c r="DL11" i="47"/>
  <c r="R177" i="26" s="1"/>
  <c r="R178" i="26" s="1"/>
  <c r="R182" i="26" s="1"/>
  <c r="R183" i="26" s="1"/>
  <c r="R184" i="26" s="1"/>
  <c r="R142" i="26"/>
  <c r="S142" i="26" s="1"/>
  <c r="S121" i="26"/>
  <c r="DJ76" i="47"/>
  <c r="DJ78" i="47" s="1"/>
  <c r="DJ115" i="47"/>
  <c r="DJ118" i="47" s="1"/>
  <c r="DE8" i="97"/>
  <c r="DJ105" i="47"/>
  <c r="DE6" i="97"/>
  <c r="DL157" i="45" l="1"/>
  <c r="R16" i="26"/>
  <c r="S16" i="26"/>
  <c r="Q17" i="26"/>
  <c r="DM146" i="45"/>
  <c r="DK73" i="47" s="1"/>
  <c r="DK74" i="47" s="1"/>
  <c r="DL71" i="47" s="1"/>
  <c r="DK93" i="47"/>
  <c r="DI80" i="47"/>
  <c r="DJ79" i="47"/>
  <c r="DJ125" i="47" s="1"/>
  <c r="DJ128" i="47" s="1"/>
  <c r="DJ131" i="47" s="1"/>
  <c r="DE7" i="97"/>
  <c r="DE9" i="97" s="1"/>
  <c r="DE12" i="97" s="1"/>
  <c r="DJ83" i="47"/>
  <c r="Q178" i="26"/>
  <c r="DL35" i="47"/>
  <c r="DL37" i="47" s="1"/>
  <c r="DN134" i="45"/>
  <c r="DK94" i="47" l="1"/>
  <c r="DL91" i="47" s="1"/>
  <c r="DN135" i="45"/>
  <c r="DL43" i="47" s="1"/>
  <c r="DL45" i="47" s="1"/>
  <c r="S17" i="26"/>
  <c r="R17" i="26"/>
  <c r="DJ80" i="47"/>
  <c r="DM147" i="45"/>
  <c r="DM148" i="45" l="1"/>
  <c r="DM149" i="45" s="1"/>
  <c r="DL98" i="47"/>
  <c r="DN140" i="45" s="1"/>
  <c r="DN141" i="45" s="1"/>
  <c r="DN142" i="45" s="1"/>
  <c r="DL93" i="47" s="1"/>
  <c r="DL94" i="47" s="1"/>
  <c r="DL99" i="47" l="1"/>
  <c r="DN99" i="47" s="1"/>
  <c r="DN93" i="47"/>
  <c r="DN98" i="47"/>
  <c r="DM153" i="45"/>
  <c r="DK102" i="47" s="1"/>
  <c r="DM154" i="45"/>
  <c r="DK114" i="47" s="1"/>
  <c r="DM152" i="45"/>
  <c r="DK76" i="47" s="1"/>
  <c r="DN143" i="45"/>
  <c r="DK67" i="47"/>
  <c r="DL100" i="47" l="1"/>
  <c r="DM155" i="45"/>
  <c r="DK127" i="47" s="1"/>
  <c r="DF11" i="97" s="1"/>
  <c r="DK78" i="47"/>
  <c r="DK79" i="47" s="1"/>
  <c r="DK125" i="47" s="1"/>
  <c r="DK68" i="47"/>
  <c r="DL66" i="47" s="1"/>
  <c r="DK115" i="47"/>
  <c r="DK118" i="47" s="1"/>
  <c r="DF8" i="97"/>
  <c r="DK105" i="47"/>
  <c r="DF6" i="97"/>
  <c r="DM157" i="45" l="1"/>
  <c r="DK128" i="47"/>
  <c r="DK131" i="47" s="1"/>
  <c r="DL72" i="47"/>
  <c r="DN146" i="45" s="1"/>
  <c r="DN147" i="45" s="1"/>
  <c r="DN148" i="45" s="1"/>
  <c r="DL67" i="47" s="1"/>
  <c r="DL68" i="47" s="1"/>
  <c r="Q182" i="26" s="1"/>
  <c r="Q183" i="26" s="1"/>
  <c r="Q184" i="26" s="1"/>
  <c r="DK80" i="47"/>
  <c r="DF7" i="97"/>
  <c r="DF9" i="97" s="1"/>
  <c r="DF12" i="97" s="1"/>
  <c r="DK83" i="47"/>
  <c r="DL73" i="47" l="1"/>
  <c r="DN73" i="47" s="1"/>
  <c r="DN149" i="45"/>
  <c r="DN154" i="45" s="1"/>
  <c r="DL114" i="47" s="1"/>
  <c r="DN72" i="47"/>
  <c r="DN67" i="47"/>
  <c r="AP21" i="53" s="1"/>
  <c r="AP22" i="53" s="1"/>
  <c r="D23" i="53" s="1"/>
  <c r="K14" i="26" s="1"/>
  <c r="DL74" i="47" l="1"/>
  <c r="DN153" i="45"/>
  <c r="DL102" i="47" s="1"/>
  <c r="DN102" i="47" s="1"/>
  <c r="DN152" i="45"/>
  <c r="DL115" i="47"/>
  <c r="DL118" i="47" s="1"/>
  <c r="DG8" i="97"/>
  <c r="DN155" i="45" l="1"/>
  <c r="DL127" i="47" s="1"/>
  <c r="DG11" i="97" s="1"/>
  <c r="R165" i="26" s="1"/>
  <c r="S165" i="26" s="1"/>
  <c r="DL105" i="47"/>
  <c r="G106" i="47" s="1"/>
  <c r="DG6" i="97"/>
  <c r="DI6" i="97" s="1"/>
  <c r="DL76" i="47"/>
  <c r="DL78" i="47" s="1"/>
  <c r="DL79" i="47" s="1"/>
  <c r="DI8" i="97"/>
  <c r="L18" i="97"/>
  <c r="DN76" i="47"/>
  <c r="DN118" i="47"/>
  <c r="G120" i="47" s="1"/>
  <c r="N22" i="46" s="1"/>
  <c r="G119" i="47"/>
  <c r="Q249" i="26"/>
  <c r="S249" i="26" s="1"/>
  <c r="DI11" i="97"/>
  <c r="L21" i="97"/>
  <c r="M21" i="97" s="1"/>
  <c r="DN157" i="45" l="1"/>
  <c r="Q248" i="26"/>
  <c r="S248" i="26" s="1"/>
  <c r="DN105" i="47"/>
  <c r="G107" i="47" s="1"/>
  <c r="N14" i="46" s="1"/>
  <c r="DN127" i="47"/>
  <c r="L16" i="97"/>
  <c r="M16" i="97" s="1"/>
  <c r="DL80" i="47"/>
  <c r="DL125" i="47"/>
  <c r="DN79" i="47"/>
  <c r="DL83" i="47"/>
  <c r="DG7" i="97"/>
  <c r="DN78" i="47"/>
  <c r="G249" i="26"/>
  <c r="O22" i="46"/>
  <c r="Q215" i="26"/>
  <c r="M18" i="97"/>
  <c r="R215" i="26" s="1"/>
  <c r="G248" i="26"/>
  <c r="O14" i="46"/>
  <c r="Q205" i="26" l="1"/>
  <c r="Q207" i="26"/>
  <c r="Q206" i="26"/>
  <c r="S215" i="26"/>
  <c r="DI7" i="97"/>
  <c r="DI9" i="97" s="1"/>
  <c r="DI12" i="97" s="1"/>
  <c r="L17" i="97"/>
  <c r="DG9" i="97"/>
  <c r="R164" i="26" s="1"/>
  <c r="DN83" i="47"/>
  <c r="G85" i="47" s="1"/>
  <c r="N4" i="46" s="1"/>
  <c r="G84" i="47"/>
  <c r="Q247" i="26"/>
  <c r="DL128" i="47"/>
  <c r="DN125" i="47"/>
  <c r="R207" i="26"/>
  <c r="R205" i="26"/>
  <c r="R206" i="26"/>
  <c r="S206" i="26" s="1"/>
  <c r="Q208" i="26" l="1"/>
  <c r="S207" i="26"/>
  <c r="R168" i="26"/>
  <c r="R160" i="26"/>
  <c r="R198" i="26"/>
  <c r="S205" i="26"/>
  <c r="R208" i="26"/>
  <c r="DL131" i="47"/>
  <c r="DN128" i="47"/>
  <c r="Q250" i="26"/>
  <c r="S250" i="26" s="1"/>
  <c r="DG12" i="97"/>
  <c r="S247" i="26"/>
  <c r="Q211" i="26"/>
  <c r="Q212" i="26"/>
  <c r="M17" i="97"/>
  <c r="L19" i="97"/>
  <c r="L22" i="97" s="1"/>
  <c r="O4" i="46"/>
  <c r="G247" i="26"/>
  <c r="S208" i="26" l="1"/>
  <c r="G253" i="26"/>
  <c r="Q251" i="26"/>
  <c r="G252" i="26" s="1"/>
  <c r="Q213" i="26"/>
  <c r="G132" i="47"/>
  <c r="DN131" i="47"/>
  <c r="G133" i="47" s="1"/>
  <c r="N26" i="46" s="1"/>
  <c r="N28" i="46" s="1"/>
  <c r="Q198" i="26"/>
  <c r="G198" i="26" s="1"/>
  <c r="Q167" i="26"/>
  <c r="Q197" i="26"/>
  <c r="G197" i="26" s="1"/>
  <c r="Q160" i="26"/>
  <c r="S160" i="26" s="1"/>
  <c r="Q168" i="26"/>
  <c r="S164" i="26"/>
  <c r="R212" i="26"/>
  <c r="S212" i="26" s="1"/>
  <c r="R211" i="26"/>
  <c r="M19" i="97"/>
  <c r="M22" i="97" s="1"/>
  <c r="R213" i="26" l="1"/>
  <c r="R216" i="26" s="1"/>
  <c r="O26" i="46"/>
  <c r="G250" i="26"/>
  <c r="S211" i="26"/>
  <c r="Q169" i="26"/>
  <c r="R167" i="26"/>
  <c r="R169" i="26" s="1"/>
  <c r="S213" i="26"/>
  <c r="Q216" i="26"/>
  <c r="S216" i="2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Brandyn Hawk</author>
  </authors>
  <commentList>
    <comment ref="E3" authorId="0" shapeId="0" xr:uid="{59BB2217-87DC-45CB-8BF4-19FD1AB238C9}">
      <text>
        <r>
          <rPr>
            <b/>
            <sz val="9"/>
            <color indexed="81"/>
            <rFont val="Tahoma"/>
            <family val="2"/>
          </rPr>
          <t>Brandyn Hawk:</t>
        </r>
        <r>
          <rPr>
            <sz val="9"/>
            <color indexed="81"/>
            <rFont val="Tahoma"/>
            <family val="2"/>
          </rPr>
          <t xml:space="preserve">
As of 1/17/24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Brandyn Hawk</author>
  </authors>
  <commentList>
    <comment ref="T55" authorId="0" shapeId="0" xr:uid="{D30886E3-22ED-4953-9AA3-643D38F06CDD}">
      <text>
        <r>
          <rPr>
            <b/>
            <sz val="9"/>
            <color indexed="81"/>
            <rFont val="Tahoma"/>
            <family val="2"/>
          </rPr>
          <t>Brandyn Hawk:</t>
        </r>
        <r>
          <rPr>
            <sz val="9"/>
            <color indexed="81"/>
            <rFont val="Tahoma"/>
            <family val="2"/>
          </rPr>
          <t xml:space="preserve">
Web site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Brandyn Hawk</author>
  </authors>
  <commentList>
    <comment ref="I14" authorId="0" shapeId="0" xr:uid="{1F5710D9-5425-48B6-ADBD-E2A34E025656}">
      <text>
        <r>
          <rPr>
            <b/>
            <sz val="9"/>
            <color indexed="81"/>
            <rFont val="Tahoma"/>
            <family val="2"/>
          </rPr>
          <t>Brandyn Hawk:</t>
        </r>
        <r>
          <rPr>
            <sz val="9"/>
            <color indexed="81"/>
            <rFont val="Tahoma"/>
            <family val="2"/>
          </rPr>
          <t xml:space="preserve">
$180k for NBU + $145k for CC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Brandyn Hawk</author>
  </authors>
  <commentList>
    <comment ref="L3" authorId="0" shapeId="0" xr:uid="{2187723E-5001-49D0-86E4-B9A60060F35A}">
      <text>
        <r>
          <rPr>
            <b/>
            <sz val="9"/>
            <color indexed="81"/>
            <rFont val="Tahoma"/>
            <family val="2"/>
          </rPr>
          <t>Brandyn Hawk:</t>
        </r>
        <r>
          <rPr>
            <sz val="9"/>
            <color indexed="81"/>
            <rFont val="Tahoma"/>
            <family val="2"/>
          </rPr>
          <t xml:space="preserve">
March/April</t>
        </r>
      </text>
    </comment>
    <comment ref="J7" authorId="0" shapeId="0" xr:uid="{E8729CCF-996D-4BE3-95FE-E313E8A0B84F}">
      <text>
        <r>
          <rPr>
            <b/>
            <sz val="9"/>
            <color indexed="81"/>
            <rFont val="Tahoma"/>
            <family val="2"/>
          </rPr>
          <t>Brandyn Hawk:</t>
        </r>
        <r>
          <rPr>
            <sz val="9"/>
            <color indexed="81"/>
            <rFont val="Tahoma"/>
            <family val="2"/>
          </rPr>
          <t xml:space="preserve">
Pulling from "clubhouse" subschedule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Brandyn Hawk</author>
  </authors>
  <commentList>
    <comment ref="C4" authorId="0" shapeId="0" xr:uid="{D71A8072-7703-476C-A8E2-82467E247BDD}">
      <text>
        <r>
          <rPr>
            <b/>
            <sz val="9"/>
            <color indexed="81"/>
            <rFont val="Tahoma"/>
            <family val="2"/>
          </rPr>
          <t>Brandyn Hawk:</t>
        </r>
        <r>
          <rPr>
            <sz val="9"/>
            <color indexed="81"/>
            <rFont val="Tahoma"/>
            <family val="2"/>
          </rPr>
          <t xml:space="preserve">
Mark shows 3,440sf on "amenity center worksheet" and 2,120sf on "Infrastructure" worksheet</t>
        </r>
      </text>
    </comment>
    <comment ref="C15" authorId="0" shapeId="0" xr:uid="{1863CFD8-B22D-4977-801A-1DEA786BB2B9}">
      <text>
        <r>
          <rPr>
            <b/>
            <sz val="9"/>
            <color indexed="81"/>
            <rFont val="Tahoma"/>
            <family val="2"/>
          </rPr>
          <t>Brandyn Hawk:</t>
        </r>
        <r>
          <rPr>
            <sz val="9"/>
            <color indexed="81"/>
            <rFont val="Tahoma"/>
            <family val="2"/>
          </rPr>
          <t xml:space="preserve">
another 10 loads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Brandyn Hawk</author>
  </authors>
  <commentList>
    <comment ref="L47" authorId="0" shapeId="0" xr:uid="{93C82C4C-B6CF-4BA2-A50C-2414B46CB71E}">
      <text>
        <r>
          <rPr>
            <b/>
            <sz val="9"/>
            <color indexed="81"/>
            <rFont val="Tahoma"/>
            <family val="2"/>
          </rPr>
          <t>Brandyn Hawk:</t>
        </r>
        <r>
          <rPr>
            <sz val="9"/>
            <color indexed="81"/>
            <rFont val="Tahoma"/>
            <family val="2"/>
          </rPr>
          <t xml:space="preserve">
Contingency applied to lump sum total of HC + SC</t>
        </r>
      </text>
    </comment>
  </commentList>
</comments>
</file>

<file path=xl/sharedStrings.xml><?xml version="1.0" encoding="utf-8"?>
<sst xmlns="http://schemas.openxmlformats.org/spreadsheetml/2006/main" count="2275" uniqueCount="1111">
  <si>
    <t xml:space="preserve"> __________ </t>
  </si>
  <si>
    <t xml:space="preserve">            </t>
  </si>
  <si>
    <t>LTV</t>
  </si>
  <si>
    <t>Interest Rate</t>
  </si>
  <si>
    <t>Expense Growth</t>
  </si>
  <si>
    <t>Initial Equity Investment</t>
  </si>
  <si>
    <t>Cumulative</t>
  </si>
  <si>
    <t>Leasing Commissions</t>
  </si>
  <si>
    <t>Tenant Improvements</t>
  </si>
  <si>
    <t>Prepayment Penalty</t>
  </si>
  <si>
    <t>Cap Rate</t>
  </si>
  <si>
    <t>Fiscal Year Ending</t>
  </si>
  <si>
    <t>Total Amount</t>
  </si>
  <si>
    <t>Yr 1</t>
  </si>
  <si>
    <t>Yr 2</t>
  </si>
  <si>
    <t>Yr 3</t>
  </si>
  <si>
    <t>Yr 4</t>
  </si>
  <si>
    <t>Yr 5</t>
  </si>
  <si>
    <t>Yr 6</t>
  </si>
  <si>
    <t>Yr 7</t>
  </si>
  <si>
    <t>Yr 8</t>
  </si>
  <si>
    <t>Yr 9</t>
  </si>
  <si>
    <t>Suite</t>
  </si>
  <si>
    <t>SF</t>
  </si>
  <si>
    <t>TOTAL TI'S</t>
  </si>
  <si>
    <t>New Tenant TI:</t>
  </si>
  <si>
    <t>Renewal Tenant TI:</t>
  </si>
  <si>
    <t>$/SF Amount</t>
  </si>
  <si>
    <t>Total SF Expiring/ New Leases</t>
  </si>
  <si>
    <t>TOTAL TI'S ($/SF Expiring-New Leases)</t>
  </si>
  <si>
    <t xml:space="preserve">  Qantas Airways          </t>
  </si>
  <si>
    <t xml:space="preserve">  Davis Select            </t>
  </si>
  <si>
    <t xml:space="preserve">2949A  </t>
  </si>
  <si>
    <t xml:space="preserve">  Davis Expansion Space   </t>
  </si>
  <si>
    <t xml:space="preserve">2949 A </t>
  </si>
  <si>
    <t xml:space="preserve">  APEX                    </t>
  </si>
  <si>
    <t xml:space="preserve">  Iron Mountain           </t>
  </si>
  <si>
    <t xml:space="preserve">Bldg E </t>
  </si>
  <si>
    <t xml:space="preserve">  Building C- Suite 1     </t>
  </si>
  <si>
    <t xml:space="preserve">Mo  12 </t>
  </si>
  <si>
    <t xml:space="preserve">  Building C- Suite 2     </t>
  </si>
  <si>
    <t xml:space="preserve">Mo  18 </t>
  </si>
  <si>
    <t xml:space="preserve">  Bldg A Suite 1          </t>
  </si>
  <si>
    <t xml:space="preserve">Mo   7 </t>
  </si>
  <si>
    <t xml:space="preserve">  Bldg A Suite 2          </t>
  </si>
  <si>
    <t xml:space="preserve">Mo  22 </t>
  </si>
  <si>
    <t xml:space="preserve">  Bldg A Suite 3          </t>
  </si>
  <si>
    <t xml:space="preserve">Mo  27 </t>
  </si>
  <si>
    <t xml:space="preserve">                          </t>
  </si>
  <si>
    <t xml:space="preserve">       </t>
  </si>
  <si>
    <t>Iron Mountain Temp. Space (B)</t>
  </si>
  <si>
    <t>TABLE 1.5 - TUCSON AIRPORT CENTER - TENANT IMPROVEMENTS (A)</t>
  </si>
  <si>
    <t>(B)- Assumes New Tenant Improvement allowance of $4.00/sq.ft. and Renewal Tenant Allowance of $2.00/sq.ft. as the space is 100% warehouse.</t>
  </si>
  <si>
    <t>(A)- Tenant Improvement amounts calculated based on a 75% probability that tenants will renew.</t>
  </si>
  <si>
    <t>TABLE 1.0 - TUCSON AIRPORT CENTER- EXISTING RENT ROLL AS OF MAY 31, 2005</t>
  </si>
  <si>
    <t>TENANT</t>
  </si>
  <si>
    <t>SUITE</t>
  </si>
  <si>
    <t>BASE</t>
  </si>
  <si>
    <t>$/SF</t>
  </si>
  <si>
    <t>LEASE</t>
  </si>
  <si>
    <t>EXP. REIMB.</t>
  </si>
  <si>
    <t>$/YR</t>
  </si>
  <si>
    <t>TOTAL</t>
  </si>
  <si>
    <t>$/SF/YR</t>
  </si>
  <si>
    <t>$/SF/MO</t>
  </si>
  <si>
    <t>INCREASES</t>
  </si>
  <si>
    <t>NOTES</t>
  </si>
  <si>
    <t>#</t>
  </si>
  <si>
    <t>RENT/YR</t>
  </si>
  <si>
    <t>/YR</t>
  </si>
  <si>
    <t>/MO</t>
  </si>
  <si>
    <t>TYPE</t>
  </si>
  <si>
    <t>REVENUES</t>
  </si>
  <si>
    <t>START</t>
  </si>
  <si>
    <t>EXPIRES</t>
  </si>
  <si>
    <t>($/SF/YR)</t>
  </si>
  <si>
    <t>Qantas Airways</t>
  </si>
  <si>
    <t>2.5% Bumps</t>
  </si>
  <si>
    <t>Davis Select</t>
  </si>
  <si>
    <t>Net</t>
  </si>
  <si>
    <t>Davis Select (Expansion Space)</t>
  </si>
  <si>
    <t>2a</t>
  </si>
  <si>
    <t>APEX</t>
  </si>
  <si>
    <t>Iron Mountain Temp. Space</t>
  </si>
  <si>
    <t>2B</t>
  </si>
  <si>
    <t>None</t>
  </si>
  <si>
    <t>Temp. Lease for Storage</t>
  </si>
  <si>
    <t>Building C Ste 1 (VACANT)</t>
  </si>
  <si>
    <t>C1</t>
  </si>
  <si>
    <t>Building C Ste 2 (VACANT)</t>
  </si>
  <si>
    <t>C2</t>
  </si>
  <si>
    <t>Building A Ste 1 (VACANT)</t>
  </si>
  <si>
    <t>A1</t>
  </si>
  <si>
    <t>Building A Ste 2 (VACANT)</t>
  </si>
  <si>
    <t>A2</t>
  </si>
  <si>
    <t>Building A Ste 3 (VACANT)</t>
  </si>
  <si>
    <t>A3</t>
  </si>
  <si>
    <t>Totals</t>
  </si>
  <si>
    <t>Total Space Occupied</t>
  </si>
  <si>
    <t>% Occupied</t>
  </si>
  <si>
    <t>(A)</t>
  </si>
  <si>
    <t>Avg. Rent of Occupied Space</t>
  </si>
  <si>
    <t>TABLE 1.1 -TUCSON AIRPORT CENTER - GROSS POTENTIAL RENT PER SQUARE FOOT (1)</t>
  </si>
  <si>
    <t>Market Rents</t>
  </si>
  <si>
    <t>Standard</t>
  </si>
  <si>
    <t>Rental Rates - $/SF</t>
  </si>
  <si>
    <t xml:space="preserve">TENANT                    </t>
  </si>
  <si>
    <t xml:space="preserve">SUITE </t>
  </si>
  <si>
    <t xml:space="preserve">Mo   8 </t>
  </si>
  <si>
    <t xml:space="preserve">Mo  10 </t>
  </si>
  <si>
    <t xml:space="preserve">Mo   5 </t>
  </si>
  <si>
    <t xml:space="preserve">Mo  17 </t>
  </si>
  <si>
    <t>TABLE 1.2 -TUCSON AIRPORT CENTER- MONTHS VACANT, FREE RENT, &amp; NEW LEASE PROJECTION (1)</t>
  </si>
  <si>
    <t>Years In</t>
  </si>
  <si>
    <t>New Lease</t>
  </si>
  <si>
    <t>First Term Lease Expirations</t>
  </si>
  <si>
    <t>Lease Expirations after First Term</t>
  </si>
  <si>
    <t>Total</t>
  </si>
  <si>
    <t>% of Building</t>
  </si>
  <si>
    <t>(1) Months vacant calculation for vacant space shows the blended downtime (1 month) between leases.</t>
  </si>
  <si>
    <t>TABLE 1.3 -TUCSON AIRPORT CENTER - BASE RENT REVENUES</t>
  </si>
  <si>
    <t>OCCUPANCY BEFORE VACANCY LOSS:</t>
  </si>
  <si>
    <t>OCCUPANCY AFTER VACANCY LOSS:</t>
  </si>
  <si>
    <t>POTENTIAL RENTAL INCOME:</t>
  </si>
  <si>
    <t>RENTAL INCOME BEFORE VACANCY LOSS:</t>
  </si>
  <si>
    <t>TABLE 1.4 - TUCSON AIRPORT CENTER - LEASE COMMISSIONS</t>
  </si>
  <si>
    <t>New Lease Commission %</t>
  </si>
  <si>
    <t>Renewal Commission %</t>
  </si>
  <si>
    <t xml:space="preserve"> TOTAL LEASE COMMISSIONS</t>
  </si>
  <si>
    <t>TABLE 2.0 : HISTORICAL EXPENSE &amp; 1ST YEAR PROJECTION</t>
  </si>
  <si>
    <t>Net Rentable:</t>
  </si>
  <si>
    <t>Leased Square Footage:</t>
  </si>
  <si>
    <t>% Occupied as of March 1, 2005:</t>
  </si>
  <si>
    <t>Year 1</t>
  </si>
  <si>
    <t>Actual</t>
  </si>
  <si>
    <t>Estimated</t>
  </si>
  <si>
    <t>12-Month Average Occupancy</t>
  </si>
  <si>
    <t>Base Rent</t>
  </si>
  <si>
    <t>Cam Reimbursement</t>
  </si>
  <si>
    <t>Insurance Reimbursement</t>
  </si>
  <si>
    <t>RE Taxes Reimbursed</t>
  </si>
  <si>
    <t>Maintenance Tenant</t>
  </si>
  <si>
    <t>Other Income Tenant</t>
  </si>
  <si>
    <t>Interest Income Other</t>
  </si>
  <si>
    <t>Dividends</t>
  </si>
  <si>
    <t>GROSS INCOME</t>
  </si>
  <si>
    <t>Operating Expenses</t>
  </si>
  <si>
    <t>Property Management</t>
  </si>
  <si>
    <t>RE Taxes</t>
  </si>
  <si>
    <t>Insurance</t>
  </si>
  <si>
    <t>Utilities</t>
  </si>
  <si>
    <t>HVAC</t>
  </si>
  <si>
    <t>Repairs &amp; Maint.</t>
  </si>
  <si>
    <t>Landscaping</t>
  </si>
  <si>
    <t>Misc. Bldg</t>
  </si>
  <si>
    <t>Misc. Other</t>
  </si>
  <si>
    <t>Office Exp</t>
  </si>
  <si>
    <t>Total Operating Expenses</t>
  </si>
  <si>
    <t>Non-Reimbursable Expenses</t>
  </si>
  <si>
    <t>Leasing</t>
  </si>
  <si>
    <t>Accounting</t>
  </si>
  <si>
    <t>Legal</t>
  </si>
  <si>
    <t>Professional Services</t>
  </si>
  <si>
    <t>Total Non-Reimbursable Expenses</t>
  </si>
  <si>
    <t>NET OPERATING INCOME</t>
  </si>
  <si>
    <r>
      <t xml:space="preserve">/SF/YR </t>
    </r>
    <r>
      <rPr>
        <b/>
        <sz val="9"/>
        <rFont val="Times New Roman"/>
        <family val="1"/>
      </rPr>
      <t>(A)</t>
    </r>
  </si>
  <si>
    <r>
      <t>(A)</t>
    </r>
    <r>
      <rPr>
        <sz val="10"/>
        <rFont val="Times New Roman"/>
        <family val="1"/>
      </rPr>
      <t xml:space="preserve"> Excludes Iron Mountain Temporary Space</t>
    </r>
  </si>
  <si>
    <r>
      <t>(B)</t>
    </r>
    <r>
      <rPr>
        <sz val="10"/>
        <rFont val="Times New Roman"/>
        <family val="1"/>
      </rPr>
      <t xml:space="preserve"> NNN tenants pay pro-rata share of operating expenses.</t>
    </r>
  </si>
  <si>
    <r>
      <t>Average Potential Lease Rate</t>
    </r>
    <r>
      <rPr>
        <sz val="12"/>
        <rFont val="Times New Roman"/>
        <family val="1"/>
      </rPr>
      <t>:</t>
    </r>
  </si>
  <si>
    <r>
      <t xml:space="preserve">Months Vacant per space in year (months/year) </t>
    </r>
    <r>
      <rPr>
        <b/>
        <vertAlign val="superscript"/>
        <sz val="12"/>
        <rFont val="Times New Roman"/>
        <family val="1"/>
      </rPr>
      <t>2</t>
    </r>
  </si>
  <si>
    <r>
      <t>ABSORPTION &amp; TURNOVER VACANCY</t>
    </r>
    <r>
      <rPr>
        <b/>
        <vertAlign val="superscript"/>
        <sz val="12"/>
        <rFont val="Times New Roman"/>
        <family val="1"/>
      </rPr>
      <t>1</t>
    </r>
    <r>
      <rPr>
        <b/>
        <sz val="12"/>
        <rFont val="Times New Roman"/>
        <family val="1"/>
      </rPr>
      <t>:</t>
    </r>
  </si>
  <si>
    <r>
      <t>1</t>
    </r>
    <r>
      <rPr>
        <sz val="10"/>
        <rFont val="Times New Roman"/>
        <family val="1"/>
      </rPr>
      <t>Absorption &amp; Turnover Vacancy: The amount of revenue lost during the initial lease up of vacant space and downtime between leases.</t>
    </r>
  </si>
  <si>
    <r>
      <t>(A)</t>
    </r>
    <r>
      <rPr>
        <sz val="10"/>
        <rFont val="Times New Roman"/>
        <family val="1"/>
      </rPr>
      <t>- We account for these expenses below the NOI line.</t>
    </r>
  </si>
  <si>
    <t>TUCSON AIRPORT CENTER</t>
  </si>
  <si>
    <t xml:space="preserve">TABLE 1A - INPUT ASSUMPTIONS -  </t>
  </si>
  <si>
    <t>General Assumptions</t>
  </si>
  <si>
    <t>Basement</t>
  </si>
  <si>
    <t>US Orthopedics</t>
  </si>
  <si>
    <t>Analysis Start</t>
  </si>
  <si>
    <t>Renewal Probability</t>
  </si>
  <si>
    <t>Total Net Rentable Area</t>
  </si>
  <si>
    <t>Market Rent Growth (%)</t>
  </si>
  <si>
    <t>Months Vacant</t>
  </si>
  <si>
    <t>Operating Expenses ($/Sq. Ft.)</t>
  </si>
  <si>
    <t>Deferred Maintenance</t>
  </si>
  <si>
    <t>New</t>
  </si>
  <si>
    <t>Capital Reserves ($/Sq. Ft.)</t>
  </si>
  <si>
    <t>Renewal</t>
  </si>
  <si>
    <t>Vacancy  Loss</t>
  </si>
  <si>
    <t xml:space="preserve">Occupancy </t>
  </si>
  <si>
    <t>Leased Up By</t>
  </si>
  <si>
    <t>Rent Abatements</t>
  </si>
  <si>
    <t>Annual Rent Increases</t>
  </si>
  <si>
    <t>Lease Term</t>
  </si>
  <si>
    <t>Lease Type</t>
  </si>
  <si>
    <t>NNN</t>
  </si>
  <si>
    <t>Base Year</t>
  </si>
  <si>
    <t>Loan Amount</t>
  </si>
  <si>
    <t>TI &amp; LC Holdback</t>
  </si>
  <si>
    <t>Initial Funding</t>
  </si>
  <si>
    <t>Amortization (months)</t>
  </si>
  <si>
    <t>Points and Fees</t>
  </si>
  <si>
    <t>Term (years/mos)</t>
  </si>
  <si>
    <t>Debt Assumptions- Refinance</t>
  </si>
  <si>
    <t>Pricing</t>
  </si>
  <si>
    <t>Asking Price</t>
  </si>
  <si>
    <t>Table 3.0</t>
  </si>
  <si>
    <t>Cap Rate (on Yr 1 Proforma)</t>
  </si>
  <si>
    <t>5 yrs</t>
  </si>
  <si>
    <t xml:space="preserve">Rollover Leasing Assumptions </t>
  </si>
  <si>
    <t>Acquisition Commission (A)</t>
  </si>
  <si>
    <t>See (C) below.</t>
  </si>
  <si>
    <r>
      <t xml:space="preserve">(C) </t>
    </r>
    <r>
      <rPr>
        <sz val="10"/>
        <rFont val="Times New Roman"/>
        <family val="1"/>
      </rPr>
      <t>QANTAS Airways' actual lease rate is modified gross. Qantas lease rate converted to NNN for comparison purposes. The actual lease rate is $10.56/sq.ft./Yr. with expense reimbursements over 2003 base year.</t>
    </r>
  </si>
  <si>
    <t>Estimated Expenses</t>
  </si>
  <si>
    <t>yr 3</t>
  </si>
  <si>
    <t>Per Sq.Ft.</t>
  </si>
  <si>
    <t>Subsequent leasing for space reported as NNN.</t>
  </si>
  <si>
    <r>
      <t>Note-</t>
    </r>
    <r>
      <rPr>
        <sz val="12"/>
        <rFont val="Times New Roman"/>
        <family val="1"/>
      </rPr>
      <t xml:space="preserve"> Qantas Airways' actual rental rate is modified gross.  Rental rate was converted to NNN for purposes of this table by subtracting estimated exspenses/sq.ft. for the remaining term of lease.  </t>
    </r>
  </si>
  <si>
    <t>The 1 month blended downtime between leases is based on a 25% probability that a tenant vacates and it takes 6 months to find a new tenant.</t>
  </si>
  <si>
    <r>
      <t xml:space="preserve">Net </t>
    </r>
    <r>
      <rPr>
        <sz val="9"/>
        <rFont val="Times New Roman"/>
        <family val="1"/>
      </rPr>
      <t>(C)</t>
    </r>
  </si>
  <si>
    <r>
      <t xml:space="preserve">SF/YR </t>
    </r>
    <r>
      <rPr>
        <b/>
        <sz val="9"/>
        <rFont val="Times New Roman"/>
        <family val="1"/>
      </rPr>
      <t>(B)</t>
    </r>
  </si>
  <si>
    <r>
      <t xml:space="preserve">Warehouse </t>
    </r>
    <r>
      <rPr>
        <b/>
        <sz val="8"/>
        <rFont val="Times New Roman"/>
        <family val="1"/>
      </rPr>
      <t>(24,000 Sq.Ft.)</t>
    </r>
  </si>
  <si>
    <t>Market Rent New ($ per Sq.Ft./Mos/NNN)</t>
  </si>
  <si>
    <t>Market Rent Renewal ($ per Sq.Ft./Mos/NNN)</t>
  </si>
  <si>
    <t xml:space="preserve">Debt Assumptions- Alliance Bank </t>
  </si>
  <si>
    <t>Interest Only</t>
  </si>
  <si>
    <t>Interest Rate- Acquisition</t>
  </si>
  <si>
    <t>6.23% Fixed</t>
  </si>
  <si>
    <t>Cap-Ex, TI &amp; LC Holdback</t>
  </si>
  <si>
    <t>Interest Rate- Cap-Ex, TI &amp; LC Draws</t>
  </si>
  <si>
    <t>Prime + 1% (Est. 7.5% Yr 1)</t>
  </si>
  <si>
    <t>1% in year 1 then $0</t>
  </si>
  <si>
    <t>2 years</t>
  </si>
  <si>
    <t>Closing Costs (B)</t>
  </si>
  <si>
    <r>
      <t>(B)</t>
    </r>
    <r>
      <rPr>
        <sz val="10"/>
        <rFont val="Times New Roman"/>
        <family val="1"/>
      </rPr>
      <t>- See Detailed Closing Costs Above</t>
    </r>
  </si>
  <si>
    <t>Detailed Closing Costs</t>
  </si>
  <si>
    <t>Commission (Acquisition)</t>
  </si>
  <si>
    <t>Due Diligence and Legal</t>
  </si>
  <si>
    <t>Total Est. Closing Costs</t>
  </si>
  <si>
    <t>Loan Fees</t>
  </si>
  <si>
    <r>
      <t>(A)</t>
    </r>
    <r>
      <rPr>
        <sz val="10"/>
        <rFont val="Times New Roman"/>
        <family val="1"/>
      </rPr>
      <t>- Included in Closing Costs</t>
    </r>
  </si>
  <si>
    <t>Warehouse</t>
  </si>
  <si>
    <r>
      <t xml:space="preserve">Iron Mountain Temp. Space </t>
    </r>
    <r>
      <rPr>
        <b/>
        <sz val="10"/>
        <rFont val="Times New Roman"/>
        <family val="1"/>
      </rPr>
      <t>(A)</t>
    </r>
  </si>
  <si>
    <r>
      <t>(A)-</t>
    </r>
    <r>
      <rPr>
        <sz val="12"/>
        <rFont val="Times New Roman"/>
        <family val="1"/>
      </rPr>
      <t xml:space="preserve"> Warehouse Space.</t>
    </r>
  </si>
  <si>
    <t>Debt Service - Interest</t>
  </si>
  <si>
    <t>NET OPERATING INCOME (NOI)</t>
  </si>
  <si>
    <t>N/A</t>
  </si>
  <si>
    <t>$ per SF</t>
  </si>
  <si>
    <t>Total Cost</t>
  </si>
  <si>
    <t>Soft Costs</t>
  </si>
  <si>
    <t>Hard Costs</t>
  </si>
  <si>
    <t>TOTAL DEVELOPMENT COSTS</t>
  </si>
  <si>
    <t>Sub-Total</t>
  </si>
  <si>
    <t>*</t>
  </si>
  <si>
    <t>Total Cash Raised from Investors</t>
  </si>
  <si>
    <t>Preferred Return</t>
  </si>
  <si>
    <t>Beg. Balance</t>
  </si>
  <si>
    <t>Ending Balance</t>
  </si>
  <si>
    <t>Description</t>
  </si>
  <si>
    <t>Sources</t>
  </si>
  <si>
    <t>Uses</t>
  </si>
  <si>
    <t>Contingency</t>
  </si>
  <si>
    <t>Cost/Unit</t>
  </si>
  <si>
    <t>Cost</t>
  </si>
  <si>
    <t>x</t>
  </si>
  <si>
    <t>Less:  Acquisition Loan</t>
  </si>
  <si>
    <t>Plus:  Org. &amp; Closing Costs</t>
  </si>
  <si>
    <t>Plus:  Loan Fees</t>
  </si>
  <si>
    <t>Plus:  Working Capital</t>
  </si>
  <si>
    <t>Less:  Acq. Fee Reinvested</t>
  </si>
  <si>
    <t>PROJECT STATISTICS</t>
  </si>
  <si>
    <t>PROJECT FINANCING</t>
  </si>
  <si>
    <t>Acquisition Loan</t>
  </si>
  <si>
    <t>Const. Loan</t>
  </si>
  <si>
    <t>Int. Rate</t>
  </si>
  <si>
    <t>Loan Type</t>
  </si>
  <si>
    <t>Term - Yrs.</t>
  </si>
  <si>
    <t>Pts. &amp; Fees</t>
  </si>
  <si>
    <t>Mo. Initiated</t>
  </si>
  <si>
    <t>Int. Only</t>
  </si>
  <si>
    <t>3rd Party Reports</t>
  </si>
  <si>
    <t>Appraisal</t>
  </si>
  <si>
    <t>Phase I</t>
  </si>
  <si>
    <t>Survey</t>
  </si>
  <si>
    <t>Entity Formation</t>
  </si>
  <si>
    <t>PSA Negotiation</t>
  </si>
  <si>
    <t>Loan Review</t>
  </si>
  <si>
    <t>Add:  Contingency</t>
  </si>
  <si>
    <t>Total Rounded</t>
  </si>
  <si>
    <t>Other</t>
  </si>
  <si>
    <t>ORGANIZATIONAL &amp; CLOSING COSTS</t>
  </si>
  <si>
    <t>Legal Fees</t>
  </si>
  <si>
    <t>Less:  Seller Carryback</t>
  </si>
  <si>
    <t>Seller Carryback</t>
  </si>
  <si>
    <t>See Org. Costs</t>
  </si>
  <si>
    <t>(see Sunk Costs below)</t>
  </si>
  <si>
    <t>Hard Costs - Buildings</t>
  </si>
  <si>
    <t>Hard Costs - Sitework</t>
  </si>
  <si>
    <t>$ Unit</t>
  </si>
  <si>
    <t>UNIT COSTS</t>
  </si>
  <si>
    <t>TOTAL OPERATING EXPENSES</t>
  </si>
  <si>
    <t>Construction Loan</t>
  </si>
  <si>
    <t>Amort. - Mo's.</t>
  </si>
  <si>
    <t>NON-OPERATING EXPENSES</t>
  </si>
  <si>
    <t>LOAN BALANCES</t>
  </si>
  <si>
    <t>Beg. Principal</t>
  </si>
  <si>
    <t>Add:  Draws</t>
  </si>
  <si>
    <t>Less:  Principal Payments</t>
  </si>
  <si>
    <t>Ending Principal</t>
  </si>
  <si>
    <t>Total Debt Service</t>
  </si>
  <si>
    <t>TOTAL NON-OPERATING EXPENSE</t>
  </si>
  <si>
    <t>DEVELOPMENT COSTS</t>
  </si>
  <si>
    <t>Unit Construction</t>
  </si>
  <si>
    <t>Site Work</t>
  </si>
  <si>
    <t>Total Hard Cost</t>
  </si>
  <si>
    <t>CASH FLOW FROM OPERATING &amp; DEVELOPMENT ACTIVITIES</t>
  </si>
  <si>
    <t>Allocation of Working Capital</t>
  </si>
  <si>
    <t>Principal Repayment</t>
  </si>
  <si>
    <t>FINANCING ACTIVITIES</t>
  </si>
  <si>
    <t>SUB-TOTAL</t>
  </si>
  <si>
    <t>WORKING CAPITAL BALANCES</t>
  </si>
  <si>
    <t>Beg. Working Capital</t>
  </si>
  <si>
    <t>Add:  Ph II Equity (Mgr. Loan)</t>
  </si>
  <si>
    <t>Add'l. Acquisition Equity Required</t>
  </si>
  <si>
    <t>Ending Working Capital</t>
  </si>
  <si>
    <t>Financing Expenses</t>
  </si>
  <si>
    <t>Ph II Equity (Mgr. Loan)</t>
  </si>
  <si>
    <t>Construction Loan Draw</t>
  </si>
  <si>
    <t>Reimbursable w/1st Construction Draw</t>
  </si>
  <si>
    <t>Do Not Show</t>
  </si>
  <si>
    <t>Total Sources</t>
  </si>
  <si>
    <t>Increase in Working Capital</t>
  </si>
  <si>
    <t>Total Uses</t>
  </si>
  <si>
    <t>Const. Loan Closing Costs</t>
  </si>
  <si>
    <t>REMAINDER RETAINED IN WORKING CAPITAL</t>
  </si>
  <si>
    <t>Less:  Draws (Min. Balance)</t>
  </si>
  <si>
    <t>Initial Equity</t>
  </si>
  <si>
    <t>Members</t>
  </si>
  <si>
    <t>1st</t>
  </si>
  <si>
    <t>% Pref. Return</t>
  </si>
  <si>
    <t>Manager</t>
  </si>
  <si>
    <t>% of Profits</t>
  </si>
  <si>
    <t>Dev. Acq. Fee (Non-Cash)</t>
  </si>
  <si>
    <t>Preferred Return to Ph II Capital</t>
  </si>
  <si>
    <t>Ph II Capital</t>
  </si>
  <si>
    <t>2nd</t>
  </si>
  <si>
    <t>Return of Phase II Capital</t>
  </si>
  <si>
    <t>3rd</t>
  </si>
  <si>
    <t>Preferred Return to Initial Equity</t>
  </si>
  <si>
    <t>4th</t>
  </si>
  <si>
    <t>Return of Initial Equity</t>
  </si>
  <si>
    <t>5th</t>
  </si>
  <si>
    <t>Profits Split</t>
  </si>
  <si>
    <t>CAPITAL ACCOUNTS</t>
  </si>
  <si>
    <t>Capital</t>
  </si>
  <si>
    <t>Less: Return of Capital</t>
  </si>
  <si>
    <t>Add: Periodic Pref.</t>
  </si>
  <si>
    <t>Less: Distribution</t>
  </si>
  <si>
    <t>DISTRIBUTIONS</t>
  </si>
  <si>
    <t>Ph II Capital Members</t>
  </si>
  <si>
    <t>Initial Equity Members</t>
  </si>
  <si>
    <t>Add:  Initial Funding</t>
  </si>
  <si>
    <t>Sub-Total - Do Not Show</t>
  </si>
  <si>
    <t>TOTAL DISTRIBUTIONS</t>
  </si>
  <si>
    <t>IRR</t>
  </si>
  <si>
    <t>Distribution from Profits</t>
  </si>
  <si>
    <t>Total Cash Flows</t>
  </si>
  <si>
    <t>Financial Metrics</t>
  </si>
  <si>
    <t>Cash-on-Cash</t>
  </si>
  <si>
    <t>Pre-Tax Profit</t>
  </si>
  <si>
    <t>Profits</t>
  </si>
  <si>
    <t>G &amp; A</t>
  </si>
  <si>
    <t>Phase II Capital Members</t>
  </si>
  <si>
    <t>Manager*</t>
  </si>
  <si>
    <t>CAPITALIZATION</t>
  </si>
  <si>
    <t>FINANCIAL METRICS</t>
  </si>
  <si>
    <t>CAPITAL COMMITMENTS</t>
  </si>
  <si>
    <t>INVESTMENT STRUCTURE*</t>
  </si>
  <si>
    <t>* PRIORITY OF DISTRIBUTIONS</t>
  </si>
  <si>
    <t>Land (sf)</t>
  </si>
  <si>
    <t>$ per Unit</t>
  </si>
  <si>
    <t>Cost Curve</t>
  </si>
  <si>
    <t>Cumm.</t>
  </si>
  <si>
    <t>Contractor Fee</t>
  </si>
  <si>
    <t>% LTC</t>
  </si>
  <si>
    <t>Escrow &amp; Title</t>
  </si>
  <si>
    <t>Contingency (% of HC &amp; SC)</t>
  </si>
  <si>
    <t>Ending Loan Principal (Excl. Carryback)</t>
  </si>
  <si>
    <t>Cumm. Acquisition &amp; Dev. Cost</t>
  </si>
  <si>
    <t>Distributions (% of Total)</t>
  </si>
  <si>
    <t>Acquisition Loan Principal Payments</t>
  </si>
  <si>
    <t>Cash Available for Construction Loan Repayment</t>
  </si>
  <si>
    <t>Construction Loan Principal Payment</t>
  </si>
  <si>
    <t>Cash Available for Acquisition Loan Repayment</t>
  </si>
  <si>
    <t>Cash Available for Seller Carry Back Repayment</t>
  </si>
  <si>
    <t>Seller Carry Back Principal Payments</t>
  </si>
  <si>
    <t>CASH AVAILABLE AFTER REPAYMENT OF DEBT</t>
  </si>
  <si>
    <t>Add:  Cash Flow Retained</t>
  </si>
  <si>
    <t>Pretax Profit</t>
  </si>
  <si>
    <t xml:space="preserve">Total Hard Costs - Buildings </t>
  </si>
  <si>
    <t>Changes to Op. Agmt.</t>
  </si>
  <si>
    <t>Unit Type</t>
  </si>
  <si>
    <t>Cost to Complete</t>
  </si>
  <si>
    <t xml:space="preserve">Soft Costs </t>
  </si>
  <si>
    <t>GRAND TOTAL</t>
  </si>
  <si>
    <t>Labor</t>
  </si>
  <si>
    <t>Materials</t>
  </si>
  <si>
    <t>Pool</t>
  </si>
  <si>
    <t>Electric</t>
  </si>
  <si>
    <t>General Labor</t>
  </si>
  <si>
    <t>Project Management - Owner</t>
  </si>
  <si>
    <t>1500 Management &amp; Labor</t>
  </si>
  <si>
    <t>Punchlist</t>
  </si>
  <si>
    <t>Final Clean</t>
  </si>
  <si>
    <t>Postal Box, Numbering &amp; Signs</t>
  </si>
  <si>
    <t>1400 Completion &amp; Punchlist Costs</t>
  </si>
  <si>
    <t>Real Estate Taxes</t>
  </si>
  <si>
    <t>Insurance - Builders Risk &amp; Liability</t>
  </si>
  <si>
    <t>Small Tools &amp; Supplies</t>
  </si>
  <si>
    <t>Equipment Rentals</t>
  </si>
  <si>
    <t>Construction Equipment</t>
  </si>
  <si>
    <t>Blueprints &amp; Bid Material</t>
  </si>
  <si>
    <t>Office Equipment &amp; Supplies</t>
  </si>
  <si>
    <t>Field Office Expenses</t>
  </si>
  <si>
    <t>Porta-Potty</t>
  </si>
  <si>
    <t>Dumpster Rentals</t>
  </si>
  <si>
    <t>Monthly Utility Charges</t>
  </si>
  <si>
    <t>Temporary Electric - Installation and Fees</t>
  </si>
  <si>
    <t>Temporary Utilities</t>
  </si>
  <si>
    <t>1300 General Conditions</t>
  </si>
  <si>
    <t>Camera &amp; Alarm Monitoring</t>
  </si>
  <si>
    <t>Camera &amp; Alarm Hardware</t>
  </si>
  <si>
    <t>Temporary Fencing</t>
  </si>
  <si>
    <t>Rekey Locks</t>
  </si>
  <si>
    <t>Security</t>
  </si>
  <si>
    <t>1200 Site Security</t>
  </si>
  <si>
    <t>Mold Reports</t>
  </si>
  <si>
    <t>Septic and/or Perk Tests</t>
  </si>
  <si>
    <t>Water Quality Tests</t>
  </si>
  <si>
    <t>Environmental Surveys</t>
  </si>
  <si>
    <t>Tree Surveys &amp; Assessments</t>
  </si>
  <si>
    <t>Other Studies</t>
  </si>
  <si>
    <t>CC&amp;R's</t>
  </si>
  <si>
    <t>General Legal</t>
  </si>
  <si>
    <t>Legal Services</t>
  </si>
  <si>
    <t>Design Consultant</t>
  </si>
  <si>
    <t>Structural</t>
  </si>
  <si>
    <t>Civil</t>
  </si>
  <si>
    <t>Engineering Services</t>
  </si>
  <si>
    <t>Land Planning Services</t>
  </si>
  <si>
    <t>Survey &amp; Staking</t>
  </si>
  <si>
    <t>Architectural Services</t>
  </si>
  <si>
    <t>1100 Architectural / Engineering</t>
  </si>
  <si>
    <t>Utility Connection/Tap Fees</t>
  </si>
  <si>
    <t>Permit Specialist</t>
  </si>
  <si>
    <t>HOA Review Fees</t>
  </si>
  <si>
    <t>Building Permits</t>
  </si>
  <si>
    <t>1000 Permits / Fees</t>
  </si>
  <si>
    <t>1000 Series - Soft/Indirect Costs and Preliminaries</t>
  </si>
  <si>
    <t>Est. Budget</t>
  </si>
  <si>
    <t># Units</t>
  </si>
  <si>
    <t>U</t>
  </si>
  <si>
    <t>Notes</t>
  </si>
  <si>
    <t># of Units</t>
  </si>
  <si>
    <t>ROUNDED</t>
  </si>
  <si>
    <t>Phase</t>
  </si>
  <si>
    <t>Phase II</t>
  </si>
  <si>
    <t>Total by Phase</t>
  </si>
  <si>
    <t>Total Hard Costs - Site</t>
  </si>
  <si>
    <t>7600 Amenities</t>
  </si>
  <si>
    <t>Trash Enclosures</t>
  </si>
  <si>
    <t>Lighting</t>
  </si>
  <si>
    <t>Storm Water Prevention Plan</t>
  </si>
  <si>
    <t>Soil/Geotech Tests</t>
  </si>
  <si>
    <t>Utility Plans &amp; Coordination</t>
  </si>
  <si>
    <t>see cash flows</t>
  </si>
  <si>
    <t>Hr</t>
  </si>
  <si>
    <t>1600 Other</t>
  </si>
  <si>
    <t>Rounded</t>
  </si>
  <si>
    <t>GC PAYMENTS</t>
  </si>
  <si>
    <t>$ Amount Payable (% of H.C.)</t>
  </si>
  <si>
    <t>Add:  Credit for Payable</t>
  </si>
  <si>
    <t>Less: $ Amount Paid</t>
  </si>
  <si>
    <t>Property Purchases</t>
  </si>
  <si>
    <t>Loan #</t>
  </si>
  <si>
    <t>Principal Balance</t>
  </si>
  <si>
    <t>Maturity Date</t>
  </si>
  <si>
    <t>Past Due Amounts</t>
  </si>
  <si>
    <t>Est. Payoff Fees</t>
  </si>
  <si>
    <t>Total to Payoff</t>
  </si>
  <si>
    <t>Values as of:</t>
  </si>
  <si>
    <t>Est. Cost to Complete</t>
  </si>
  <si>
    <t>Series B Loan Status</t>
  </si>
  <si>
    <t>% of Total</t>
  </si>
  <si>
    <t>1950 Hoffman</t>
  </si>
  <si>
    <t>Cash Required Before Cost to Complete</t>
  </si>
  <si>
    <t>Min. Purchase Price</t>
  </si>
  <si>
    <t>Acq. &amp; Const.</t>
  </si>
  <si>
    <t>Sunk Costs Already Funded</t>
  </si>
  <si>
    <t>Nexus Management</t>
  </si>
  <si>
    <t>Convert LOC</t>
  </si>
  <si>
    <t>Plus:  Start-Up Mgmt. Fee (% of Purchase Price)</t>
  </si>
  <si>
    <t>Cash by Mark @ Orig. Closing</t>
  </si>
  <si>
    <t xml:space="preserve">Plus:  </t>
  </si>
  <si>
    <t>From Cort</t>
  </si>
  <si>
    <t>From DA</t>
  </si>
  <si>
    <t>From Nexus Management</t>
  </si>
  <si>
    <t>Mark</t>
  </si>
  <si>
    <t>G &amp; A (% of Total)</t>
  </si>
  <si>
    <t>Land &amp; Sunk Costs</t>
  </si>
  <si>
    <t>Return of Capital</t>
  </si>
  <si>
    <t>CF0</t>
  </si>
  <si>
    <t>Allocation to Initial Equity</t>
  </si>
  <si>
    <t>Allocation to Manager</t>
  </si>
  <si>
    <t>Peak Capital</t>
  </si>
  <si>
    <t>Peak Debt</t>
  </si>
  <si>
    <t>Total Debt</t>
  </si>
  <si>
    <t>Max</t>
  </si>
  <si>
    <t>Debt. Avail.</t>
  </si>
  <si>
    <t>CAPITAL CONSTRAINTS</t>
  </si>
  <si>
    <t>Capital Committed</t>
  </si>
  <si>
    <t>Total Capital Deployed</t>
  </si>
  <si>
    <t>Capital Returned</t>
  </si>
  <si>
    <t>Cash Raised</t>
  </si>
  <si>
    <t>Cash Used</t>
  </si>
  <si>
    <t>+ LOC Converted</t>
  </si>
  <si>
    <t>+ Acq. Fee Converted</t>
  </si>
  <si>
    <t>Total Capital</t>
  </si>
  <si>
    <t>(1)</t>
  </si>
  <si>
    <t>Acquisition Fee treated like equity and earns pref but, counted in distributions toward Manager rather then Initial Equity Member</t>
  </si>
  <si>
    <t>Acquisition Fee + Pref + Profits Split</t>
  </si>
  <si>
    <t>Pymt. of Acquisition Fee + Pref. + Profits Split on Initial Equity</t>
  </si>
  <si>
    <t>Cash-on-Cash**</t>
  </si>
  <si>
    <t>**</t>
  </si>
  <si>
    <t>Denominator excludes "outlay" for Acquisition Fee &amp; Sunk Cost by Mark</t>
  </si>
  <si>
    <t>Land (Ac.)</t>
  </si>
  <si>
    <t>Less: Equalization to $/Mo.</t>
  </si>
  <si>
    <t>Add:  New Capital ("Mezz")</t>
  </si>
  <si>
    <t>Total Equity &amp; Mezz.</t>
  </si>
  <si>
    <t>Purchase Price</t>
  </si>
  <si>
    <t>Hard Costs - Site</t>
  </si>
  <si>
    <t xml:space="preserve">Phase II </t>
  </si>
  <si>
    <t xml:space="preserve">Amenity Center </t>
  </si>
  <si>
    <t xml:space="preserve">LAYOUT &amp; EXCAVATION </t>
  </si>
  <si>
    <t>Fees, Dumpster, labor, Crane etc.</t>
  </si>
  <si>
    <t>HOA Fees Construction fees &amp; Survey Fees</t>
  </si>
  <si>
    <t>Layout &amp; Excavation</t>
  </si>
  <si>
    <t xml:space="preserve">Foundation Forms </t>
  </si>
  <si>
    <t>Propane Tank 500 gallon including lines</t>
  </si>
  <si>
    <t xml:space="preserve">CONCRETE &amp; MASONRY </t>
  </si>
  <si>
    <t>Road base</t>
  </si>
  <si>
    <t xml:space="preserve">Concrete Slab </t>
  </si>
  <si>
    <t xml:space="preserve">Rebar/ Waterproof </t>
  </si>
  <si>
    <t xml:space="preserve">ROUGH-IN (Part I) </t>
  </si>
  <si>
    <t>Rough Carpentry included labor $35000</t>
  </si>
  <si>
    <t>Roofing Metal seamless 3895 sqft Shingles $14500</t>
  </si>
  <si>
    <t>Exterior Hardie / Soffit plus labor</t>
  </si>
  <si>
    <t>Windows 36x36 windows $27000</t>
  </si>
  <si>
    <t xml:space="preserve">ROUGH-IN (Part II) </t>
  </si>
  <si>
    <t>Interior Doors</t>
  </si>
  <si>
    <t>Garage Doors</t>
  </si>
  <si>
    <t>Exterior Prime Coat</t>
  </si>
  <si>
    <t xml:space="preserve">Exterior Sheathing </t>
  </si>
  <si>
    <t>Electrical (Rough-In)</t>
  </si>
  <si>
    <t xml:space="preserve">HVAC (Rough-In) </t>
  </si>
  <si>
    <t>Plumbing (Rough-In) &amp; Top-out</t>
  </si>
  <si>
    <t xml:space="preserve">Septic System </t>
  </si>
  <si>
    <t>Fireplace</t>
  </si>
  <si>
    <t>Insulation - Foam and batts</t>
  </si>
  <si>
    <t xml:space="preserve">INTERIOR FINISH (Part I) </t>
  </si>
  <si>
    <t>Drywall plus labor $7575</t>
  </si>
  <si>
    <t>Handrails + labor</t>
  </si>
  <si>
    <t>Bathroom Stalls</t>
  </si>
  <si>
    <t>Electrical (Finish)</t>
  </si>
  <si>
    <t>Light Fixtures Allowance</t>
  </si>
  <si>
    <t>Interior Paint &amp; labor</t>
  </si>
  <si>
    <t xml:space="preserve">INTERIOR FINISH (Part II) </t>
  </si>
  <si>
    <t>Floors - Allowance include labor @$7.27 /sqft 2120</t>
  </si>
  <si>
    <t>Bath/Tub/Toilet/Sinks/Softener/water heater</t>
  </si>
  <si>
    <t>HVAC (Finish) plus air filter</t>
  </si>
  <si>
    <t xml:space="preserve">Plumbing (Finish) </t>
  </si>
  <si>
    <t>Alarms/Smoke detectors</t>
  </si>
  <si>
    <t>Countertops Allowance</t>
  </si>
  <si>
    <t>Tiling</t>
  </si>
  <si>
    <t>Cabinets + labor Allowance 22 cabinets x $450</t>
  </si>
  <si>
    <t>Trim, Shelving closets/ Finish Work</t>
  </si>
  <si>
    <t xml:space="preserve">EXTERIOR FINISH </t>
  </si>
  <si>
    <t>Driveway Asphalt / Flat work 900 sqft x $6</t>
  </si>
  <si>
    <t xml:space="preserve">Exterior Finish Coat </t>
  </si>
  <si>
    <t xml:space="preserve">Rough Grading </t>
  </si>
  <si>
    <t>Decking including labor</t>
  </si>
  <si>
    <t>Sales Tax - 8.25%</t>
  </si>
  <si>
    <t>Conditioned SF:</t>
  </si>
  <si>
    <t>1950 Hoffman Lane - Amenity Center</t>
  </si>
  <si>
    <t>Property Address:</t>
  </si>
  <si>
    <t>$/SF: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</si>
  <si>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</si>
  <si>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</si>
  <si>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</si>
  <si>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</si>
  <si>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</si>
  <si>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</si>
  <si>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</si>
  <si>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</si>
  <si>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</si>
  <si>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</si>
  <si>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</si>
  <si>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</si>
  <si>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Amenity Center</t>
  </si>
  <si>
    <t>Square Footage</t>
  </si>
  <si>
    <t>Hard Costs - Amenities</t>
  </si>
  <si>
    <t>FF&amp;E</t>
  </si>
  <si>
    <t>Item</t>
  </si>
  <si>
    <t>Sub-totals</t>
  </si>
  <si>
    <t xml:space="preserve">Cumm. </t>
  </si>
  <si>
    <t>see "Clubhouse" subschedule</t>
  </si>
  <si>
    <t>Amenities</t>
  </si>
  <si>
    <t>Table Lamps</t>
  </si>
  <si>
    <t>Floor Lamp</t>
  </si>
  <si>
    <t>Desk</t>
  </si>
  <si>
    <t>Desk Chair</t>
  </si>
  <si>
    <t>Dining Chair</t>
  </si>
  <si>
    <t>2-Top Table</t>
  </si>
  <si>
    <t>Mini Fridge</t>
  </si>
  <si>
    <t>Pull-Out Sofa</t>
  </si>
  <si>
    <t>TV</t>
  </si>
  <si>
    <t>Pool Table</t>
  </si>
  <si>
    <t>Accent Chair</t>
  </si>
  <si>
    <t>Window Treatments   (single panels)</t>
  </si>
  <si>
    <t>Sofa</t>
  </si>
  <si>
    <t>Pots/Pans/Cooking Utensils (Set)</t>
  </si>
  <si>
    <t>Dishes     (Set of 4)</t>
  </si>
  <si>
    <t>Console Tables</t>
  </si>
  <si>
    <t>Small Area Rugs</t>
  </si>
  <si>
    <t>Large Area Rugs</t>
  </si>
  <si>
    <t>Art &amp; Décor (package)</t>
  </si>
  <si>
    <t>Faux Flower arrangements</t>
  </si>
  <si>
    <t>Bench</t>
  </si>
  <si>
    <t>Bar Stools</t>
  </si>
  <si>
    <t>Pool Lounge Chairs</t>
  </si>
  <si>
    <t>Umbrellas</t>
  </si>
  <si>
    <t>Outdoor 4 Top Table &amp; Chairs</t>
  </si>
  <si>
    <t>Fridge</t>
  </si>
  <si>
    <t>Ice Maker</t>
  </si>
  <si>
    <t>Microwave</t>
  </si>
  <si>
    <t>Outdoor Kitchen Appliances</t>
  </si>
  <si>
    <t>Game Sets (Pool, Pickleball, Bocce)</t>
  </si>
  <si>
    <t>Public Bathrooms</t>
  </si>
  <si>
    <t>Reception</t>
  </si>
  <si>
    <t>Pool/Patio</t>
  </si>
  <si>
    <t>Activities</t>
  </si>
  <si>
    <t>Shipping/Setup</t>
  </si>
  <si>
    <t>Glassware (set of 4)</t>
  </si>
  <si>
    <t>Total Hard Costs - Amenities</t>
  </si>
  <si>
    <t>Total sf:</t>
  </si>
  <si>
    <t>(y/n)</t>
  </si>
  <si>
    <t>TOTAL RENTAL INCOME</t>
  </si>
  <si>
    <t># Pads</t>
  </si>
  <si>
    <t xml:space="preserve">RV Pads </t>
  </si>
  <si>
    <t>Infrastructure Costs</t>
  </si>
  <si>
    <t>Entire Site</t>
  </si>
  <si>
    <t>Total Soft Costs</t>
  </si>
  <si>
    <t xml:space="preserve">Water Impact Fee - Crystal Clear </t>
  </si>
  <si>
    <t>Term (Years)</t>
  </si>
  <si>
    <t xml:space="preserve">LOAN PAYMENTS </t>
  </si>
  <si>
    <t>Construction Loan - Principal Payments</t>
  </si>
  <si>
    <t>Acquisition Loan - Principal Payments</t>
  </si>
  <si>
    <t>Seller Carryback - Principal Payments</t>
  </si>
  <si>
    <t>Permanent Loan</t>
  </si>
  <si>
    <t>Cash Available for Distributions</t>
  </si>
  <si>
    <t xml:space="preserve">Permanent Loan </t>
  </si>
  <si>
    <t>Year 0</t>
  </si>
  <si>
    <t>Year 2</t>
  </si>
  <si>
    <t>Year 3</t>
  </si>
  <si>
    <t>Year 4</t>
  </si>
  <si>
    <t>Year 5</t>
  </si>
  <si>
    <t xml:space="preserve">Interest Rate </t>
  </si>
  <si>
    <t>Refinance Proceeds - Perm. Loan</t>
  </si>
  <si>
    <t>Year 6</t>
  </si>
  <si>
    <t>Year 7</t>
  </si>
  <si>
    <t>Contractor Fee Equalization (Min $ per Mo.)</t>
  </si>
  <si>
    <t>Contractor Fee Equalization</t>
  </si>
  <si>
    <t xml:space="preserve">   Equalization (Min $ per Mo.)</t>
  </si>
  <si>
    <t xml:space="preserve">Contractor Fee </t>
  </si>
  <si>
    <t>Contractor Fee &amp; Overhead (% of HC, $ Amt. (Mo.))</t>
  </si>
  <si>
    <t>Contractor Fee Equalizations (Min $ per Mo.)</t>
  </si>
  <si>
    <t>See Monthly</t>
  </si>
  <si>
    <t>$ psf</t>
  </si>
  <si>
    <t>RV RENTAL INCOME</t>
  </si>
  <si>
    <t>OTHER INCOME</t>
  </si>
  <si>
    <t>Asbestos Reports</t>
  </si>
  <si>
    <t>Avg.</t>
  </si>
  <si>
    <t>Max.</t>
  </si>
  <si>
    <t>May already be on the high end up terms of pricing</t>
  </si>
  <si>
    <t>D &amp; R River City RV Resort offers the following:</t>
  </si>
  <si>
    <t>with the following amenities:</t>
  </si>
  <si>
    <t>Nightly Rates</t>
  </si>
  <si>
    <t>Min.</t>
  </si>
  <si>
    <t>Year 8</t>
  </si>
  <si>
    <t>Year 9</t>
  </si>
  <si>
    <t>CASH DUE ON SALE (end of year)</t>
  </si>
  <si>
    <t>Capitalization Rate upon Sale</t>
  </si>
  <si>
    <t>Selling Price of Project end of year)</t>
  </si>
  <si>
    <t xml:space="preserve">Selling Costs </t>
  </si>
  <si>
    <t>Payoff Existing Loans</t>
  </si>
  <si>
    <t>GROSS SALES PROCEEDS</t>
  </si>
  <si>
    <t>Less: Equity Investment Not Yet Returned to Members</t>
  </si>
  <si>
    <t>Plus: Remaining Working Capital</t>
  </si>
  <si>
    <t>NET PROCEEDS</t>
  </si>
  <si>
    <t>Manager Incentive Fee (% Carried Interest)</t>
  </si>
  <si>
    <t>INTERNAL RATE OF RETURN (IRR)</t>
  </si>
  <si>
    <t>Assuming sale at end of year 2</t>
  </si>
  <si>
    <t>Assuming sale at end of year 3</t>
  </si>
  <si>
    <t>Assuming sale at end of year 4</t>
  </si>
  <si>
    <t>Assuming sale at end of year 5</t>
  </si>
  <si>
    <t>Assuming sale at end of year 6</t>
  </si>
  <si>
    <t>Assuming sale at end of year 7</t>
  </si>
  <si>
    <t>Assuming sale at end of year 8</t>
  </si>
  <si>
    <t>Assuming sale at end of year 9</t>
  </si>
  <si>
    <t>DCR</t>
  </si>
  <si>
    <t>Pmt. (Based on DCR)</t>
  </si>
  <si>
    <t>Acquisition Loan (Int. Rate)</t>
  </si>
  <si>
    <t>Seller Carryback (Int. Rate)</t>
  </si>
  <si>
    <t>Construction Loan (Int. Rate)</t>
  </si>
  <si>
    <t>Permanent Loan (Int. Rate)</t>
  </si>
  <si>
    <t>Principal Payments - Perm. Loan</t>
  </si>
  <si>
    <t xml:space="preserve">NET CASH FLOW </t>
  </si>
  <si>
    <t>CASH FLOW AVAILABLE</t>
  </si>
  <si>
    <t>CASH AVAILABLE FOR DISTRIBUTION</t>
  </si>
  <si>
    <t>EFFECTIVE GROSS REVENUE</t>
  </si>
  <si>
    <t>NET INCOME</t>
  </si>
  <si>
    <t xml:space="preserve">Loan Advance </t>
  </si>
  <si>
    <t>Principal Pymt.</t>
  </si>
  <si>
    <t>Month</t>
  </si>
  <si>
    <t>Term (Yrs.)</t>
  </si>
  <si>
    <t>Cumm. Perm Loan</t>
  </si>
  <si>
    <t>Count</t>
  </si>
  <si>
    <t>Amort. Mo's</t>
  </si>
  <si>
    <t xml:space="preserve">Permanent Loan Advances </t>
  </si>
  <si>
    <t>Forward 12 NOI</t>
  </si>
  <si>
    <t>Peak Loan Amt.</t>
  </si>
  <si>
    <t>Amort.</t>
  </si>
  <si>
    <t>Difference</t>
  </si>
  <si>
    <t>Alloc. To/From Working Capital</t>
  </si>
  <si>
    <t>Refinance Points &amp; Fees</t>
  </si>
  <si>
    <t>Perm. Loan</t>
  </si>
  <si>
    <t>(2)</t>
  </si>
  <si>
    <r>
      <t>LTC</t>
    </r>
    <r>
      <rPr>
        <b/>
        <sz val="10"/>
        <rFont val="Calibri"/>
        <family val="2"/>
        <scheme val="minor"/>
      </rPr>
      <t xml:space="preserve"> (1)</t>
    </r>
  </si>
  <si>
    <t>(1) LTC excludes financing costs</t>
  </si>
  <si>
    <t>(2) Phased loan with issuance at end of years 2-8</t>
  </si>
  <si>
    <t>Investment</t>
  </si>
  <si>
    <t>Prorata Share</t>
  </si>
  <si>
    <t>Dabdoub Acquisitions</t>
  </si>
  <si>
    <t>Cort</t>
  </si>
  <si>
    <t>PRE TAX CASH FLOW &amp; LEVERAGED</t>
  </si>
  <si>
    <t>Total Return</t>
  </si>
  <si>
    <t>Terminal Value</t>
  </si>
  <si>
    <t xml:space="preserve">Operating Distributions </t>
  </si>
  <si>
    <t>MANAGER CARRIED INTEREST</t>
  </si>
  <si>
    <t>Operating Distributions</t>
  </si>
  <si>
    <t xml:space="preserve">Year-1 </t>
  </si>
  <si>
    <t>Year-2</t>
  </si>
  <si>
    <t>Year-3</t>
  </si>
  <si>
    <t>Year-4</t>
  </si>
  <si>
    <t>Year-5</t>
  </si>
  <si>
    <t>Year-6</t>
  </si>
  <si>
    <t>Golf Cart Rents</t>
  </si>
  <si>
    <t>https://www.golfcartsolutions.com/golf-cart-rentals</t>
  </si>
  <si>
    <t>Tent Rentals: https://www.hipcamp.com/en-US</t>
  </si>
  <si>
    <t>Laundry ($/unit/month)</t>
  </si>
  <si>
    <t>Vending Machines</t>
  </si>
  <si>
    <t>https://www.upflip.com/blog/vending-machine-business-plan#:~:text=The%20vending%20machine%20industry%20makes,the%20average%20across%20the%20industry.</t>
  </si>
  <si>
    <t>https://finmodelslab.com/blogs/operating-costs/vending-machines-operating-costs</t>
  </si>
  <si>
    <t>Laundry Vending ($/unit/month)</t>
  </si>
  <si>
    <t>Candy/Soda Vending ($/machine/month)</t>
  </si>
  <si>
    <t># Days:</t>
  </si>
  <si>
    <t># Laundry Vending</t>
  </si>
  <si>
    <t># Soda Vending</t>
  </si>
  <si>
    <t>Convenience Store/Vending Supplies</t>
  </si>
  <si>
    <t>Convenience Store Sales (gross revenue per day)</t>
  </si>
  <si>
    <t>Outstanding Member Equity (Beg. Of Yr.)</t>
  </si>
  <si>
    <t>Distribution to Members</t>
  </si>
  <si>
    <t>CUMM. OPERATING DISTRIBUTIONS TO MEMBERS</t>
  </si>
  <si>
    <r>
      <rPr>
        <u/>
        <sz val="10"/>
        <rFont val="Calibri"/>
        <family val="2"/>
        <scheme val="minor"/>
      </rPr>
      <t>Annual</t>
    </r>
    <r>
      <rPr>
        <sz val="10"/>
        <rFont val="Calibri"/>
        <family val="2"/>
        <scheme val="minor"/>
      </rPr>
      <t xml:space="preserve"> Yield on Original Equity (Cash-on-Cash)</t>
    </r>
  </si>
  <si>
    <r>
      <rPr>
        <u/>
        <sz val="10"/>
        <rFont val="Calibri"/>
        <family val="2"/>
        <scheme val="minor"/>
      </rPr>
      <t>Cummulative</t>
    </r>
    <r>
      <rPr>
        <sz val="10"/>
        <rFont val="Calibri"/>
        <family val="2"/>
        <scheme val="minor"/>
      </rPr>
      <t xml:space="preserve"> Yield on Original Equity (Cash-on-Cash)</t>
    </r>
  </si>
  <si>
    <t>PH II Capital</t>
  </si>
  <si>
    <t xml:space="preserve">Mark </t>
  </si>
  <si>
    <t>Profits Dist. (Carried Interest)</t>
  </si>
  <si>
    <t>Carried Interest</t>
  </si>
  <si>
    <t>Assuming sale at end of year 1</t>
  </si>
  <si>
    <t>INDIVIDUAL MEMBER OPERATING DISTRIBUTIONS</t>
  </si>
  <si>
    <t>TOTAL PH II MEMBER OPERATING DISTRIBUTIONS</t>
  </si>
  <si>
    <t>TOTAL CAPITAL COMMITMENTS</t>
  </si>
  <si>
    <t>TOTAL INITIAL EQUITY MEMBER OPERATING DISTRIBUTIONS</t>
  </si>
  <si>
    <t>Monthly Distributions</t>
  </si>
  <si>
    <t>Annual Distributions</t>
  </si>
  <si>
    <t>INDIVIDUAL MEMBER TOTAL RETURN ASSSUMING SALE IN YEAR-6</t>
  </si>
  <si>
    <t>Total Member Return Assuming Sale in Year-6</t>
  </si>
  <si>
    <t>Total Manager Carried Interest (Sale in Year-6)</t>
  </si>
  <si>
    <t>Year-6 Terminal Value</t>
  </si>
  <si>
    <t>Member</t>
  </si>
  <si>
    <t>TOTAL SALES DISTRIBUTION TO MEMBERS</t>
  </si>
  <si>
    <t>y</t>
  </si>
  <si>
    <t>Ice &amp; Water Vending Machine</t>
  </si>
  <si>
    <t>Alt.:  $480,000 in concrete</t>
  </si>
  <si>
    <t>Construction of site work + ribbon curb</t>
  </si>
  <si>
    <t>Site Work + labor &amp; tree removal+ silt fence</t>
  </si>
  <si>
    <t>Utility Connections  850 x $45/ft $2950/transformer/2</t>
  </si>
  <si>
    <t>Asphalt &amp; Chipseal + Equipment Rental</t>
  </si>
  <si>
    <t>Layout &amp; Excavation &amp; Roadbase/Sand</t>
  </si>
  <si>
    <t>Running Electric cable to RV sites</t>
  </si>
  <si>
    <t>Water Hydrant line</t>
  </si>
  <si>
    <t>Water lines 4000ft x $27 plus labor</t>
  </si>
  <si>
    <t>Concrete slabs for RV sites plus labor $1200 x 75</t>
  </si>
  <si>
    <t>Construction of RV sites</t>
  </si>
  <si>
    <t>OUTSIDE WORK 1</t>
  </si>
  <si>
    <t>Landscape and Skirting</t>
  </si>
  <si>
    <t>OUTSIDE WORK 2</t>
  </si>
  <si>
    <t>Fire hydrants</t>
  </si>
  <si>
    <t>Septic Drip</t>
  </si>
  <si>
    <t>Septic System for RV Sites</t>
  </si>
  <si>
    <t>INTERIOR FINISH (PART II)</t>
  </si>
  <si>
    <t>Extras</t>
  </si>
  <si>
    <t>ADMIN</t>
  </si>
  <si>
    <t>Overhead &amp; management</t>
  </si>
  <si>
    <t>Managers Residence</t>
  </si>
  <si>
    <t>Development &amp; Septic Fees</t>
  </si>
  <si>
    <t>Dumpster &amp; Labor</t>
  </si>
  <si>
    <t>DEPARTMENTAL EXPENSES</t>
  </si>
  <si>
    <t>Salaries &amp; Wages</t>
  </si>
  <si>
    <t>Community Manager</t>
  </si>
  <si>
    <t>Maintenance</t>
  </si>
  <si>
    <t>Clubhouse Staff</t>
  </si>
  <si>
    <t>Payroll Taxes &amp; Incentives</t>
  </si>
  <si>
    <t>Payroll Taxes</t>
  </si>
  <si>
    <t>Payroll Processing Fees</t>
  </si>
  <si>
    <t>Benefits</t>
  </si>
  <si>
    <t>Retail Expenses</t>
  </si>
  <si>
    <t>Laundry Expenses</t>
  </si>
  <si>
    <t>Laundry Machine Related Exp.</t>
  </si>
  <si>
    <t>UNDISTRIBUTED OPERATING EXPENSES</t>
  </si>
  <si>
    <t>Administrative &amp; General</t>
  </si>
  <si>
    <t>Misc.</t>
  </si>
  <si>
    <t>Bank Fees</t>
  </si>
  <si>
    <t>CC Processing</t>
  </si>
  <si>
    <t>Office &amp; Software</t>
  </si>
  <si>
    <t>Software Expense</t>
  </si>
  <si>
    <t>Sales &amp; Marketing</t>
  </si>
  <si>
    <t>Digital Marketing</t>
  </si>
  <si>
    <t>Property Operating &amp; Maintenance</t>
  </si>
  <si>
    <t>R&amp;M Groundskeeping/Landscaping</t>
  </si>
  <si>
    <t>R&amp;M Pool</t>
  </si>
  <si>
    <t xml:space="preserve">R&amp;M Plumbing &amp; Septic </t>
  </si>
  <si>
    <t>R&amp;M Tools &amp; Supplies</t>
  </si>
  <si>
    <t>Water</t>
  </si>
  <si>
    <t>Telephone</t>
  </si>
  <si>
    <t>Cable/Internet</t>
  </si>
  <si>
    <t>Gas</t>
  </si>
  <si>
    <t>Pest Control</t>
  </si>
  <si>
    <t>Fire Prevention</t>
  </si>
  <si>
    <t>Waste Disposal</t>
  </si>
  <si>
    <t>Property Taxes</t>
  </si>
  <si>
    <t>General Liability</t>
  </si>
  <si>
    <t>Total Undistributed Expenses</t>
  </si>
  <si>
    <t>Employee</t>
  </si>
  <si>
    <t>Air Conditioned Space</t>
  </si>
  <si>
    <t>Salary</t>
  </si>
  <si>
    <t>Hourly Rate</t>
  </si>
  <si>
    <t>Convenience Store Employee #1</t>
  </si>
  <si>
    <t>Convenience Store Employee #2</t>
  </si>
  <si>
    <t># Hours</t>
  </si>
  <si>
    <t># Days</t>
  </si>
  <si>
    <t># Weeks</t>
  </si>
  <si>
    <t>Total Hours</t>
  </si>
  <si>
    <t>Annual Cost</t>
  </si>
  <si>
    <t>Total Annual Labor Cost:</t>
  </si>
  <si>
    <t>Monthly Labor Cost:</t>
  </si>
  <si>
    <t xml:space="preserve">Property </t>
  </si>
  <si>
    <t>01823</t>
  </si>
  <si>
    <t>1950 Hoffmann Lane</t>
  </si>
  <si>
    <t>Funds Needed</t>
  </si>
  <si>
    <t>Total Required Before Financing &amp; Carry Costs</t>
  </si>
  <si>
    <t>Total Departmental Expenses</t>
  </si>
  <si>
    <t>Percent Short-Term</t>
  </si>
  <si>
    <t>Long-Term Rate</t>
  </si>
  <si>
    <t>Short-Term Rate</t>
  </si>
  <si>
    <t>Number of Months</t>
  </si>
  <si>
    <t>Monthly Short Term Rev.</t>
  </si>
  <si>
    <t>Percent Long-Term</t>
  </si>
  <si>
    <t>Number Days per Month</t>
  </si>
  <si>
    <t>Long-Term Base Occupancy</t>
  </si>
  <si>
    <t>Long Term Occupancy Adjustment Factors</t>
  </si>
  <si>
    <t xml:space="preserve">Adj. </t>
  </si>
  <si>
    <t>Monthly Revenue</t>
  </si>
  <si>
    <t>Short Term Base Occupancy</t>
  </si>
  <si>
    <t>Total Annual Revenue</t>
  </si>
  <si>
    <t>Annual Short Term Rev.</t>
  </si>
  <si>
    <t>Short-Term RV Rental Income</t>
  </si>
  <si>
    <t>Long-Term RV Rental Income</t>
  </si>
  <si>
    <t>Golf Cart Usage</t>
  </si>
  <si>
    <t>Glamping Occup.</t>
  </si>
  <si>
    <t>CFO</t>
  </si>
  <si>
    <t xml:space="preserve">Plus: </t>
  </si>
  <si>
    <t>From ?</t>
  </si>
  <si>
    <t>Elec. Reimbursement (Reimb. per LT unit)</t>
  </si>
  <si>
    <t>YoY Growth</t>
  </si>
  <si>
    <t>of Salaries and Wages</t>
  </si>
  <si>
    <t>Golf Cart Rentals ($/day) (# carts)</t>
  </si>
  <si>
    <t>Glamping Rentals ($/night) (# spaces)</t>
  </si>
  <si>
    <t>Total Pads</t>
  </si>
  <si>
    <t>Short-Term Pads</t>
  </si>
  <si>
    <t>Long-Term Pads</t>
  </si>
  <si>
    <t>of Revenue</t>
  </si>
  <si>
    <t>Laundry Vending Machine Supplies</t>
  </si>
  <si>
    <t>Already Raised</t>
  </si>
  <si>
    <t>Less: Initial Equity + Ph II Capital</t>
  </si>
  <si>
    <t>Accumulated Pref</t>
  </si>
  <si>
    <t>Ph II Capital Raised</t>
  </si>
  <si>
    <t>New Equity Required</t>
  </si>
  <si>
    <t>Current Basis:</t>
  </si>
  <si>
    <t>Rebar for ribbon curb</t>
  </si>
  <si>
    <t>might not need it. Engineers are working to confirm</t>
  </si>
  <si>
    <t>Exterior Doors 4 doors at $4,200</t>
  </si>
  <si>
    <t>Appliances</t>
  </si>
  <si>
    <t>Prep work for parking lot (5,000 sf)</t>
  </si>
  <si>
    <t>Parking spot bumper (10 spots)</t>
  </si>
  <si>
    <t xml:space="preserve">Striping </t>
  </si>
  <si>
    <t>Glamping Lot</t>
  </si>
  <si>
    <t>materials, labor, prep.</t>
  </si>
  <si>
    <t>Glamping Electrical</t>
  </si>
  <si>
    <t>Gazebo and Outdoor Grills</t>
  </si>
  <si>
    <t>$1,500/slab + $2,400/gazebo + $500/grill</t>
  </si>
  <si>
    <t>5 poles + wiring</t>
  </si>
  <si>
    <t xml:space="preserve">May </t>
  </si>
  <si>
    <t>Additional exterior doors</t>
  </si>
  <si>
    <t>Septic</t>
  </si>
  <si>
    <t>application fee</t>
  </si>
  <si>
    <t xml:space="preserve">TCEQ </t>
  </si>
  <si>
    <t>done - will be captured in sunk costs</t>
  </si>
  <si>
    <t>includes clubhouse design plus entrance design</t>
  </si>
  <si>
    <t>some has been paid already. Will confirm amount. This includes utility  plans and coordination</t>
  </si>
  <si>
    <t>included in Tri-tech number</t>
  </si>
  <si>
    <t>Crystal Clear has to do new study for RV sites</t>
  </si>
  <si>
    <t>each unit includes 16 mailboxes</t>
  </si>
  <si>
    <t>Boxes</t>
  </si>
  <si>
    <t>Gazebo</t>
  </si>
  <si>
    <t>covers all boxes</t>
  </si>
  <si>
    <t>already paid</t>
  </si>
  <si>
    <t>captured on infrastructure schedule</t>
  </si>
  <si>
    <t>UTILITY BUILDOUT</t>
  </si>
  <si>
    <t>Wifi/Internet - Spectrum</t>
  </si>
  <si>
    <t>still need to finalize this number</t>
  </si>
  <si>
    <t>Signage</t>
  </si>
  <si>
    <t>Phasing Schedule</t>
  </si>
  <si>
    <t>Money Spent</t>
  </si>
  <si>
    <t>Sales Tax</t>
  </si>
  <si>
    <t>Total Spent</t>
  </si>
  <si>
    <t>Laundry Detergent Vending Machine</t>
  </si>
  <si>
    <t>Golf Carts</t>
  </si>
  <si>
    <t>Hard Costs - FF&amp;E</t>
  </si>
  <si>
    <t>Total Hard Costs - FF&amp;E</t>
  </si>
  <si>
    <t>C-Store</t>
  </si>
  <si>
    <t>Lounge/Folding Area</t>
  </si>
  <si>
    <t>Builders Risk</t>
  </si>
  <si>
    <t>Temporary Utility Costs</t>
  </si>
  <si>
    <t>Temporary Portable Toilet Rental</t>
  </si>
  <si>
    <t>Computers</t>
  </si>
  <si>
    <t>Coffee Table</t>
  </si>
  <si>
    <t>Folding Table</t>
  </si>
  <si>
    <t>Snack Vending Machine</t>
  </si>
  <si>
    <t>Speed Queen Washer/Dryer Combo</t>
  </si>
  <si>
    <t>File cabinet/Desk</t>
  </si>
  <si>
    <t>Retail Store Shelves</t>
  </si>
  <si>
    <t>Height</t>
  </si>
  <si>
    <t>Item #</t>
  </si>
  <si>
    <t>Width</t>
  </si>
  <si>
    <t>Tall</t>
  </si>
  <si>
    <t>Short</t>
  </si>
  <si>
    <t>Swing</t>
  </si>
  <si>
    <t>EXTERIOR DOORS AND WINDOWS</t>
  </si>
  <si>
    <t>Front (Clubhouse)</t>
  </si>
  <si>
    <t>Windows</t>
  </si>
  <si>
    <t>fixed pane</t>
  </si>
  <si>
    <t>Main Entry</t>
  </si>
  <si>
    <t>34-36" door with fixed sidelights</t>
  </si>
  <si>
    <t>LH outswing</t>
  </si>
  <si>
    <t>Laundry Entry</t>
  </si>
  <si>
    <t>double 34-36" doors with fixed sidelights</t>
  </si>
  <si>
    <t>both outswing with left as primary</t>
  </si>
  <si>
    <t>Front (Bathrooms)</t>
  </si>
  <si>
    <t>Doors</t>
  </si>
  <si>
    <t>West (Clubhouse)</t>
  </si>
  <si>
    <t>Window</t>
  </si>
  <si>
    <t>lower plate windows</t>
  </si>
  <si>
    <t>Entry</t>
  </si>
  <si>
    <t>double 34-36" doors</t>
  </si>
  <si>
    <t>both outswing</t>
  </si>
  <si>
    <t>field measure</t>
  </si>
  <si>
    <t>North (Bathrooms)</t>
  </si>
  <si>
    <t>North (Clubhouse)</t>
  </si>
  <si>
    <t>Entry Door</t>
  </si>
  <si>
    <t>60.5"</t>
  </si>
  <si>
    <t>reduce to 60" wide</t>
  </si>
  <si>
    <t>North (Laundry)</t>
  </si>
  <si>
    <t>East (Clubhouse)</t>
  </si>
  <si>
    <t>Mgr. Door</t>
  </si>
  <si>
    <t xml:space="preserve">36-38" </t>
  </si>
  <si>
    <t>Storage Doors</t>
  </si>
  <si>
    <t xml:space="preserve">34-36" </t>
  </si>
  <si>
    <t>Left opens, right fixed</t>
  </si>
  <si>
    <t>LH oustswing</t>
  </si>
  <si>
    <t>Total Units</t>
  </si>
  <si>
    <t>Unit Dimensions</t>
  </si>
  <si>
    <t>Plan Equip. #</t>
  </si>
  <si>
    <t>Manufacturer</t>
  </si>
  <si>
    <t>Model #</t>
  </si>
  <si>
    <t>Depth</t>
  </si>
  <si>
    <t>Overall Opening</t>
  </si>
  <si>
    <t>Est. Unit Cost</t>
  </si>
  <si>
    <t>Est. Total Cost</t>
  </si>
  <si>
    <t>Link #1</t>
  </si>
  <si>
    <t>VENDING &amp; OTHER EQUIPMENT</t>
  </si>
  <si>
    <t>Stacked W/D</t>
  </si>
  <si>
    <t>Speed Queen</t>
  </si>
  <si>
    <t>STENXA</t>
  </si>
  <si>
    <t>83w x 79h</t>
  </si>
  <si>
    <t>Need access panel behind.  Read/review specs.  See notes on Equip. Detail worksheet.</t>
  </si>
  <si>
    <t>https://www.speedqueensales.com.au/products/stack-washers-dryers/coin-operated-stack-washer-dryer-stenxa-stgnxa/</t>
  </si>
  <si>
    <t>Mop Sink</t>
  </si>
  <si>
    <t>Novanni (or equiv.)</t>
  </si>
  <si>
    <t>9509/316</t>
  </si>
  <si>
    <t>10+18=28</t>
  </si>
  <si>
    <t>36w x 24d</t>
  </si>
  <si>
    <t>height includes stainless backsplash</t>
  </si>
  <si>
    <t>https://www.novanni.ca/product/novanni-commercial-9509-316/</t>
  </si>
  <si>
    <t>Snack - Vending</t>
  </si>
  <si>
    <t>UFI</t>
  </si>
  <si>
    <t>Evoke Snack 5</t>
  </si>
  <si>
    <t>111.5w x 73h</t>
  </si>
  <si>
    <t>https://www.uselectit.com/</t>
  </si>
  <si>
    <t>Beverage - Vending</t>
  </si>
  <si>
    <t>Evoke Cold Bev 5W Elevator</t>
  </si>
  <si>
    <t>Coffee/Hot - Vending</t>
  </si>
  <si>
    <t>Evoke Coffee Hot Bev</t>
  </si>
  <si>
    <t>Reach-in Fridge</t>
  </si>
  <si>
    <t>T-35</t>
  </si>
  <si>
    <t>40.5w</t>
  </si>
  <si>
    <t>Ask about running this off the remote compressor/condenser to c-store equip.</t>
  </si>
  <si>
    <t>https://www.restaurantsupply.com/true-t-35-hc-t-series-reach-in-two-section-refrigerator-w-two-solid-swing-doors-and-six-pvc-coated-shelves</t>
  </si>
  <si>
    <t>Display Freezer</t>
  </si>
  <si>
    <t>Master-bilt</t>
  </si>
  <si>
    <t>BEL-2-30</t>
  </si>
  <si>
    <t>156w x 82h</t>
  </si>
  <si>
    <t>Remote compressor/condenser (roof?)</t>
  </si>
  <si>
    <t>https://master-bilt.com/product_category/endless-display-cases-with-remote-refrigeration/</t>
  </si>
  <si>
    <t>Display Refrigerator</t>
  </si>
  <si>
    <t>BEM-3-30</t>
  </si>
  <si>
    <t>Same or different compressor/condenser?  Same for kitchen fridge?</t>
  </si>
  <si>
    <t>Laundry - Vending</t>
  </si>
  <si>
    <t>Vend-Rite Mfg.</t>
  </si>
  <si>
    <t>Vision Vender</t>
  </si>
  <si>
    <t>37.5w x 73h</t>
  </si>
  <si>
    <t>Debit card option w/no compressor</t>
  </si>
  <si>
    <t>https://www.vendrite.com/product/vision-vender/</t>
  </si>
  <si>
    <t>Ice</t>
  </si>
  <si>
    <t>Everest</t>
  </si>
  <si>
    <t>Summit 2</t>
  </si>
  <si>
    <t>May need to take 9" from inside to accommodate rear clearance</t>
  </si>
  <si>
    <t>Water filtration + 1,077 lbs ice in 24 hrs.  Needs 24" clearance behind + water line + drain line.</t>
  </si>
  <si>
    <t>https://everesticeandwater.com/equipment/free-guides/</t>
  </si>
  <si>
    <t>Propane</t>
  </si>
  <si>
    <t>Amerigas (or equiv.)</t>
  </si>
  <si>
    <t>TBD</t>
  </si>
  <si>
    <t>https://www.amerigas.com/propane-retailer/partner/propane-tank-exchange</t>
  </si>
  <si>
    <t>Utility Sink w/Drainboard</t>
  </si>
  <si>
    <t>Regency (or equiv.)</t>
  </si>
  <si>
    <t>Webstaurant Store #60S1232324XL</t>
  </si>
  <si>
    <t>Need water source, drain and faucet set</t>
  </si>
  <si>
    <t>https://www.webstaurantstore.com/regency-49-1-2-16-gauge-stainless-steel-one-compartment-commercial-sink-with-stainless-steel-legs-cross-bracing-and-1-drainboard-23-x-23-x-12-bowl/60S1232324XL.html?utm_source=google&amp;utm_medium=cpc&amp;utm_campaign=GoogleShopping&amp;gclid=EAIaIQobChMI_PDJwKXxhAMVLwutBh2oHAL_EAQYBCABEgJD_fD_BwE</t>
  </si>
  <si>
    <t>3, 4 &amp; 5</t>
  </si>
  <si>
    <t>7 &amp; 8</t>
  </si>
  <si>
    <t>Everest Sales:  407-930-4437</t>
  </si>
  <si>
    <t>Location</t>
  </si>
  <si>
    <t>Refrigeration</t>
  </si>
  <si>
    <t>Vending</t>
  </si>
  <si>
    <t>Freezer</t>
  </si>
  <si>
    <t>V1</t>
  </si>
  <si>
    <t>V2</t>
  </si>
  <si>
    <t>V3</t>
  </si>
  <si>
    <t>V4</t>
  </si>
  <si>
    <t>R1</t>
  </si>
  <si>
    <t>R2</t>
  </si>
  <si>
    <t>R3</t>
  </si>
  <si>
    <t>F1</t>
  </si>
  <si>
    <t>F2</t>
  </si>
  <si>
    <t>Product List</t>
  </si>
  <si>
    <t>15 shelves + 3 bases = 18 display areas at 23" deep x 30" wide</t>
  </si>
  <si>
    <t>Cold</t>
  </si>
  <si>
    <t>Non-Temp</t>
  </si>
  <si>
    <t>Hot</t>
  </si>
  <si>
    <t>Laundry</t>
  </si>
  <si>
    <t xml:space="preserve">Shelving </t>
  </si>
  <si>
    <t>S1</t>
  </si>
  <si>
    <t xml:space="preserve">Height of shelf unit </t>
  </si>
  <si>
    <t>Height per shelf</t>
  </si>
  <si>
    <t># of shelves not including base</t>
  </si>
  <si>
    <t>Total # of shelves</t>
  </si>
  <si>
    <t>Shelf Depth</t>
  </si>
  <si>
    <t>Shelf Length</t>
  </si>
  <si>
    <t>Total Surface Area</t>
  </si>
  <si>
    <t>Surface Area sq 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</si>
</sst>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4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%"/>
    <numFmt numFmtId="165" formatCode="&quot;$&quot;#,##0.000_);\(&quot;$&quot;#,##0.000\)"/>
    <numFmt numFmtId="166" formatCode="_(* #,##0_);_(* \(#,##0\);_(* &quot;-&quot;??_);_(@_)"/>
    <numFmt numFmtId="167" formatCode="&quot;$&quot;#,##0.00"/>
    <numFmt numFmtId="168" formatCode="#,##0.0%"/>
    <numFmt numFmtId="169" formatCode="0.000"/>
    <numFmt numFmtId="170" formatCode="&quot;Year&quot;\ 0"/>
    <numFmt numFmtId="171" formatCode="&quot;$&quot;#,##0.000000_);\(&quot;$&quot;#,##0.000000\)"/>
    <numFmt numFmtId="172" formatCode="_(&quot;$&quot;* #,##0_);_(&quot;$&quot;* \(#,##0\);_(&quot;$&quot;* &quot;-&quot;??_);_(@_)"/>
    <numFmt numFmtId="173" formatCode="&quot;$&quot;#,##0"/>
    <numFmt numFmtId="174" formatCode="m/d;@"/>
    <numFmt numFmtId="175" formatCode="mm/dd/yy;@"/>
    <numFmt numFmtId="176" formatCode="&quot;$&quot;* #,##0.00"/>
    <numFmt numFmtId="177" formatCode="&quot;on&quot;\ m/yy"/>
    <numFmt numFmtId="178" formatCode="&quot;$&quot;0.00"/>
    <numFmt numFmtId="179" formatCode="_([$€-2]* #,##0.00_);_([$€-2]* \(#,##0.00\);_([$€-2]* &quot;-&quot;??_)"/>
    <numFmt numFmtId="180" formatCode="m/d/yy;@"/>
    <numFmt numFmtId="181" formatCode="[$-409]mmmm\-yy;@"/>
    <numFmt numFmtId="182" formatCode="0_);[Red]\(0\)"/>
    <numFmt numFmtId="183" formatCode="0.00_);\(0.00\)"/>
    <numFmt numFmtId="184" formatCode="mmmm\-yy"/>
    <numFmt numFmtId="185" formatCode="mm/yyyy"/>
    <numFmt numFmtId="186" formatCode="m/d/yyyy\ \ h:mm\ AM/PM"/>
    <numFmt numFmtId="187" formatCode="[&lt;=9999999]###\-####;\(###\)\ ###\-####"/>
    <numFmt numFmtId="188" formatCode="_(&quot;$&quot;* #,##0.00_);_(&quot;$&quot;* \(#,##0.00\);_(&quot;$&quot;* &quot;-&quot;_);_(@_)"/>
    <numFmt numFmtId="189" formatCode="_(&quot;$&quot;* #,##0_);_(&quot;$&quot;* \(#,##0\);_(&quot;$&quot;* &quot;-&quot;?_);_(@_)"/>
    <numFmt numFmtId="190" formatCode="m/d/yyyy;@"/>
  </numFmts>
  <fonts count="89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ms Rmn"/>
    </font>
    <font>
      <sz val="8"/>
      <name val="Arial"/>
      <family val="2"/>
    </font>
    <font>
      <u/>
      <sz val="12"/>
      <name val="Tms Rmn"/>
    </font>
    <font>
      <b/>
      <sz val="12"/>
      <name val="Times New Roman"/>
      <family val="1"/>
    </font>
    <font>
      <sz val="10"/>
      <name val="Times New Roman"/>
      <family val="1"/>
    </font>
    <font>
      <sz val="12"/>
      <name val="Times New Roman"/>
      <family val="1"/>
    </font>
    <font>
      <sz val="10"/>
      <color indexed="8"/>
      <name val="Arial"/>
      <family val="2"/>
    </font>
    <font>
      <b/>
      <sz val="9"/>
      <name val="Times New Roman"/>
      <family val="1"/>
    </font>
    <font>
      <b/>
      <i/>
      <sz val="12"/>
      <name val="Times New Roman"/>
      <family val="1"/>
    </font>
    <font>
      <b/>
      <u/>
      <sz val="12"/>
      <name val="Times New Roman"/>
      <family val="1"/>
    </font>
    <font>
      <b/>
      <sz val="8"/>
      <name val="Times New Roman"/>
      <family val="1"/>
    </font>
    <font>
      <b/>
      <u/>
      <sz val="8"/>
      <name val="Times New Roman"/>
      <family val="1"/>
    </font>
    <font>
      <b/>
      <vertAlign val="superscript"/>
      <sz val="12"/>
      <name val="Times New Roman"/>
      <family val="1"/>
    </font>
    <font>
      <sz val="12"/>
      <color indexed="22"/>
      <name val="Times New Roman"/>
      <family val="1"/>
    </font>
    <font>
      <u/>
      <sz val="12"/>
      <name val="Times New Roman"/>
      <family val="1"/>
    </font>
    <font>
      <vertAlign val="superscript"/>
      <sz val="10"/>
      <name val="Times New Roman"/>
      <family val="1"/>
    </font>
    <font>
      <b/>
      <sz val="10"/>
      <name val="Times New Roman"/>
      <family val="1"/>
    </font>
    <font>
      <i/>
      <sz val="10"/>
      <name val="Times New Roman"/>
      <family val="1"/>
    </font>
    <font>
      <b/>
      <sz val="10"/>
      <color indexed="10"/>
      <name val="Times New Roman"/>
      <family val="1"/>
    </font>
    <font>
      <sz val="10"/>
      <color indexed="10"/>
      <name val="Times New Roman"/>
      <family val="1"/>
    </font>
    <font>
      <u/>
      <sz val="10"/>
      <name val="Times New Roman"/>
      <family val="1"/>
    </font>
    <font>
      <sz val="9"/>
      <name val="Times New Roman"/>
      <family val="1"/>
    </font>
    <font>
      <sz val="9"/>
      <name val="Tahoma"/>
      <family val="2"/>
    </font>
    <font>
      <b/>
      <sz val="11"/>
      <name val="Tahoma"/>
      <family val="2"/>
    </font>
    <font>
      <b/>
      <sz val="10"/>
      <name val="Tahoma"/>
      <family val="2"/>
    </font>
    <font>
      <sz val="9"/>
      <name val="Arial"/>
      <family val="2"/>
    </font>
    <font>
      <b/>
      <sz val="9"/>
      <name val="Tahoma"/>
      <family val="2"/>
    </font>
    <font>
      <u/>
      <sz val="12"/>
      <name val="Tahoma"/>
      <family val="2"/>
    </font>
    <font>
      <i/>
      <u/>
      <sz val="11"/>
      <name val="Tahoma"/>
      <family val="2"/>
    </font>
    <font>
      <u/>
      <sz val="11"/>
      <name val="Tahoma"/>
      <family val="2"/>
    </font>
    <font>
      <i/>
      <u/>
      <sz val="10"/>
      <name val="Tahoma"/>
      <family val="2"/>
    </font>
    <font>
      <u/>
      <sz val="10"/>
      <name val="Tahoma"/>
      <family val="2"/>
    </font>
    <font>
      <i/>
      <u/>
      <sz val="9"/>
      <name val="Tahoma"/>
      <family val="2"/>
    </font>
    <font>
      <u/>
      <sz val="9"/>
      <name val="Tahoma"/>
      <family val="2"/>
    </font>
    <font>
      <b/>
      <u/>
      <sz val="10"/>
      <name val="Tahoma"/>
      <family val="2"/>
    </font>
    <font>
      <sz val="12"/>
      <name val="Tahoma"/>
      <family val="2"/>
    </font>
    <font>
      <i/>
      <sz val="11"/>
      <name val="Tahoma"/>
      <family val="2"/>
    </font>
    <font>
      <sz val="11"/>
      <name val="Tahoma"/>
      <family val="2"/>
    </font>
    <font>
      <i/>
      <sz val="10"/>
      <name val="Tahoma"/>
      <family val="2"/>
    </font>
    <font>
      <sz val="10"/>
      <name val="Tahoma"/>
      <family val="2"/>
    </font>
    <font>
      <i/>
      <sz val="9"/>
      <name val="Tahoma"/>
      <family val="2"/>
    </font>
    <font>
      <sz val="1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66FF"/>
      <name val="Calibri"/>
      <family val="2"/>
      <scheme val="minor"/>
    </font>
    <font>
      <sz val="9"/>
      <color rgb="FF0000FF"/>
      <name val="Calibri"/>
      <family val="2"/>
      <scheme val="minor"/>
    </font>
    <font>
      <sz val="9"/>
      <color rgb="FF0066FF"/>
      <name val="Calibri"/>
      <family val="2"/>
      <scheme val="minor"/>
    </font>
    <font>
      <sz val="9"/>
      <name val="Calibri"/>
      <family val="2"/>
      <scheme val="minor"/>
    </font>
    <font>
      <u/>
      <sz val="9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FF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rgb="FF0000FF"/>
      <name val="Calibri"/>
      <family val="2"/>
      <scheme val="minor"/>
    </font>
    <font>
      <sz val="10"/>
      <color rgb="FFFF3300"/>
      <name val="Calibri"/>
      <family val="2"/>
      <scheme val="minor"/>
    </font>
    <font>
      <u val="singleAccounting"/>
      <sz val="10"/>
      <name val="Calibri"/>
      <family val="2"/>
      <scheme val="minor"/>
    </font>
    <font>
      <b/>
      <u/>
      <sz val="10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color rgb="FF0000FF"/>
      <name val="Calibri"/>
      <family val="2"/>
    </font>
    <font>
      <u/>
      <sz val="10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indexed="12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  <font>
      <u/>
      <sz val="10"/>
      <name val="Calibri"/>
      <family val="2"/>
    </font>
    <font>
      <sz val="8"/>
      <name val="Calibri"/>
      <family val="2"/>
    </font>
    <font>
      <sz val="8"/>
      <color rgb="FF0000FF"/>
      <name val="Calibri"/>
      <family val="2"/>
    </font>
    <font>
      <b/>
      <sz val="8"/>
      <name val="Calibri"/>
      <family val="2"/>
    </font>
    <font>
      <sz val="10"/>
      <color rgb="FFFF0000"/>
      <name val="Calibri"/>
      <family val="2"/>
    </font>
    <font>
      <sz val="11"/>
      <color rgb="FFFF0000"/>
      <name val="Calibri"/>
      <family val="2"/>
      <scheme val="minor"/>
    </font>
    <font>
      <b/>
      <u/>
      <sz val="10"/>
      <name val="Calibri"/>
      <family val="2"/>
    </font>
    <font>
      <u/>
      <sz val="11"/>
      <color theme="10"/>
      <name val="Calibri"/>
      <family val="2"/>
      <scheme val="minor"/>
    </font>
    <font>
      <sz val="10"/>
      <color rgb="FF0000FF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D8F8"/>
        <bgColor indexed="64"/>
      </patternFill>
    </fill>
    <fill>
      <patternFill patternType="solid">
        <fgColor rgb="FFFFFFCC"/>
        <bgColor indexed="64"/>
      </patternFill>
    </fill>
  </fills>
  <borders count="88">
    <border>
      <left/>
      <right/>
      <top/>
      <bottom/>
      <diagonal/>
    </border>
    <border>
      <left/>
      <right/>
      <top/>
      <bottom style="hair">
        <color indexed="22"/>
      </bottom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double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ck">
        <color indexed="64"/>
      </bottom>
      <diagonal/>
    </border>
    <border>
      <left style="double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double">
        <color indexed="64"/>
      </top>
      <bottom style="thick">
        <color indexed="64"/>
      </bottom>
      <diagonal/>
    </border>
    <border>
      <left/>
      <right/>
      <top style="double">
        <color indexed="64"/>
      </top>
      <bottom style="thick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 style="dashed">
        <color auto="1"/>
      </left>
      <right/>
      <top/>
      <bottom/>
      <diagonal/>
    </border>
    <border>
      <left/>
      <right style="dashed">
        <color auto="1"/>
      </right>
      <top/>
      <bottom/>
      <diagonal/>
    </border>
    <border>
      <left style="dashed">
        <color auto="1"/>
      </left>
      <right/>
      <top/>
      <bottom style="dashed">
        <color auto="1"/>
      </bottom>
      <diagonal/>
    </border>
    <border>
      <left/>
      <right/>
      <top/>
      <bottom style="dashed">
        <color auto="1"/>
      </bottom>
      <diagonal/>
    </border>
    <border>
      <left/>
      <right style="dashed">
        <color auto="1"/>
      </right>
      <top/>
      <bottom style="dashed">
        <color auto="1"/>
      </bottom>
      <diagonal/>
    </border>
    <border>
      <left/>
      <right style="dashDotDot">
        <color indexed="64"/>
      </right>
      <top/>
      <bottom/>
      <diagonal/>
    </border>
    <border>
      <left/>
      <right style="dashDotDot">
        <color indexed="64"/>
      </right>
      <top/>
      <bottom style="thin">
        <color indexed="64"/>
      </bottom>
      <diagonal/>
    </border>
    <border>
      <left/>
      <right style="dashDotDot">
        <color indexed="64"/>
      </right>
      <top style="thin">
        <color indexed="64"/>
      </top>
      <bottom/>
      <diagonal/>
    </border>
    <border>
      <left/>
      <right style="dashDotDot">
        <color indexed="64"/>
      </right>
      <top/>
      <bottom style="medium">
        <color indexed="64"/>
      </bottom>
      <diagonal/>
    </border>
    <border>
      <left/>
      <right style="dashDotDot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dashDotDot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dashDotDot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ashDotDot">
        <color auto="1"/>
      </bottom>
      <diagonal/>
    </border>
    <border>
      <left/>
      <right style="dashDotDot">
        <color indexed="64"/>
      </right>
      <top style="medium">
        <color indexed="64"/>
      </top>
      <bottom style="medium">
        <color indexed="64"/>
      </bottom>
      <diagonal/>
    </border>
    <border>
      <left/>
      <right style="dashDotDot">
        <color indexed="64"/>
      </right>
      <top style="medium">
        <color indexed="64"/>
      </top>
      <bottom style="thin">
        <color indexed="64"/>
      </bottom>
      <diagonal/>
    </border>
    <border>
      <left/>
      <right style="dashDotDot">
        <color indexed="64"/>
      </right>
      <top/>
      <bottom style="double">
        <color indexed="64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/>
      <diagonal/>
    </border>
    <border>
      <left style="dashed">
        <color auto="1"/>
      </left>
      <right style="dashed">
        <color auto="1"/>
      </right>
      <top/>
      <bottom/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</borders>
  <cellStyleXfs count="119">
    <xf numFmtId="0" fontId="0" fillId="0" borderId="0"/>
    <xf numFmtId="14" fontId="34" fillId="0" borderId="0"/>
    <xf numFmtId="39" fontId="37" fillId="0" borderId="0" applyFill="0" applyBorder="0" applyAlignment="0" applyProtection="0"/>
    <xf numFmtId="0" fontId="38" fillId="2" borderId="0" applyNumberFormat="0">
      <alignment horizontal="center"/>
    </xf>
    <xf numFmtId="43" fontId="11" fillId="0" borderId="0" applyFont="0" applyFill="0" applyBorder="0" applyAlignment="0" applyProtection="0"/>
    <xf numFmtId="7" fontId="11" fillId="0" borderId="0" applyFont="0" applyFill="0" applyBorder="0" applyAlignment="0" applyProtection="0"/>
    <xf numFmtId="44" fontId="11" fillId="0" borderId="0" applyFont="0" applyFill="0" applyBorder="0" applyAlignment="0" applyProtection="0"/>
    <xf numFmtId="39" fontId="34" fillId="0" borderId="0">
      <alignment horizontal="right"/>
    </xf>
    <xf numFmtId="186" fontId="37" fillId="0" borderId="0" applyFill="0" applyProtection="0">
      <alignment vertical="center"/>
    </xf>
    <xf numFmtId="179" fontId="11" fillId="0" borderId="0" applyFont="0" applyFill="0" applyBorder="0" applyAlignment="0" applyProtection="0"/>
    <xf numFmtId="0" fontId="11" fillId="0" borderId="1" applyNumberFormat="0" applyFont="0" applyFill="0" applyAlignment="0" applyProtection="0"/>
    <xf numFmtId="164" fontId="34" fillId="0" borderId="0" applyBorder="0"/>
    <xf numFmtId="0" fontId="36" fillId="0" borderId="0">
      <alignment horizontal="left" indent="2"/>
    </xf>
    <xf numFmtId="0" fontId="11" fillId="0" borderId="0"/>
    <xf numFmtId="0" fontId="39" fillId="0" borderId="0" applyNumberFormat="0" applyFill="0" applyBorder="0" applyAlignment="0" applyProtection="0">
      <alignment horizontal="left"/>
    </xf>
    <xf numFmtId="0" fontId="40" fillId="0" borderId="0" applyNumberFormat="0" applyFill="0" applyBorder="0" applyAlignment="0" applyProtection="0">
      <alignment horizontal="left"/>
    </xf>
    <xf numFmtId="0" fontId="41" fillId="0" borderId="0" applyNumberFormat="0" applyFill="0" applyBorder="0" applyAlignment="0" applyProtection="0">
      <alignment horizontal="left"/>
    </xf>
    <xf numFmtId="0" fontId="42" fillId="0" borderId="0" applyNumberFormat="0" applyFill="0" applyBorder="0" applyAlignment="0" applyProtection="0">
      <alignment horizontal="left"/>
    </xf>
    <xf numFmtId="0" fontId="43" fillId="0" borderId="0" applyNumberFormat="0" applyFill="0" applyAlignment="0" applyProtection="0">
      <alignment horizontal="left"/>
    </xf>
    <xf numFmtId="0" fontId="42" fillId="0" borderId="0" applyNumberFormat="0" applyFill="0" applyBorder="0" applyAlignment="0" applyProtection="0">
      <alignment horizontal="left"/>
    </xf>
    <xf numFmtId="0" fontId="43" fillId="0" borderId="0" applyNumberFormat="0" applyFill="0" applyBorder="0" applyAlignment="0" applyProtection="0">
      <alignment horizontal="left"/>
    </xf>
    <xf numFmtId="0" fontId="44" fillId="0" borderId="0" applyNumberFormat="0" applyFill="0" applyBorder="0" applyAlignment="0" applyProtection="0">
      <alignment horizontal="left"/>
    </xf>
    <xf numFmtId="0" fontId="45" fillId="0" borderId="0" applyNumberFormat="0" applyFill="0" applyBorder="0" applyAlignment="0" applyProtection="0">
      <alignment horizontal="left"/>
    </xf>
    <xf numFmtId="0" fontId="11" fillId="2" borderId="2" applyNumberFormat="0" applyFont="0" applyBorder="0" applyAlignment="0" applyProtection="0"/>
    <xf numFmtId="37" fontId="34" fillId="0" borderId="0" applyBorder="0"/>
    <xf numFmtId="185" fontId="34" fillId="0" borderId="0"/>
    <xf numFmtId="0" fontId="12" fillId="0" borderId="0"/>
    <xf numFmtId="0" fontId="18" fillId="0" borderId="0"/>
    <xf numFmtId="0" fontId="11" fillId="0" borderId="1" applyNumberFormat="0" applyFont="0" applyFill="0" applyAlignment="0" applyProtection="0"/>
    <xf numFmtId="0" fontId="11" fillId="0" borderId="3" applyNumberFormat="0" applyFont="0" applyFill="0" applyAlignment="0" applyProtection="0"/>
    <xf numFmtId="0" fontId="11" fillId="0" borderId="4" applyNumberFormat="0" applyFont="0" applyFill="0" applyAlignment="0" applyProtection="0"/>
    <xf numFmtId="187" fontId="34" fillId="0" borderId="5" applyBorder="0"/>
    <xf numFmtId="9" fontId="11" fillId="0" borderId="0" applyFon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1" fillId="2" borderId="0" applyNumberFormat="0" applyBorder="0" applyProtection="0">
      <alignment horizontal="center"/>
    </xf>
    <xf numFmtId="0" fontId="46" fillId="0" borderId="0">
      <alignment horizontal="left"/>
    </xf>
    <xf numFmtId="0" fontId="38" fillId="0" borderId="0">
      <alignment horizontal="left" indent="1"/>
    </xf>
    <xf numFmtId="49" fontId="34" fillId="0" borderId="0"/>
    <xf numFmtId="18" fontId="34" fillId="0" borderId="0" applyFill="0" applyProtection="0">
      <alignment horizontal="center"/>
    </xf>
    <xf numFmtId="0" fontId="35" fillId="0" borderId="0">
      <alignment horizontal="center"/>
    </xf>
    <xf numFmtId="184" fontId="36" fillId="0" borderId="0">
      <alignment horizontal="center"/>
    </xf>
    <xf numFmtId="0" fontId="47" fillId="0" borderId="0" applyNumberFormat="0" applyFill="0" applyBorder="0" applyAlignment="0" applyProtection="0">
      <alignment horizontal="left"/>
    </xf>
    <xf numFmtId="0" fontId="48" fillId="0" borderId="0" applyNumberFormat="0" applyFill="0" applyBorder="0" applyAlignment="0" applyProtection="0">
      <alignment horizontal="left"/>
    </xf>
    <xf numFmtId="0" fontId="49" fillId="0" borderId="0" applyNumberFormat="0" applyFill="0" applyBorder="0" applyAlignment="0" applyProtection="0">
      <alignment horizontal="left"/>
    </xf>
    <xf numFmtId="0" fontId="50" fillId="0" borderId="0" applyNumberFormat="0" applyFill="0" applyBorder="0" applyAlignment="0" applyProtection="0">
      <alignment horizontal="left"/>
    </xf>
    <xf numFmtId="0" fontId="51" fillId="0" borderId="0" applyNumberFormat="0" applyFill="0" applyBorder="0" applyAlignment="0" applyProtection="0">
      <alignment horizontal="left"/>
    </xf>
    <xf numFmtId="0" fontId="50" fillId="0" borderId="0" applyNumberFormat="0" applyFill="0" applyBorder="0" applyAlignment="0" applyProtection="0">
      <alignment horizontal="left"/>
    </xf>
    <xf numFmtId="0" fontId="51" fillId="0" borderId="0" applyNumberFormat="0" applyFill="0" applyBorder="0" applyAlignment="0" applyProtection="0">
      <alignment horizontal="left"/>
    </xf>
    <xf numFmtId="0" fontId="52" fillId="0" borderId="0">
      <alignment horizontal="left"/>
    </xf>
    <xf numFmtId="0" fontId="34" fillId="0" borderId="0" applyNumberFormat="0" applyFill="0" applyBorder="0" applyAlignment="0" applyProtection="0">
      <alignment horizontal="left"/>
    </xf>
    <xf numFmtId="0" fontId="11" fillId="2" borderId="0" applyNumberFormat="0" applyFont="0" applyBorder="0" applyAlignment="0" applyProtection="0"/>
    <xf numFmtId="0" fontId="11" fillId="0" borderId="5" applyNumberFormat="0" applyFont="0" applyFill="0" applyAlignment="0" applyProtection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1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9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54" fillId="0" borderId="0"/>
    <xf numFmtId="0" fontId="8" fillId="0" borderId="0"/>
    <xf numFmtId="0" fontId="7" fillId="0" borderId="0"/>
    <xf numFmtId="44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3" fillId="0" borderId="0"/>
    <xf numFmtId="0" fontId="2" fillId="0" borderId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0" fontId="87" fillId="0" borderId="0" applyNumberFormat="0" applyFill="0" applyBorder="0" applyAlignment="0" applyProtection="0"/>
  </cellStyleXfs>
  <cellXfs count="1033">
    <xf numFmtId="0" fontId="0" fillId="0" borderId="0" xfId="0"/>
    <xf numFmtId="3" fontId="0" fillId="0" borderId="0" xfId="0" applyNumberFormat="1"/>
    <xf numFmtId="5" fontId="14" fillId="0" borderId="0" xfId="26" applyNumberFormat="1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5" fillId="0" borderId="7" xfId="0" applyFont="1" applyBorder="1"/>
    <xf numFmtId="0" fontId="15" fillId="0" borderId="8" xfId="0" applyFont="1" applyBorder="1"/>
    <xf numFmtId="0" fontId="15" fillId="0" borderId="8" xfId="0" applyFont="1" applyBorder="1" applyAlignment="1">
      <alignment horizontal="right"/>
    </xf>
    <xf numFmtId="17" fontId="15" fillId="0" borderId="8" xfId="0" applyNumberFormat="1" applyFont="1" applyBorder="1" applyAlignment="1">
      <alignment horizontal="center"/>
    </xf>
    <xf numFmtId="17" fontId="15" fillId="0" borderId="9" xfId="0" applyNumberFormat="1" applyFont="1" applyBorder="1" applyAlignment="1">
      <alignment horizontal="center"/>
    </xf>
    <xf numFmtId="0" fontId="15" fillId="0" borderId="11" xfId="0" applyFont="1" applyBorder="1"/>
    <xf numFmtId="0" fontId="15" fillId="0" borderId="14" xfId="0" applyFont="1" applyBorder="1" applyAlignment="1">
      <alignment horizontal="center"/>
    </xf>
    <xf numFmtId="0" fontId="15" fillId="0" borderId="15" xfId="0" applyFont="1" applyBorder="1" applyAlignment="1">
      <alignment horizontal="center"/>
    </xf>
    <xf numFmtId="0" fontId="15" fillId="0" borderId="16" xfId="0" applyFont="1" applyBorder="1" applyAlignment="1">
      <alignment horizontal="center"/>
    </xf>
    <xf numFmtId="0" fontId="17" fillId="0" borderId="11" xfId="0" applyFont="1" applyBorder="1"/>
    <xf numFmtId="0" fontId="15" fillId="0" borderId="0" xfId="0" applyFont="1" applyAlignment="1">
      <alignment horizontal="center"/>
    </xf>
    <xf numFmtId="0" fontId="15" fillId="0" borderId="10" xfId="0" applyFont="1" applyBorder="1" applyAlignment="1">
      <alignment horizontal="center"/>
    </xf>
    <xf numFmtId="0" fontId="17" fillId="0" borderId="10" xfId="0" applyFont="1" applyBorder="1"/>
    <xf numFmtId="14" fontId="17" fillId="0" borderId="11" xfId="0" applyNumberFormat="1" applyFont="1" applyBorder="1" applyAlignment="1">
      <alignment vertical="top"/>
    </xf>
    <xf numFmtId="3" fontId="17" fillId="0" borderId="0" xfId="0" applyNumberFormat="1" applyFont="1" applyAlignment="1">
      <alignment horizontal="center" vertical="top"/>
    </xf>
    <xf numFmtId="3" fontId="17" fillId="0" borderId="0" xfId="0" applyNumberFormat="1" applyFont="1" applyAlignment="1">
      <alignment vertical="top"/>
    </xf>
    <xf numFmtId="5" fontId="17" fillId="0" borderId="17" xfId="0" applyNumberFormat="1" applyFont="1" applyBorder="1"/>
    <xf numFmtId="5" fontId="17" fillId="0" borderId="18" xfId="0" applyNumberFormat="1" applyFont="1" applyBorder="1"/>
    <xf numFmtId="3" fontId="17" fillId="0" borderId="19" xfId="0" applyNumberFormat="1" applyFont="1" applyBorder="1" applyAlignment="1">
      <alignment vertical="top"/>
    </xf>
    <xf numFmtId="5" fontId="17" fillId="0" borderId="0" xfId="0" applyNumberFormat="1" applyFont="1"/>
    <xf numFmtId="5" fontId="17" fillId="0" borderId="10" xfId="0" applyNumberFormat="1" applyFont="1" applyBorder="1"/>
    <xf numFmtId="0" fontId="15" fillId="0" borderId="20" xfId="0" applyFont="1" applyBorder="1"/>
    <xf numFmtId="0" fontId="17" fillId="0" borderId="21" xfId="0" applyFont="1" applyBorder="1"/>
    <xf numFmtId="3" fontId="17" fillId="0" borderId="21" xfId="0" applyNumberFormat="1" applyFont="1" applyBorder="1"/>
    <xf numFmtId="5" fontId="15" fillId="0" borderId="21" xfId="0" applyNumberFormat="1" applyFont="1" applyBorder="1"/>
    <xf numFmtId="5" fontId="15" fillId="0" borderId="22" xfId="0" applyNumberFormat="1" applyFont="1" applyBorder="1"/>
    <xf numFmtId="0" fontId="17" fillId="0" borderId="0" xfId="0" applyFont="1" applyAlignment="1">
      <alignment horizontal="right"/>
    </xf>
    <xf numFmtId="167" fontId="17" fillId="0" borderId="0" xfId="0" applyNumberFormat="1" applyFont="1"/>
    <xf numFmtId="167" fontId="17" fillId="0" borderId="10" xfId="0" applyNumberFormat="1" applyFont="1" applyBorder="1"/>
    <xf numFmtId="0" fontId="17" fillId="0" borderId="12" xfId="0" applyFont="1" applyBorder="1"/>
    <xf numFmtId="0" fontId="17" fillId="0" borderId="6" xfId="0" applyFont="1" applyBorder="1" applyAlignment="1">
      <alignment horizontal="right"/>
    </xf>
    <xf numFmtId="167" fontId="17" fillId="0" borderId="6" xfId="0" applyNumberFormat="1" applyFont="1" applyBorder="1"/>
    <xf numFmtId="167" fontId="17" fillId="0" borderId="13" xfId="0" applyNumberFormat="1" applyFont="1" applyBorder="1"/>
    <xf numFmtId="0" fontId="17" fillId="0" borderId="7" xfId="0" applyFont="1" applyBorder="1"/>
    <xf numFmtId="17" fontId="15" fillId="0" borderId="23" xfId="0" applyNumberFormat="1" applyFont="1" applyBorder="1" applyAlignment="1">
      <alignment horizontal="center"/>
    </xf>
    <xf numFmtId="1" fontId="17" fillId="0" borderId="0" xfId="0" applyNumberFormat="1" applyFont="1" applyAlignment="1">
      <alignment horizontal="center" vertical="top"/>
    </xf>
    <xf numFmtId="7" fontId="17" fillId="0" borderId="0" xfId="0" applyNumberFormat="1" applyFont="1"/>
    <xf numFmtId="7" fontId="17" fillId="0" borderId="10" xfId="0" applyNumberFormat="1" applyFont="1" applyBorder="1"/>
    <xf numFmtId="1" fontId="17" fillId="0" borderId="0" xfId="0" applyNumberFormat="1" applyFont="1" applyAlignment="1">
      <alignment vertical="top"/>
    </xf>
    <xf numFmtId="7" fontId="15" fillId="0" borderId="21" xfId="0" applyNumberFormat="1" applyFont="1" applyBorder="1"/>
    <xf numFmtId="7" fontId="15" fillId="0" borderId="22" xfId="0" applyNumberFormat="1" applyFont="1" applyBorder="1"/>
    <xf numFmtId="5" fontId="16" fillId="0" borderId="0" xfId="0" applyNumberFormat="1" applyFont="1"/>
    <xf numFmtId="7" fontId="16" fillId="0" borderId="0" xfId="0" applyNumberFormat="1" applyFont="1"/>
    <xf numFmtId="3" fontId="16" fillId="0" borderId="0" xfId="0" applyNumberFormat="1" applyFont="1"/>
    <xf numFmtId="0" fontId="17" fillId="0" borderId="6" xfId="0" applyFont="1" applyBorder="1"/>
    <xf numFmtId="3" fontId="17" fillId="0" borderId="6" xfId="0" applyNumberFormat="1" applyFont="1" applyBorder="1"/>
    <xf numFmtId="37" fontId="17" fillId="0" borderId="6" xfId="0" applyNumberFormat="1" applyFont="1" applyBorder="1"/>
    <xf numFmtId="37" fontId="17" fillId="0" borderId="13" xfId="0" applyNumberFormat="1" applyFont="1" applyBorder="1"/>
    <xf numFmtId="0" fontId="17" fillId="0" borderId="0" xfId="0" applyFont="1" applyAlignment="1">
      <alignment horizontal="center"/>
    </xf>
    <xf numFmtId="0" fontId="17" fillId="0" borderId="8" xfId="0" applyFont="1" applyBorder="1"/>
    <xf numFmtId="0" fontId="17" fillId="0" borderId="8" xfId="0" applyFont="1" applyBorder="1" applyAlignment="1">
      <alignment horizontal="center"/>
    </xf>
    <xf numFmtId="0" fontId="17" fillId="0" borderId="9" xfId="0" applyFont="1" applyBorder="1" applyAlignment="1">
      <alignment horizontal="center"/>
    </xf>
    <xf numFmtId="0" fontId="15" fillId="0" borderId="0" xfId="0" applyFont="1" applyAlignment="1">
      <alignment horizontal="centerContinuous"/>
    </xf>
    <xf numFmtId="0" fontId="15" fillId="0" borderId="0" xfId="0" quotePrefix="1" applyFont="1" applyAlignment="1">
      <alignment horizontal="center"/>
    </xf>
    <xf numFmtId="173" fontId="17" fillId="0" borderId="0" xfId="0" applyNumberFormat="1" applyFont="1" applyAlignment="1">
      <alignment vertical="top"/>
    </xf>
    <xf numFmtId="167" fontId="16" fillId="0" borderId="0" xfId="0" applyNumberFormat="1" applyFont="1"/>
    <xf numFmtId="0" fontId="17" fillId="0" borderId="24" xfId="0" applyFont="1" applyBorder="1"/>
    <xf numFmtId="0" fontId="17" fillId="0" borderId="25" xfId="0" applyFont="1" applyBorder="1"/>
    <xf numFmtId="0" fontId="15" fillId="0" borderId="25" xfId="0" applyFont="1" applyBorder="1" applyAlignment="1">
      <alignment horizontal="center"/>
    </xf>
    <xf numFmtId="0" fontId="15" fillId="0" borderId="25" xfId="0" quotePrefix="1" applyFont="1" applyBorder="1" applyAlignment="1">
      <alignment horizontal="center"/>
    </xf>
    <xf numFmtId="0" fontId="15" fillId="0" borderId="26" xfId="0" applyFont="1" applyBorder="1" applyAlignment="1">
      <alignment horizontal="center"/>
    </xf>
    <xf numFmtId="0" fontId="15" fillId="0" borderId="27" xfId="0" applyFont="1" applyBorder="1" applyAlignment="1">
      <alignment horizontal="center"/>
    </xf>
    <xf numFmtId="2" fontId="15" fillId="0" borderId="27" xfId="0" applyNumberFormat="1" applyFont="1" applyBorder="1" applyAlignment="1">
      <alignment horizontal="center"/>
    </xf>
    <xf numFmtId="2" fontId="15" fillId="0" borderId="27" xfId="0" quotePrefix="1" applyNumberFormat="1" applyFont="1" applyBorder="1" applyAlignment="1">
      <alignment horizontal="center"/>
    </xf>
    <xf numFmtId="0" fontId="15" fillId="0" borderId="28" xfId="0" applyFont="1" applyBorder="1" applyAlignment="1">
      <alignment horizontal="center"/>
    </xf>
    <xf numFmtId="43" fontId="15" fillId="0" borderId="0" xfId="4" applyFont="1" applyBorder="1" applyAlignment="1">
      <alignment horizontal="center"/>
    </xf>
    <xf numFmtId="0" fontId="17" fillId="0" borderId="11" xfId="0" applyFont="1" applyBorder="1" applyAlignment="1">
      <alignment vertical="top"/>
    </xf>
    <xf numFmtId="5" fontId="17" fillId="0" borderId="0" xfId="0" applyNumberFormat="1" applyFont="1" applyAlignment="1">
      <alignment vertical="top"/>
    </xf>
    <xf numFmtId="167" fontId="17" fillId="0" borderId="0" xfId="0" applyNumberFormat="1" applyFont="1" applyAlignment="1">
      <alignment vertical="top"/>
    </xf>
    <xf numFmtId="1" fontId="17" fillId="0" borderId="0" xfId="0" applyNumberFormat="1" applyFont="1" applyAlignment="1">
      <alignment horizontal="center" vertical="top" wrapText="1"/>
    </xf>
    <xf numFmtId="167" fontId="17" fillId="0" borderId="0" xfId="0" applyNumberFormat="1" applyFont="1" applyAlignment="1">
      <alignment horizontal="center" vertical="top"/>
    </xf>
    <xf numFmtId="167" fontId="17" fillId="3" borderId="0" xfId="0" applyNumberFormat="1" applyFont="1" applyFill="1" applyAlignment="1">
      <alignment vertical="top"/>
    </xf>
    <xf numFmtId="181" fontId="17" fillId="0" borderId="0" xfId="0" applyNumberFormat="1" applyFont="1" applyAlignment="1">
      <alignment vertical="top"/>
    </xf>
    <xf numFmtId="178" fontId="17" fillId="0" borderId="0" xfId="0" applyNumberFormat="1" applyFont="1" applyAlignment="1">
      <alignment horizontal="center" vertical="top"/>
    </xf>
    <xf numFmtId="177" fontId="17" fillId="0" borderId="0" xfId="0" applyNumberFormat="1" applyFont="1" applyAlignment="1">
      <alignment horizontal="left" vertical="top"/>
    </xf>
    <xf numFmtId="0" fontId="17" fillId="0" borderId="10" xfId="0" applyFont="1" applyBorder="1" applyAlignment="1">
      <alignment horizontal="left" vertical="top"/>
    </xf>
    <xf numFmtId="0" fontId="17" fillId="0" borderId="0" xfId="0" applyFont="1" applyAlignment="1">
      <alignment horizontal="left" vertical="top"/>
    </xf>
    <xf numFmtId="2" fontId="17" fillId="0" borderId="0" xfId="0" applyNumberFormat="1" applyFont="1" applyAlignment="1">
      <alignment horizontal="left" vertical="top"/>
    </xf>
    <xf numFmtId="0" fontId="16" fillId="0" borderId="0" xfId="0" applyFont="1" applyAlignment="1">
      <alignment vertical="top"/>
    </xf>
    <xf numFmtId="180" fontId="16" fillId="0" borderId="0" xfId="32" applyNumberFormat="1" applyFont="1" applyAlignment="1">
      <alignment vertical="top"/>
    </xf>
    <xf numFmtId="14" fontId="16" fillId="0" borderId="0" xfId="0" applyNumberFormat="1" applyFont="1" applyAlignment="1">
      <alignment vertical="top"/>
    </xf>
    <xf numFmtId="9" fontId="16" fillId="0" borderId="0" xfId="32" applyFont="1" applyAlignment="1">
      <alignment vertical="top"/>
    </xf>
    <xf numFmtId="0" fontId="17" fillId="0" borderId="10" xfId="0" applyFont="1" applyBorder="1" applyAlignment="1">
      <alignment horizontal="right" vertical="top"/>
    </xf>
    <xf numFmtId="178" fontId="17" fillId="0" borderId="0" xfId="0" applyNumberFormat="1" applyFont="1" applyAlignment="1">
      <alignment horizontal="left" vertical="top"/>
    </xf>
    <xf numFmtId="180" fontId="17" fillId="0" borderId="0" xfId="0" applyNumberFormat="1" applyFont="1" applyAlignment="1">
      <alignment vertical="top"/>
    </xf>
    <xf numFmtId="0" fontId="15" fillId="0" borderId="12" xfId="0" applyFont="1" applyBorder="1"/>
    <xf numFmtId="0" fontId="15" fillId="0" borderId="6" xfId="0" applyFont="1" applyBorder="1"/>
    <xf numFmtId="173" fontId="15" fillId="0" borderId="6" xfId="0" applyNumberFormat="1" applyFont="1" applyBorder="1"/>
    <xf numFmtId="167" fontId="15" fillId="0" borderId="6" xfId="0" applyNumberFormat="1" applyFont="1" applyBorder="1"/>
    <xf numFmtId="167" fontId="15" fillId="0" borderId="6" xfId="0" applyNumberFormat="1" applyFont="1" applyBorder="1" applyAlignment="1">
      <alignment horizontal="center"/>
    </xf>
    <xf numFmtId="0" fontId="17" fillId="0" borderId="13" xfId="0" applyFont="1" applyBorder="1" applyAlignment="1">
      <alignment horizontal="left"/>
    </xf>
    <xf numFmtId="0" fontId="17" fillId="0" borderId="0" xfId="0" applyFont="1" applyAlignment="1">
      <alignment horizontal="left"/>
    </xf>
    <xf numFmtId="173" fontId="15" fillId="0" borderId="0" xfId="0" applyNumberFormat="1" applyFont="1"/>
    <xf numFmtId="167" fontId="15" fillId="0" borderId="0" xfId="0" applyNumberFormat="1" applyFont="1"/>
    <xf numFmtId="167" fontId="15" fillId="0" borderId="0" xfId="0" applyNumberFormat="1" applyFont="1" applyAlignment="1">
      <alignment horizontal="center"/>
    </xf>
    <xf numFmtId="0" fontId="17" fillId="0" borderId="10" xfId="0" applyFont="1" applyBorder="1" applyAlignment="1">
      <alignment horizontal="center"/>
    </xf>
    <xf numFmtId="3" fontId="15" fillId="0" borderId="0" xfId="0" applyNumberFormat="1" applyFont="1"/>
    <xf numFmtId="5" fontId="15" fillId="0" borderId="0" xfId="0" applyNumberFormat="1" applyFont="1"/>
    <xf numFmtId="167" fontId="15" fillId="0" borderId="0" xfId="0" applyNumberFormat="1" applyFont="1" applyAlignment="1">
      <alignment vertical="top"/>
    </xf>
    <xf numFmtId="173" fontId="15" fillId="0" borderId="0" xfId="0" applyNumberFormat="1" applyFont="1" applyAlignment="1">
      <alignment vertical="top"/>
    </xf>
    <xf numFmtId="169" fontId="16" fillId="0" borderId="0" xfId="0" applyNumberFormat="1" applyFont="1"/>
    <xf numFmtId="168" fontId="15" fillId="0" borderId="0" xfId="0" applyNumberFormat="1" applyFont="1"/>
    <xf numFmtId="0" fontId="19" fillId="0" borderId="0" xfId="0" applyFont="1"/>
    <xf numFmtId="0" fontId="15" fillId="0" borderId="0" xfId="0" quotePrefix="1" applyFont="1"/>
    <xf numFmtId="0" fontId="19" fillId="0" borderId="11" xfId="0" applyFont="1" applyBorder="1"/>
    <xf numFmtId="0" fontId="16" fillId="0" borderId="6" xfId="0" applyFont="1" applyBorder="1"/>
    <xf numFmtId="0" fontId="16" fillId="0" borderId="6" xfId="0" applyFont="1" applyBorder="1" applyAlignment="1">
      <alignment horizontal="center"/>
    </xf>
    <xf numFmtId="0" fontId="16" fillId="0" borderId="13" xfId="0" applyFont="1" applyBorder="1" applyAlignment="1">
      <alignment horizontal="center"/>
    </xf>
    <xf numFmtId="0" fontId="16" fillId="0" borderId="0" xfId="0" applyFont="1" applyAlignment="1">
      <alignment horizontal="center"/>
    </xf>
    <xf numFmtId="172" fontId="16" fillId="0" borderId="0" xfId="6" applyNumberFormat="1" applyFont="1"/>
    <xf numFmtId="44" fontId="16" fillId="0" borderId="0" xfId="6" applyFont="1"/>
    <xf numFmtId="166" fontId="16" fillId="0" borderId="0" xfId="4" applyNumberFormat="1" applyFont="1" applyBorder="1"/>
    <xf numFmtId="14" fontId="18" fillId="0" borderId="0" xfId="27" applyNumberFormat="1" applyAlignment="1">
      <alignment horizontal="right" wrapText="1"/>
    </xf>
    <xf numFmtId="0" fontId="17" fillId="0" borderId="0" xfId="0" applyFont="1" applyAlignment="1">
      <alignment vertical="top"/>
    </xf>
    <xf numFmtId="14" fontId="16" fillId="0" borderId="0" xfId="0" applyNumberFormat="1" applyFont="1"/>
    <xf numFmtId="3" fontId="16" fillId="0" borderId="0" xfId="0" applyNumberFormat="1" applyFont="1" applyAlignment="1">
      <alignment vertical="top"/>
    </xf>
    <xf numFmtId="1" fontId="16" fillId="0" borderId="0" xfId="0" applyNumberFormat="1" applyFont="1"/>
    <xf numFmtId="0" fontId="20" fillId="0" borderId="0" xfId="0" applyFont="1"/>
    <xf numFmtId="17" fontId="20" fillId="0" borderId="0" xfId="0" applyNumberFormat="1" applyFont="1"/>
    <xf numFmtId="0" fontId="15" fillId="0" borderId="0" xfId="0" applyFont="1" applyAlignment="1">
      <alignment horizontal="right"/>
    </xf>
    <xf numFmtId="7" fontId="15" fillId="0" borderId="0" xfId="0" applyNumberFormat="1" applyFont="1" applyAlignment="1">
      <alignment horizontal="center"/>
    </xf>
    <xf numFmtId="3" fontId="16" fillId="0" borderId="0" xfId="4" applyNumberFormat="1" applyFont="1" applyFill="1"/>
    <xf numFmtId="3" fontId="17" fillId="0" borderId="0" xfId="0" applyNumberFormat="1" applyFont="1" applyAlignment="1">
      <alignment horizontal="center"/>
    </xf>
    <xf numFmtId="3" fontId="17" fillId="0" borderId="0" xfId="0" applyNumberFormat="1" applyFont="1"/>
    <xf numFmtId="176" fontId="17" fillId="0" borderId="0" xfId="0" applyNumberFormat="1" applyFont="1" applyAlignment="1">
      <alignment horizontal="center"/>
    </xf>
    <xf numFmtId="176" fontId="17" fillId="0" borderId="10" xfId="0" applyNumberFormat="1" applyFont="1" applyBorder="1" applyAlignment="1">
      <alignment horizontal="center"/>
    </xf>
    <xf numFmtId="7" fontId="17" fillId="0" borderId="19" xfId="0" applyNumberFormat="1" applyFont="1" applyBorder="1" applyAlignment="1">
      <alignment horizontal="center"/>
    </xf>
    <xf numFmtId="7" fontId="17" fillId="0" borderId="29" xfId="0" applyNumberFormat="1" applyFont="1" applyBorder="1" applyAlignment="1">
      <alignment horizontal="center"/>
    </xf>
    <xf numFmtId="7" fontId="17" fillId="0" borderId="0" xfId="0" applyNumberFormat="1" applyFont="1" applyAlignment="1">
      <alignment horizontal="center"/>
    </xf>
    <xf numFmtId="0" fontId="15" fillId="0" borderId="11" xfId="0" applyFont="1" applyBorder="1" applyAlignment="1">
      <alignment horizontal="right"/>
    </xf>
    <xf numFmtId="7" fontId="17" fillId="0" borderId="10" xfId="0" applyNumberFormat="1" applyFont="1" applyBorder="1" applyAlignment="1">
      <alignment horizontal="center"/>
    </xf>
    <xf numFmtId="166" fontId="16" fillId="0" borderId="0" xfId="4" applyNumberFormat="1" applyFont="1" applyFill="1"/>
    <xf numFmtId="164" fontId="17" fillId="0" borderId="6" xfId="32" applyNumberFormat="1" applyFont="1" applyFill="1" applyBorder="1" applyAlignment="1">
      <alignment horizontal="center"/>
    </xf>
    <xf numFmtId="164" fontId="17" fillId="0" borderId="13" xfId="32" applyNumberFormat="1" applyFont="1" applyFill="1" applyBorder="1" applyAlignment="1">
      <alignment horizontal="center"/>
    </xf>
    <xf numFmtId="166" fontId="16" fillId="0" borderId="0" xfId="0" applyNumberFormat="1" applyFont="1"/>
    <xf numFmtId="4" fontId="16" fillId="0" borderId="0" xfId="0" applyNumberFormat="1" applyFont="1"/>
    <xf numFmtId="171" fontId="16" fillId="0" borderId="0" xfId="0" applyNumberFormat="1" applyFont="1"/>
    <xf numFmtId="164" fontId="16" fillId="0" borderId="0" xfId="32" applyNumberFormat="1" applyFont="1" applyFill="1"/>
    <xf numFmtId="3" fontId="17" fillId="0" borderId="0" xfId="0" applyNumberFormat="1" applyFont="1" applyAlignment="1">
      <alignment vertical="top" wrapText="1"/>
    </xf>
    <xf numFmtId="17" fontId="15" fillId="0" borderId="0" xfId="0" applyNumberFormat="1" applyFont="1" applyAlignment="1">
      <alignment horizontal="center"/>
    </xf>
    <xf numFmtId="0" fontId="15" fillId="0" borderId="8" xfId="0" applyFont="1" applyBorder="1" applyAlignment="1">
      <alignment horizontal="center"/>
    </xf>
    <xf numFmtId="0" fontId="17" fillId="0" borderId="9" xfId="0" applyFont="1" applyBorder="1"/>
    <xf numFmtId="0" fontId="17" fillId="0" borderId="16" xfId="0" applyFont="1" applyBorder="1"/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37" fontId="15" fillId="0" borderId="0" xfId="0" applyNumberFormat="1" applyFont="1" applyAlignment="1">
      <alignment horizontal="center"/>
    </xf>
    <xf numFmtId="0" fontId="23" fillId="0" borderId="0" xfId="0" applyFont="1" applyAlignment="1">
      <alignment horizontal="center"/>
    </xf>
    <xf numFmtId="37" fontId="25" fillId="0" borderId="0" xfId="0" applyNumberFormat="1" applyFont="1"/>
    <xf numFmtId="37" fontId="25" fillId="4" borderId="17" xfId="0" applyNumberFormat="1" applyFont="1" applyFill="1" applyBorder="1"/>
    <xf numFmtId="37" fontId="17" fillId="0" borderId="10" xfId="0" applyNumberFormat="1" applyFont="1" applyBorder="1"/>
    <xf numFmtId="37" fontId="17" fillId="0" borderId="0" xfId="0" applyNumberFormat="1" applyFont="1"/>
    <xf numFmtId="3" fontId="26" fillId="0" borderId="0" xfId="0" applyNumberFormat="1" applyFont="1"/>
    <xf numFmtId="37" fontId="17" fillId="0" borderId="30" xfId="0" applyNumberFormat="1" applyFont="1" applyBorder="1"/>
    <xf numFmtId="168" fontId="17" fillId="0" borderId="6" xfId="0" applyNumberFormat="1" applyFont="1" applyBorder="1"/>
    <xf numFmtId="168" fontId="16" fillId="0" borderId="0" xfId="0" applyNumberFormat="1" applyFont="1"/>
    <xf numFmtId="0" fontId="16" fillId="0" borderId="8" xfId="0" applyFont="1" applyBorder="1"/>
    <xf numFmtId="0" fontId="17" fillId="0" borderId="0" xfId="0" applyFont="1" applyAlignment="1">
      <alignment horizontal="left" indent="1"/>
    </xf>
    <xf numFmtId="0" fontId="15" fillId="0" borderId="31" xfId="0" applyFont="1" applyBorder="1" applyAlignment="1">
      <alignment horizontal="center"/>
    </xf>
    <xf numFmtId="0" fontId="15" fillId="0" borderId="32" xfId="0" applyFont="1" applyBorder="1" applyAlignment="1">
      <alignment horizontal="center"/>
    </xf>
    <xf numFmtId="0" fontId="15" fillId="0" borderId="23" xfId="0" applyFont="1" applyBorder="1" applyAlignment="1">
      <alignment horizontal="center"/>
    </xf>
    <xf numFmtId="164" fontId="15" fillId="0" borderId="0" xfId="0" applyNumberFormat="1" applyFont="1"/>
    <xf numFmtId="164" fontId="15" fillId="0" borderId="10" xfId="0" applyNumberFormat="1" applyFont="1" applyBorder="1"/>
    <xf numFmtId="0" fontId="15" fillId="0" borderId="10" xfId="0" applyFont="1" applyBorder="1"/>
    <xf numFmtId="3" fontId="17" fillId="0" borderId="0" xfId="4" applyNumberFormat="1" applyFont="1" applyFill="1" applyBorder="1" applyAlignment="1">
      <alignment horizontal="center" vertical="top"/>
    </xf>
    <xf numFmtId="5" fontId="15" fillId="0" borderId="19" xfId="0" applyNumberFormat="1" applyFont="1" applyBorder="1" applyAlignment="1">
      <alignment horizontal="right"/>
    </xf>
    <xf numFmtId="5" fontId="15" fillId="0" borderId="29" xfId="0" applyNumberFormat="1" applyFont="1" applyBorder="1" applyAlignment="1">
      <alignment horizontal="right"/>
    </xf>
    <xf numFmtId="3" fontId="17" fillId="0" borderId="19" xfId="4" applyNumberFormat="1" applyFont="1" applyFill="1" applyBorder="1" applyAlignment="1">
      <alignment horizontal="center" vertical="top"/>
    </xf>
    <xf numFmtId="9" fontId="15" fillId="0" borderId="0" xfId="32" applyFont="1" applyBorder="1"/>
    <xf numFmtId="5" fontId="15" fillId="0" borderId="10" xfId="0" applyNumberFormat="1" applyFont="1" applyBorder="1"/>
    <xf numFmtId="5" fontId="21" fillId="0" borderId="0" xfId="0" applyNumberFormat="1" applyFont="1"/>
    <xf numFmtId="5" fontId="21" fillId="0" borderId="10" xfId="0" applyNumberFormat="1" applyFont="1" applyBorder="1"/>
    <xf numFmtId="0" fontId="17" fillId="0" borderId="13" xfId="0" applyFont="1" applyBorder="1"/>
    <xf numFmtId="0" fontId="27" fillId="0" borderId="0" xfId="0" applyFont="1"/>
    <xf numFmtId="0" fontId="16" fillId="0" borderId="0" xfId="0" applyFont="1" applyAlignment="1">
      <alignment horizontal="left" indent="1"/>
    </xf>
    <xf numFmtId="9" fontId="16" fillId="0" borderId="0" xfId="32" applyFont="1"/>
    <xf numFmtId="9" fontId="16" fillId="0" borderId="0" xfId="0" applyNumberFormat="1" applyFont="1"/>
    <xf numFmtId="0" fontId="16" fillId="0" borderId="11" xfId="0" applyFont="1" applyBorder="1"/>
    <xf numFmtId="3" fontId="17" fillId="0" borderId="17" xfId="0" applyNumberFormat="1" applyFont="1" applyBorder="1"/>
    <xf numFmtId="3" fontId="17" fillId="0" borderId="18" xfId="0" applyNumberFormat="1" applyFont="1" applyBorder="1"/>
    <xf numFmtId="3" fontId="17" fillId="0" borderId="19" xfId="0" applyNumberFormat="1" applyFont="1" applyBorder="1" applyAlignment="1">
      <alignment horizontal="center" vertical="top"/>
    </xf>
    <xf numFmtId="0" fontId="17" fillId="0" borderId="17" xfId="0" applyFont="1" applyBorder="1"/>
    <xf numFmtId="0" fontId="17" fillId="0" borderId="18" xfId="0" applyFont="1" applyBorder="1"/>
    <xf numFmtId="14" fontId="17" fillId="0" borderId="11" xfId="0" applyNumberFormat="1" applyFont="1" applyBorder="1" applyAlignment="1">
      <alignment horizontal="right" vertical="top"/>
    </xf>
    <xf numFmtId="0" fontId="17" fillId="0" borderId="11" xfId="0" applyFont="1" applyBorder="1" applyAlignment="1">
      <alignment horizontal="right"/>
    </xf>
    <xf numFmtId="164" fontId="17" fillId="0" borderId="0" xfId="32" applyNumberFormat="1" applyFont="1" applyFill="1" applyBorder="1"/>
    <xf numFmtId="164" fontId="17" fillId="0" borderId="10" xfId="32" applyNumberFormat="1" applyFont="1" applyFill="1" applyBorder="1"/>
    <xf numFmtId="164" fontId="17" fillId="0" borderId="13" xfId="32" applyNumberFormat="1" applyFont="1" applyFill="1" applyBorder="1"/>
    <xf numFmtId="0" fontId="15" fillId="0" borderId="21" xfId="0" applyFont="1" applyBorder="1"/>
    <xf numFmtId="0" fontId="28" fillId="0" borderId="7" xfId="0" applyFont="1" applyBorder="1"/>
    <xf numFmtId="0" fontId="28" fillId="0" borderId="8" xfId="0" applyFont="1" applyBorder="1"/>
    <xf numFmtId="0" fontId="16" fillId="0" borderId="9" xfId="0" applyFont="1" applyBorder="1"/>
    <xf numFmtId="0" fontId="28" fillId="0" borderId="11" xfId="0" applyFont="1" applyBorder="1"/>
    <xf numFmtId="0" fontId="28" fillId="0" borderId="0" xfId="0" applyFont="1"/>
    <xf numFmtId="0" fontId="28" fillId="0" borderId="10" xfId="0" applyFont="1" applyBorder="1"/>
    <xf numFmtId="0" fontId="28" fillId="0" borderId="12" xfId="0" applyFont="1" applyBorder="1"/>
    <xf numFmtId="0" fontId="28" fillId="0" borderId="6" xfId="0" applyFont="1" applyBorder="1"/>
    <xf numFmtId="0" fontId="28" fillId="0" borderId="13" xfId="0" applyFont="1" applyBorder="1"/>
    <xf numFmtId="0" fontId="28" fillId="0" borderId="11" xfId="0" applyFont="1" applyBorder="1" applyAlignment="1">
      <alignment horizontal="right"/>
    </xf>
    <xf numFmtId="3" fontId="28" fillId="0" borderId="0" xfId="0" applyNumberFormat="1" applyFont="1"/>
    <xf numFmtId="0" fontId="28" fillId="0" borderId="0" xfId="0" applyFont="1" applyAlignment="1">
      <alignment horizontal="right"/>
    </xf>
    <xf numFmtId="3" fontId="28" fillId="0" borderId="0" xfId="0" applyNumberFormat="1" applyFont="1" applyAlignment="1">
      <alignment horizontal="right"/>
    </xf>
    <xf numFmtId="0" fontId="28" fillId="0" borderId="12" xfId="0" applyFont="1" applyBorder="1" applyAlignment="1">
      <alignment horizontal="right"/>
    </xf>
    <xf numFmtId="168" fontId="28" fillId="0" borderId="6" xfId="0" applyNumberFormat="1" applyFont="1" applyBorder="1"/>
    <xf numFmtId="0" fontId="28" fillId="0" borderId="6" xfId="0" applyFont="1" applyBorder="1" applyAlignment="1">
      <alignment horizontal="right"/>
    </xf>
    <xf numFmtId="10" fontId="28" fillId="0" borderId="6" xfId="32" applyNumberFormat="1" applyFont="1" applyFill="1" applyBorder="1"/>
    <xf numFmtId="0" fontId="28" fillId="0" borderId="0" xfId="0" applyFont="1" applyAlignment="1">
      <alignment horizontal="center"/>
    </xf>
    <xf numFmtId="0" fontId="28" fillId="0" borderId="33" xfId="0" applyFont="1" applyBorder="1" applyAlignment="1">
      <alignment horizontal="center"/>
    </xf>
    <xf numFmtId="0" fontId="28" fillId="0" borderId="10" xfId="0" applyFont="1" applyBorder="1" applyAlignment="1">
      <alignment horizontal="center"/>
    </xf>
    <xf numFmtId="0" fontId="28" fillId="0" borderId="11" xfId="0" applyFont="1" applyBorder="1" applyAlignment="1">
      <alignment vertical="top" wrapText="1"/>
    </xf>
    <xf numFmtId="0" fontId="28" fillId="0" borderId="0" xfId="0" applyFont="1" applyAlignment="1">
      <alignment horizontal="center" vertical="top" wrapText="1"/>
    </xf>
    <xf numFmtId="0" fontId="16" fillId="0" borderId="34" xfId="0" applyFont="1" applyBorder="1" applyAlignment="1">
      <alignment vertical="top" wrapText="1"/>
    </xf>
    <xf numFmtId="0" fontId="28" fillId="0" borderId="10" xfId="0" applyFont="1" applyBorder="1" applyAlignment="1">
      <alignment horizontal="center" vertical="top" wrapText="1"/>
    </xf>
    <xf numFmtId="164" fontId="16" fillId="0" borderId="0" xfId="32" applyNumberFormat="1" applyFont="1" applyFill="1" applyBorder="1" applyAlignment="1">
      <alignment horizontal="right"/>
    </xf>
    <xf numFmtId="0" fontId="16" fillId="0" borderId="34" xfId="0" applyFont="1" applyBorder="1"/>
    <xf numFmtId="0" fontId="16" fillId="0" borderId="10" xfId="0" applyFont="1" applyBorder="1"/>
    <xf numFmtId="5" fontId="16" fillId="0" borderId="0" xfId="5" applyNumberFormat="1" applyFont="1" applyFill="1" applyBorder="1"/>
    <xf numFmtId="7" fontId="16" fillId="0" borderId="34" xfId="5" applyFont="1" applyFill="1" applyBorder="1"/>
    <xf numFmtId="5" fontId="16" fillId="0" borderId="0" xfId="5" applyNumberFormat="1" applyFont="1" applyFill="1"/>
    <xf numFmtId="7" fontId="16" fillId="0" borderId="10" xfId="5" applyFont="1" applyFill="1" applyBorder="1"/>
    <xf numFmtId="167" fontId="16" fillId="0" borderId="34" xfId="0" applyNumberFormat="1" applyFont="1" applyBorder="1"/>
    <xf numFmtId="167" fontId="16" fillId="0" borderId="10" xfId="0" applyNumberFormat="1" applyFont="1" applyBorder="1"/>
    <xf numFmtId="0" fontId="28" fillId="0" borderId="35" xfId="0" applyFont="1" applyBorder="1"/>
    <xf numFmtId="5" fontId="28" fillId="0" borderId="4" xfId="5" applyNumberFormat="1" applyFont="1" applyFill="1" applyBorder="1"/>
    <xf numFmtId="7" fontId="28" fillId="0" borderId="36" xfId="5" applyFont="1" applyFill="1" applyBorder="1"/>
    <xf numFmtId="7" fontId="28" fillId="0" borderId="37" xfId="5" applyFont="1" applyFill="1" applyBorder="1"/>
    <xf numFmtId="0" fontId="28" fillId="0" borderId="11" xfId="0" applyFont="1" applyBorder="1" applyAlignment="1">
      <alignment horizontal="center"/>
    </xf>
    <xf numFmtId="0" fontId="28" fillId="0" borderId="34" xfId="0" applyFont="1" applyBorder="1" applyAlignment="1">
      <alignment horizontal="center"/>
    </xf>
    <xf numFmtId="3" fontId="28" fillId="0" borderId="0" xfId="0" applyNumberFormat="1" applyFont="1" applyAlignment="1">
      <alignment horizontal="center"/>
    </xf>
    <xf numFmtId="0" fontId="28" fillId="0" borderId="11" xfId="0" applyFont="1" applyBorder="1" applyAlignment="1">
      <alignment horizontal="left"/>
    </xf>
    <xf numFmtId="0" fontId="16" fillId="0" borderId="11" xfId="0" applyFont="1" applyBorder="1" applyAlignment="1">
      <alignment horizontal="left"/>
    </xf>
    <xf numFmtId="173" fontId="16" fillId="0" borderId="0" xfId="5" applyNumberFormat="1" applyFont="1" applyFill="1" applyBorder="1"/>
    <xf numFmtId="173" fontId="16" fillId="0" borderId="34" xfId="5" applyNumberFormat="1" applyFont="1" applyFill="1" applyBorder="1"/>
    <xf numFmtId="173" fontId="16" fillId="0" borderId="0" xfId="5" applyNumberFormat="1" applyFont="1" applyFill="1"/>
    <xf numFmtId="173" fontId="16" fillId="0" borderId="10" xfId="5" applyNumberFormat="1" applyFont="1" applyFill="1" applyBorder="1"/>
    <xf numFmtId="167" fontId="28" fillId="0" borderId="34" xfId="0" applyNumberFormat="1" applyFont="1" applyBorder="1"/>
    <xf numFmtId="167" fontId="28" fillId="0" borderId="10" xfId="0" applyNumberFormat="1" applyFont="1" applyBorder="1"/>
    <xf numFmtId="167" fontId="16" fillId="0" borderId="0" xfId="5" applyNumberFormat="1" applyFont="1" applyFill="1"/>
    <xf numFmtId="167" fontId="16" fillId="0" borderId="10" xfId="5" applyNumberFormat="1" applyFont="1" applyFill="1" applyBorder="1"/>
    <xf numFmtId="4" fontId="16" fillId="0" borderId="0" xfId="5" applyNumberFormat="1" applyFont="1" applyFill="1"/>
    <xf numFmtId="167" fontId="28" fillId="0" borderId="4" xfId="5" applyNumberFormat="1" applyFont="1" applyFill="1" applyBorder="1"/>
    <xf numFmtId="5" fontId="28" fillId="0" borderId="6" xfId="5" applyNumberFormat="1" applyFont="1" applyFill="1" applyBorder="1"/>
    <xf numFmtId="167" fontId="28" fillId="0" borderId="38" xfId="0" applyNumberFormat="1" applyFont="1" applyBorder="1"/>
    <xf numFmtId="167" fontId="28" fillId="0" borderId="13" xfId="0" applyNumberFormat="1" applyFont="1" applyBorder="1"/>
    <xf numFmtId="0" fontId="29" fillId="0" borderId="0" xfId="0" applyFont="1"/>
    <xf numFmtId="0" fontId="30" fillId="0" borderId="0" xfId="0" applyFont="1"/>
    <xf numFmtId="0" fontId="28" fillId="0" borderId="39" xfId="0" applyFont="1" applyBorder="1" applyAlignment="1">
      <alignment vertical="top"/>
    </xf>
    <xf numFmtId="0" fontId="16" fillId="0" borderId="39" xfId="0" applyFont="1" applyBorder="1"/>
    <xf numFmtId="0" fontId="28" fillId="0" borderId="40" xfId="0" applyFont="1" applyBorder="1" applyAlignment="1">
      <alignment horizontal="center" vertical="top" wrapText="1"/>
    </xf>
    <xf numFmtId="0" fontId="31" fillId="0" borderId="0" xfId="0" applyFont="1"/>
    <xf numFmtId="0" fontId="28" fillId="0" borderId="39" xfId="0" applyFont="1" applyBorder="1" applyAlignment="1">
      <alignment vertical="top" wrapText="1"/>
    </xf>
    <xf numFmtId="0" fontId="16" fillId="0" borderId="41" xfId="0" applyFont="1" applyBorder="1"/>
    <xf numFmtId="14" fontId="16" fillId="0" borderId="42" xfId="0" applyNumberFormat="1" applyFont="1" applyBorder="1" applyAlignment="1">
      <alignment horizontal="right"/>
    </xf>
    <xf numFmtId="14" fontId="31" fillId="0" borderId="0" xfId="0" applyNumberFormat="1" applyFont="1"/>
    <xf numFmtId="164" fontId="16" fillId="0" borderId="34" xfId="32" applyNumberFormat="1" applyFont="1" applyBorder="1"/>
    <xf numFmtId="3" fontId="16" fillId="0" borderId="34" xfId="0" applyNumberFormat="1" applyFont="1" applyBorder="1" applyAlignment="1">
      <alignment horizontal="right"/>
    </xf>
    <xf numFmtId="7" fontId="16" fillId="0" borderId="34" xfId="0" applyNumberFormat="1" applyFont="1" applyBorder="1" applyAlignment="1">
      <alignment horizontal="right"/>
    </xf>
    <xf numFmtId="164" fontId="16" fillId="0" borderId="34" xfId="0" applyNumberFormat="1" applyFont="1" applyBorder="1" applyAlignment="1">
      <alignment horizontal="right"/>
    </xf>
    <xf numFmtId="164" fontId="16" fillId="0" borderId="34" xfId="32" applyNumberFormat="1" applyFont="1" applyBorder="1" applyAlignment="1">
      <alignment horizontal="right" vertical="top" wrapText="1"/>
    </xf>
    <xf numFmtId="0" fontId="16" fillId="0" borderId="34" xfId="0" applyFont="1" applyBorder="1" applyAlignment="1">
      <alignment horizontal="right"/>
    </xf>
    <xf numFmtId="5" fontId="16" fillId="0" borderId="34" xfId="0" applyNumberFormat="1" applyFont="1" applyBorder="1" applyAlignment="1">
      <alignment horizontal="right"/>
    </xf>
    <xf numFmtId="0" fontId="16" fillId="0" borderId="41" xfId="0" applyFont="1" applyBorder="1" applyAlignment="1">
      <alignment horizontal="left" indent="1"/>
    </xf>
    <xf numFmtId="164" fontId="16" fillId="0" borderId="34" xfId="32" applyNumberFormat="1" applyFont="1" applyBorder="1" applyAlignment="1">
      <alignment horizontal="right"/>
    </xf>
    <xf numFmtId="14" fontId="16" fillId="0" borderId="34" xfId="0" applyNumberFormat="1" applyFont="1" applyBorder="1" applyAlignment="1">
      <alignment horizontal="right"/>
    </xf>
    <xf numFmtId="5" fontId="16" fillId="0" borderId="43" xfId="5" applyNumberFormat="1" applyFont="1" applyBorder="1"/>
    <xf numFmtId="8" fontId="16" fillId="0" borderId="34" xfId="5" applyNumberFormat="1" applyFont="1" applyBorder="1"/>
    <xf numFmtId="0" fontId="16" fillId="0" borderId="17" xfId="0" applyFont="1" applyBorder="1"/>
    <xf numFmtId="0" fontId="16" fillId="0" borderId="40" xfId="0" applyFont="1" applyBorder="1"/>
    <xf numFmtId="0" fontId="16" fillId="0" borderId="44" xfId="0" applyFont="1" applyBorder="1"/>
    <xf numFmtId="0" fontId="16" fillId="0" borderId="43" xfId="0" applyFont="1" applyBorder="1" applyAlignment="1">
      <alignment horizontal="right"/>
    </xf>
    <xf numFmtId="5" fontId="16" fillId="0" borderId="34" xfId="0" applyNumberFormat="1" applyFont="1" applyBorder="1"/>
    <xf numFmtId="5" fontId="32" fillId="0" borderId="34" xfId="0" applyNumberFormat="1" applyFont="1" applyBorder="1"/>
    <xf numFmtId="0" fontId="28" fillId="0" borderId="41" xfId="0" applyFont="1" applyBorder="1"/>
    <xf numFmtId="5" fontId="28" fillId="0" borderId="42" xfId="32" applyNumberFormat="1" applyFont="1" applyBorder="1"/>
    <xf numFmtId="175" fontId="16" fillId="0" borderId="0" xfId="0" applyNumberFormat="1" applyFont="1" applyAlignment="1">
      <alignment horizontal="center"/>
    </xf>
    <xf numFmtId="164" fontId="16" fillId="0" borderId="34" xfId="0" applyNumberFormat="1" applyFont="1" applyBorder="1"/>
    <xf numFmtId="1" fontId="16" fillId="0" borderId="34" xfId="0" applyNumberFormat="1" applyFont="1" applyBorder="1"/>
    <xf numFmtId="164" fontId="28" fillId="0" borderId="41" xfId="32" applyNumberFormat="1" applyFont="1" applyBorder="1"/>
    <xf numFmtId="5" fontId="28" fillId="0" borderId="34" xfId="0" applyNumberFormat="1" applyFont="1" applyBorder="1"/>
    <xf numFmtId="10" fontId="16" fillId="0" borderId="34" xfId="32" applyNumberFormat="1" applyFont="1" applyBorder="1"/>
    <xf numFmtId="164" fontId="31" fillId="0" borderId="0" xfId="32" applyNumberFormat="1" applyFont="1" applyBorder="1"/>
    <xf numFmtId="0" fontId="16" fillId="0" borderId="44" xfId="0" applyFont="1" applyBorder="1" applyAlignment="1">
      <alignment horizontal="left" indent="1"/>
    </xf>
    <xf numFmtId="164" fontId="16" fillId="0" borderId="43" xfId="32" applyNumberFormat="1" applyFont="1" applyBorder="1" applyAlignment="1">
      <alignment horizontal="right"/>
    </xf>
    <xf numFmtId="7" fontId="31" fillId="0" borderId="0" xfId="0" applyNumberFormat="1" applyFont="1" applyAlignment="1">
      <alignment horizontal="right"/>
    </xf>
    <xf numFmtId="174" fontId="16" fillId="0" borderId="0" xfId="0" applyNumberFormat="1" applyFont="1" applyAlignment="1">
      <alignment horizontal="center"/>
    </xf>
    <xf numFmtId="0" fontId="16" fillId="0" borderId="19" xfId="0" applyFont="1" applyBorder="1"/>
    <xf numFmtId="9" fontId="16" fillId="0" borderId="34" xfId="0" applyNumberFormat="1" applyFont="1" applyBorder="1"/>
    <xf numFmtId="10" fontId="16" fillId="0" borderId="34" xfId="0" applyNumberFormat="1" applyFont="1" applyBorder="1"/>
    <xf numFmtId="178" fontId="17" fillId="0" borderId="0" xfId="0" applyNumberFormat="1" applyFont="1" applyAlignment="1">
      <alignment horizontal="right" vertical="top"/>
    </xf>
    <xf numFmtId="43" fontId="16" fillId="0" borderId="0" xfId="0" applyNumberFormat="1" applyFont="1"/>
    <xf numFmtId="0" fontId="21" fillId="0" borderId="0" xfId="0" applyFont="1"/>
    <xf numFmtId="167" fontId="16" fillId="0" borderId="34" xfId="0" applyNumberFormat="1" applyFont="1" applyBorder="1" applyAlignment="1">
      <alignment horizontal="right"/>
    </xf>
    <xf numFmtId="0" fontId="28" fillId="0" borderId="45" xfId="0" applyFont="1" applyBorder="1" applyAlignment="1">
      <alignment horizontal="center" wrapText="1"/>
    </xf>
    <xf numFmtId="10" fontId="16" fillId="0" borderId="46" xfId="0" applyNumberFormat="1" applyFont="1" applyBorder="1"/>
    <xf numFmtId="3" fontId="16" fillId="0" borderId="47" xfId="0" applyNumberFormat="1" applyFont="1" applyBorder="1"/>
    <xf numFmtId="167" fontId="16" fillId="0" borderId="47" xfId="0" applyNumberFormat="1" applyFont="1" applyBorder="1"/>
    <xf numFmtId="164" fontId="16" fillId="0" borderId="47" xfId="0" applyNumberFormat="1" applyFont="1" applyBorder="1"/>
    <xf numFmtId="9" fontId="16" fillId="0" borderId="47" xfId="5" applyNumberFormat="1" applyFont="1" applyBorder="1"/>
    <xf numFmtId="183" fontId="16" fillId="0" borderId="47" xfId="0" applyNumberFormat="1" applyFont="1" applyBorder="1" applyAlignment="1">
      <alignment horizontal="right"/>
    </xf>
    <xf numFmtId="0" fontId="16" fillId="0" borderId="48" xfId="0" applyFont="1" applyBorder="1" applyAlignment="1">
      <alignment horizontal="right"/>
    </xf>
    <xf numFmtId="0" fontId="28" fillId="0" borderId="45" xfId="0" applyFont="1" applyBorder="1" applyAlignment="1">
      <alignment horizontal="center" vertical="top" wrapText="1"/>
    </xf>
    <xf numFmtId="164" fontId="16" fillId="0" borderId="47" xfId="32" applyNumberFormat="1" applyFont="1" applyBorder="1"/>
    <xf numFmtId="7" fontId="16" fillId="0" borderId="47" xfId="0" applyNumberFormat="1" applyFont="1" applyBorder="1" applyAlignment="1">
      <alignment horizontal="right"/>
    </xf>
    <xf numFmtId="182" fontId="16" fillId="0" borderId="47" xfId="0" applyNumberFormat="1" applyFont="1" applyBorder="1"/>
    <xf numFmtId="0" fontId="16" fillId="0" borderId="47" xfId="0" applyFont="1" applyBorder="1" applyAlignment="1">
      <alignment horizontal="right"/>
    </xf>
    <xf numFmtId="167" fontId="16" fillId="0" borderId="47" xfId="0" applyNumberFormat="1" applyFont="1" applyBorder="1" applyAlignment="1">
      <alignment horizontal="right"/>
    </xf>
    <xf numFmtId="1" fontId="16" fillId="0" borderId="34" xfId="0" applyNumberFormat="1" applyFont="1" applyBorder="1" applyAlignment="1">
      <alignment horizontal="right"/>
    </xf>
    <xf numFmtId="164" fontId="16" fillId="0" borderId="0" xfId="32" applyNumberFormat="1" applyFont="1" applyBorder="1" applyAlignment="1">
      <alignment horizontal="right"/>
    </xf>
    <xf numFmtId="10" fontId="16" fillId="0" borderId="34" xfId="32" applyNumberFormat="1" applyFont="1" applyBorder="1" applyAlignment="1">
      <alignment horizontal="right"/>
    </xf>
    <xf numFmtId="0" fontId="17" fillId="0" borderId="0" xfId="0" applyFont="1" applyAlignment="1">
      <alignment horizontal="left" indent="4"/>
    </xf>
    <xf numFmtId="6" fontId="17" fillId="0" borderId="0" xfId="0" applyNumberFormat="1" applyFont="1" applyAlignment="1">
      <alignment horizontal="left" indent="4"/>
    </xf>
    <xf numFmtId="6" fontId="26" fillId="0" borderId="0" xfId="0" applyNumberFormat="1" applyFont="1" applyAlignment="1">
      <alignment horizontal="left" indent="4"/>
    </xf>
    <xf numFmtId="0" fontId="28" fillId="0" borderId="39" xfId="0" applyFont="1" applyBorder="1"/>
    <xf numFmtId="166" fontId="16" fillId="0" borderId="40" xfId="4" applyNumberFormat="1" applyFont="1" applyBorder="1" applyAlignment="1">
      <alignment horizontal="center"/>
    </xf>
    <xf numFmtId="0" fontId="16" fillId="0" borderId="49" xfId="0" applyFont="1" applyBorder="1"/>
    <xf numFmtId="5" fontId="16" fillId="0" borderId="42" xfId="0" applyNumberFormat="1" applyFont="1" applyBorder="1"/>
    <xf numFmtId="5" fontId="16" fillId="0" borderId="43" xfId="0" applyNumberFormat="1" applyFont="1" applyBorder="1"/>
    <xf numFmtId="0" fontId="28" fillId="0" borderId="0" xfId="0" applyFont="1" applyAlignment="1">
      <alignment vertical="top"/>
    </xf>
    <xf numFmtId="0" fontId="53" fillId="0" borderId="0" xfId="0" applyFont="1"/>
    <xf numFmtId="5" fontId="56" fillId="0" borderId="0" xfId="5" applyNumberFormat="1" applyFont="1" applyFill="1" applyBorder="1" applyAlignment="1">
      <alignment horizontal="right"/>
    </xf>
    <xf numFmtId="0" fontId="57" fillId="0" borderId="5" xfId="0" applyFont="1" applyBorder="1"/>
    <xf numFmtId="0" fontId="57" fillId="0" borderId="5" xfId="0" applyFont="1" applyBorder="1" applyAlignment="1">
      <alignment horizontal="center"/>
    </xf>
    <xf numFmtId="0" fontId="53" fillId="0" borderId="5" xfId="0" applyFont="1" applyBorder="1"/>
    <xf numFmtId="5" fontId="53" fillId="0" borderId="5" xfId="0" applyNumberFormat="1" applyFont="1" applyBorder="1"/>
    <xf numFmtId="0" fontId="53" fillId="0" borderId="52" xfId="0" applyFont="1" applyBorder="1"/>
    <xf numFmtId="0" fontId="53" fillId="0" borderId="2" xfId="0" applyFont="1" applyBorder="1"/>
    <xf numFmtId="5" fontId="53" fillId="0" borderId="0" xfId="0" applyNumberFormat="1" applyFont="1"/>
    <xf numFmtId="0" fontId="53" fillId="0" borderId="53" xfId="0" applyFont="1" applyBorder="1"/>
    <xf numFmtId="0" fontId="53" fillId="0" borderId="55" xfId="0" applyFont="1" applyBorder="1"/>
    <xf numFmtId="0" fontId="53" fillId="0" borderId="4" xfId="0" applyFont="1" applyBorder="1"/>
    <xf numFmtId="5" fontId="53" fillId="0" borderId="4" xfId="0" applyNumberFormat="1" applyFont="1" applyBorder="1"/>
    <xf numFmtId="0" fontId="53" fillId="0" borderId="0" xfId="0" quotePrefix="1" applyFont="1"/>
    <xf numFmtId="0" fontId="57" fillId="0" borderId="0" xfId="0" applyFont="1" applyAlignment="1">
      <alignment horizontal="center"/>
    </xf>
    <xf numFmtId="0" fontId="53" fillId="0" borderId="0" xfId="0" applyFont="1" applyAlignment="1">
      <alignment horizontal="center"/>
    </xf>
    <xf numFmtId="172" fontId="53" fillId="0" borderId="0" xfId="5" applyNumberFormat="1" applyFont="1"/>
    <xf numFmtId="172" fontId="53" fillId="0" borderId="0" xfId="0" applyNumberFormat="1" applyFont="1"/>
    <xf numFmtId="9" fontId="53" fillId="0" borderId="0" xfId="32" applyFont="1" applyAlignment="1">
      <alignment horizontal="center"/>
    </xf>
    <xf numFmtId="0" fontId="53" fillId="0" borderId="19" xfId="0" applyFont="1" applyBorder="1"/>
    <xf numFmtId="172" fontId="53" fillId="0" borderId="19" xfId="5" applyNumberFormat="1" applyFont="1" applyBorder="1"/>
    <xf numFmtId="172" fontId="53" fillId="0" borderId="19" xfId="0" applyNumberFormat="1" applyFont="1" applyBorder="1"/>
    <xf numFmtId="42" fontId="53" fillId="0" borderId="0" xfId="0" applyNumberFormat="1" applyFont="1"/>
    <xf numFmtId="5" fontId="53" fillId="0" borderId="19" xfId="0" applyNumberFormat="1" applyFont="1" applyBorder="1"/>
    <xf numFmtId="42" fontId="53" fillId="0" borderId="19" xfId="0" applyNumberFormat="1" applyFont="1" applyBorder="1"/>
    <xf numFmtId="42" fontId="58" fillId="0" borderId="0" xfId="0" applyNumberFormat="1" applyFont="1"/>
    <xf numFmtId="42" fontId="53" fillId="0" borderId="5" xfId="0" applyNumberFormat="1" applyFont="1" applyBorder="1"/>
    <xf numFmtId="0" fontId="59" fillId="0" borderId="0" xfId="0" applyFont="1"/>
    <xf numFmtId="0" fontId="53" fillId="6" borderId="50" xfId="0" applyFont="1" applyFill="1" applyBorder="1"/>
    <xf numFmtId="0" fontId="53" fillId="6" borderId="51" xfId="0" applyFont="1" applyFill="1" applyBorder="1"/>
    <xf numFmtId="172" fontId="53" fillId="6" borderId="51" xfId="0" applyNumberFormat="1" applyFont="1" applyFill="1" applyBorder="1"/>
    <xf numFmtId="172" fontId="53" fillId="6" borderId="54" xfId="0" applyNumberFormat="1" applyFont="1" applyFill="1" applyBorder="1"/>
    <xf numFmtId="0" fontId="53" fillId="6" borderId="52" xfId="0" applyFont="1" applyFill="1" applyBorder="1"/>
    <xf numFmtId="0" fontId="53" fillId="6" borderId="0" xfId="0" applyFont="1" applyFill="1"/>
    <xf numFmtId="172" fontId="53" fillId="6" borderId="0" xfId="0" applyNumberFormat="1" applyFont="1" applyFill="1"/>
    <xf numFmtId="172" fontId="53" fillId="6" borderId="2" xfId="0" applyNumberFormat="1" applyFont="1" applyFill="1" applyBorder="1"/>
    <xf numFmtId="0" fontId="53" fillId="6" borderId="19" xfId="0" applyFont="1" applyFill="1" applyBorder="1"/>
    <xf numFmtId="172" fontId="53" fillId="6" borderId="19" xfId="0" applyNumberFormat="1" applyFont="1" applyFill="1" applyBorder="1"/>
    <xf numFmtId="172" fontId="53" fillId="6" borderId="59" xfId="0" applyNumberFormat="1" applyFont="1" applyFill="1" applyBorder="1"/>
    <xf numFmtId="0" fontId="59" fillId="6" borderId="52" xfId="0" applyFont="1" applyFill="1" applyBorder="1"/>
    <xf numFmtId="0" fontId="59" fillId="6" borderId="0" xfId="0" applyFont="1" applyFill="1"/>
    <xf numFmtId="0" fontId="59" fillId="6" borderId="0" xfId="0" applyFont="1" applyFill="1" applyAlignment="1">
      <alignment horizontal="center"/>
    </xf>
    <xf numFmtId="172" fontId="59" fillId="6" borderId="0" xfId="0" applyNumberFormat="1" applyFont="1" applyFill="1"/>
    <xf numFmtId="5" fontId="53" fillId="6" borderId="0" xfId="26" applyNumberFormat="1" applyFont="1" applyFill="1"/>
    <xf numFmtId="0" fontId="53" fillId="6" borderId="53" xfId="0" applyFont="1" applyFill="1" applyBorder="1"/>
    <xf numFmtId="0" fontId="53" fillId="6" borderId="5" xfId="0" applyFont="1" applyFill="1" applyBorder="1"/>
    <xf numFmtId="172" fontId="53" fillId="6" borderId="5" xfId="0" applyNumberFormat="1" applyFont="1" applyFill="1" applyBorder="1"/>
    <xf numFmtId="172" fontId="53" fillId="6" borderId="55" xfId="0" applyNumberFormat="1" applyFont="1" applyFill="1" applyBorder="1"/>
    <xf numFmtId="5" fontId="58" fillId="0" borderId="19" xfId="5" applyNumberFormat="1" applyFont="1" applyBorder="1" applyAlignment="1">
      <alignment horizontal="center"/>
    </xf>
    <xf numFmtId="164" fontId="58" fillId="0" borderId="0" xfId="32" applyNumberFormat="1" applyFont="1" applyAlignment="1">
      <alignment horizontal="center"/>
    </xf>
    <xf numFmtId="0" fontId="57" fillId="0" borderId="5" xfId="0" applyFont="1" applyBorder="1" applyAlignment="1">
      <alignment horizontal="center" wrapText="1"/>
    </xf>
    <xf numFmtId="42" fontId="57" fillId="0" borderId="5" xfId="0" quotePrefix="1" applyNumberFormat="1" applyFont="1" applyBorder="1" applyAlignment="1">
      <alignment horizontal="center" wrapText="1"/>
    </xf>
    <xf numFmtId="0" fontId="57" fillId="0" borderId="0" xfId="0" applyFont="1"/>
    <xf numFmtId="0" fontId="58" fillId="0" borderId="0" xfId="0" applyFont="1"/>
    <xf numFmtId="172" fontId="58" fillId="0" borderId="0" xfId="0" applyNumberFormat="1" applyFont="1"/>
    <xf numFmtId="42" fontId="53" fillId="0" borderId="4" xfId="0" applyNumberFormat="1" applyFont="1" applyBorder="1"/>
    <xf numFmtId="164" fontId="53" fillId="0" borderId="0" xfId="32" applyNumberFormat="1" applyFont="1" applyBorder="1" applyAlignment="1">
      <alignment horizontal="center"/>
    </xf>
    <xf numFmtId="42" fontId="53" fillId="0" borderId="2" xfId="0" applyNumberFormat="1" applyFont="1" applyBorder="1"/>
    <xf numFmtId="42" fontId="53" fillId="6" borderId="0" xfId="0" applyNumberFormat="1" applyFont="1" applyFill="1"/>
    <xf numFmtId="42" fontId="53" fillId="6" borderId="19" xfId="0" applyNumberFormat="1" applyFont="1" applyFill="1" applyBorder="1"/>
    <xf numFmtId="164" fontId="53" fillId="6" borderId="0" xfId="32" applyNumberFormat="1" applyFont="1" applyFill="1" applyBorder="1" applyAlignment="1">
      <alignment horizontal="center"/>
    </xf>
    <xf numFmtId="0" fontId="57" fillId="0" borderId="19" xfId="0" applyFont="1" applyBorder="1"/>
    <xf numFmtId="0" fontId="57" fillId="6" borderId="0" xfId="0" applyFont="1" applyFill="1"/>
    <xf numFmtId="42" fontId="53" fillId="0" borderId="55" xfId="0" applyNumberFormat="1" applyFont="1" applyBorder="1"/>
    <xf numFmtId="0" fontId="57" fillId="6" borderId="19" xfId="0" applyFont="1" applyFill="1" applyBorder="1"/>
    <xf numFmtId="0" fontId="53" fillId="0" borderId="5" xfId="0" applyFont="1" applyBorder="1" applyAlignment="1">
      <alignment horizontal="center" wrapText="1"/>
    </xf>
    <xf numFmtId="0" fontId="57" fillId="0" borderId="0" xfId="0" quotePrefix="1" applyFont="1"/>
    <xf numFmtId="42" fontId="57" fillId="0" borderId="55" xfId="0" quotePrefix="1" applyNumberFormat="1" applyFont="1" applyBorder="1" applyAlignment="1">
      <alignment horizontal="center" wrapText="1"/>
    </xf>
    <xf numFmtId="42" fontId="53" fillId="0" borderId="52" xfId="0" applyNumberFormat="1" applyFont="1" applyBorder="1"/>
    <xf numFmtId="42" fontId="53" fillId="0" borderId="53" xfId="0" applyNumberFormat="1" applyFont="1" applyBorder="1"/>
    <xf numFmtId="0" fontId="57" fillId="0" borderId="53" xfId="0" applyFont="1" applyBorder="1" applyAlignment="1">
      <alignment horizontal="center" wrapText="1"/>
    </xf>
    <xf numFmtId="0" fontId="57" fillId="0" borderId="55" xfId="0" quotePrefix="1" applyFont="1" applyBorder="1" applyAlignment="1">
      <alignment horizontal="center" wrapText="1"/>
    </xf>
    <xf numFmtId="164" fontId="58" fillId="0" borderId="52" xfId="32" applyNumberFormat="1" applyFont="1" applyBorder="1" applyAlignment="1">
      <alignment horizontal="center"/>
    </xf>
    <xf numFmtId="164" fontId="58" fillId="0" borderId="2" xfId="32" applyNumberFormat="1" applyFont="1" applyBorder="1" applyAlignment="1">
      <alignment horizontal="center"/>
    </xf>
    <xf numFmtId="164" fontId="53" fillId="0" borderId="2" xfId="32" applyNumberFormat="1" applyFont="1" applyBorder="1" applyAlignment="1">
      <alignment horizontal="center"/>
    </xf>
    <xf numFmtId="164" fontId="58" fillId="0" borderId="53" xfId="32" applyNumberFormat="1" applyFont="1" applyBorder="1" applyAlignment="1">
      <alignment horizontal="center"/>
    </xf>
    <xf numFmtId="164" fontId="53" fillId="0" borderId="2" xfId="0" applyNumberFormat="1" applyFont="1" applyBorder="1" applyAlignment="1">
      <alignment horizontal="center"/>
    </xf>
    <xf numFmtId="0" fontId="57" fillId="0" borderId="55" xfId="0" applyFont="1" applyBorder="1" applyAlignment="1">
      <alignment horizontal="center" wrapText="1"/>
    </xf>
    <xf numFmtId="0" fontId="57" fillId="0" borderId="49" xfId="0" applyFont="1" applyBorder="1"/>
    <xf numFmtId="0" fontId="57" fillId="0" borderId="3" xfId="0" applyFont="1" applyBorder="1"/>
    <xf numFmtId="0" fontId="53" fillId="0" borderId="3" xfId="0" applyFont="1" applyBorder="1"/>
    <xf numFmtId="42" fontId="53" fillId="0" borderId="3" xfId="0" applyNumberFormat="1" applyFont="1" applyBorder="1"/>
    <xf numFmtId="42" fontId="53" fillId="0" borderId="42" xfId="0" applyNumberFormat="1" applyFont="1" applyBorder="1"/>
    <xf numFmtId="0" fontId="57" fillId="0" borderId="41" xfId="0" applyFont="1" applyBorder="1"/>
    <xf numFmtId="42" fontId="53" fillId="0" borderId="34" xfId="0" applyNumberFormat="1" applyFont="1" applyBorder="1"/>
    <xf numFmtId="42" fontId="53" fillId="0" borderId="43" xfId="0" applyNumberFormat="1" applyFont="1" applyBorder="1"/>
    <xf numFmtId="0" fontId="57" fillId="0" borderId="44" xfId="0" applyFont="1" applyBorder="1"/>
    <xf numFmtId="0" fontId="53" fillId="0" borderId="43" xfId="0" applyFont="1" applyBorder="1"/>
    <xf numFmtId="0" fontId="53" fillId="0" borderId="42" xfId="0" applyFont="1" applyBorder="1"/>
    <xf numFmtId="0" fontId="57" fillId="0" borderId="50" xfId="0" applyFont="1" applyBorder="1"/>
    <xf numFmtId="0" fontId="57" fillId="0" borderId="51" xfId="0" applyFont="1" applyBorder="1"/>
    <xf numFmtId="0" fontId="53" fillId="0" borderId="51" xfId="0" applyFont="1" applyBorder="1"/>
    <xf numFmtId="0" fontId="53" fillId="0" borderId="54" xfId="0" applyFont="1" applyBorder="1"/>
    <xf numFmtId="0" fontId="57" fillId="0" borderId="52" xfId="0" applyFont="1" applyBorder="1"/>
    <xf numFmtId="0" fontId="57" fillId="0" borderId="53" xfId="0" applyFont="1" applyBorder="1"/>
    <xf numFmtId="0" fontId="57" fillId="6" borderId="49" xfId="0" applyFont="1" applyFill="1" applyBorder="1"/>
    <xf numFmtId="0" fontId="57" fillId="6" borderId="3" xfId="0" applyFont="1" applyFill="1" applyBorder="1"/>
    <xf numFmtId="0" fontId="53" fillId="6" borderId="3" xfId="0" applyFont="1" applyFill="1" applyBorder="1"/>
    <xf numFmtId="42" fontId="53" fillId="6" borderId="3" xfId="0" applyNumberFormat="1" applyFont="1" applyFill="1" applyBorder="1"/>
    <xf numFmtId="0" fontId="53" fillId="6" borderId="42" xfId="0" applyFont="1" applyFill="1" applyBorder="1"/>
    <xf numFmtId="0" fontId="57" fillId="6" borderId="41" xfId="0" applyFont="1" applyFill="1" applyBorder="1"/>
    <xf numFmtId="0" fontId="53" fillId="6" borderId="34" xfId="0" applyFont="1" applyFill="1" applyBorder="1"/>
    <xf numFmtId="42" fontId="53" fillId="6" borderId="43" xfId="0" applyNumberFormat="1" applyFont="1" applyFill="1" applyBorder="1"/>
    <xf numFmtId="42" fontId="53" fillId="6" borderId="34" xfId="0" applyNumberFormat="1" applyFont="1" applyFill="1" applyBorder="1"/>
    <xf numFmtId="0" fontId="57" fillId="6" borderId="44" xfId="0" applyFont="1" applyFill="1" applyBorder="1"/>
    <xf numFmtId="164" fontId="53" fillId="6" borderId="19" xfId="32" applyNumberFormat="1" applyFont="1" applyFill="1" applyBorder="1" applyAlignment="1">
      <alignment horizontal="center"/>
    </xf>
    <xf numFmtId="0" fontId="53" fillId="6" borderId="43" xfId="0" applyFont="1" applyFill="1" applyBorder="1"/>
    <xf numFmtId="42" fontId="53" fillId="6" borderId="42" xfId="0" applyNumberFormat="1" applyFont="1" applyFill="1" applyBorder="1"/>
    <xf numFmtId="42" fontId="53" fillId="0" borderId="51" xfId="0" applyNumberFormat="1" applyFont="1" applyBorder="1"/>
    <xf numFmtId="172" fontId="53" fillId="0" borderId="0" xfId="5" applyNumberFormat="1" applyFont="1" applyBorder="1"/>
    <xf numFmtId="164" fontId="53" fillId="0" borderId="0" xfId="32" applyNumberFormat="1" applyFont="1" applyAlignment="1">
      <alignment horizontal="center"/>
    </xf>
    <xf numFmtId="164" fontId="60" fillId="0" borderId="0" xfId="32" applyNumberFormat="1" applyFont="1" applyAlignment="1">
      <alignment horizontal="center"/>
    </xf>
    <xf numFmtId="172" fontId="61" fillId="0" borderId="0" xfId="0" applyNumberFormat="1" applyFont="1"/>
    <xf numFmtId="164" fontId="53" fillId="0" borderId="19" xfId="32" applyNumberFormat="1" applyFont="1" applyBorder="1" applyAlignment="1">
      <alignment horizontal="center"/>
    </xf>
    <xf numFmtId="5" fontId="55" fillId="0" borderId="0" xfId="5" applyNumberFormat="1" applyFont="1" applyFill="1" applyBorder="1" applyAlignment="1">
      <alignment horizontal="right"/>
    </xf>
    <xf numFmtId="0" fontId="53" fillId="0" borderId="0" xfId="0" applyFont="1" applyAlignment="1">
      <alignment horizontal="left"/>
    </xf>
    <xf numFmtId="172" fontId="53" fillId="0" borderId="0" xfId="32" applyNumberFormat="1" applyFont="1" applyAlignment="1">
      <alignment horizontal="center"/>
    </xf>
    <xf numFmtId="172" fontId="53" fillId="0" borderId="0" xfId="32" applyNumberFormat="1" applyFont="1" applyBorder="1" applyAlignment="1">
      <alignment horizontal="center"/>
    </xf>
    <xf numFmtId="5" fontId="53" fillId="0" borderId="51" xfId="0" applyNumberFormat="1" applyFont="1" applyBorder="1"/>
    <xf numFmtId="172" fontId="53" fillId="0" borderId="51" xfId="0" applyNumberFormat="1" applyFont="1" applyBorder="1"/>
    <xf numFmtId="0" fontId="53" fillId="6" borderId="19" xfId="0" quotePrefix="1" applyFont="1" applyFill="1" applyBorder="1"/>
    <xf numFmtId="172" fontId="53" fillId="0" borderId="0" xfId="0" applyNumberFormat="1" applyFont="1" applyAlignment="1">
      <alignment horizontal="center"/>
    </xf>
    <xf numFmtId="172" fontId="53" fillId="0" borderId="0" xfId="5" applyNumberFormat="1" applyFont="1" applyFill="1" applyBorder="1"/>
    <xf numFmtId="0" fontId="64" fillId="7" borderId="4" xfId="109" applyFont="1" applyFill="1" applyBorder="1"/>
    <xf numFmtId="0" fontId="64" fillId="0" borderId="5" xfId="109" applyFont="1" applyBorder="1" applyAlignment="1">
      <alignment horizontal="center"/>
    </xf>
    <xf numFmtId="0" fontId="64" fillId="0" borderId="0" xfId="109" applyFont="1" applyAlignment="1">
      <alignment horizontal="center"/>
    </xf>
    <xf numFmtId="172" fontId="64" fillId="0" borderId="5" xfId="109" quotePrefix="1" applyNumberFormat="1" applyFont="1" applyBorder="1" applyAlignment="1">
      <alignment horizontal="center" wrapText="1"/>
    </xf>
    <xf numFmtId="164" fontId="63" fillId="0" borderId="19" xfId="32" applyNumberFormat="1" applyFont="1" applyBorder="1" applyAlignment="1">
      <alignment horizontal="center"/>
    </xf>
    <xf numFmtId="0" fontId="64" fillId="7" borderId="60" xfId="109" applyFont="1" applyFill="1" applyBorder="1"/>
    <xf numFmtId="0" fontId="6" fillId="7" borderId="4" xfId="109" applyFont="1" applyFill="1" applyBorder="1" applyAlignment="1">
      <alignment horizontal="center"/>
    </xf>
    <xf numFmtId="0" fontId="6" fillId="7" borderId="4" xfId="109" applyFont="1" applyFill="1" applyBorder="1"/>
    <xf numFmtId="0" fontId="6" fillId="7" borderId="60" xfId="109" applyFont="1" applyFill="1" applyBorder="1" applyAlignment="1">
      <alignment horizontal="center"/>
    </xf>
    <xf numFmtId="0" fontId="6" fillId="7" borderId="60" xfId="109" applyFont="1" applyFill="1" applyBorder="1"/>
    <xf numFmtId="0" fontId="53" fillId="0" borderId="0" xfId="0" applyFont="1" applyAlignment="1">
      <alignment horizontal="right"/>
    </xf>
    <xf numFmtId="0" fontId="53" fillId="0" borderId="5" xfId="0" applyFont="1" applyBorder="1" applyAlignment="1">
      <alignment horizontal="right"/>
    </xf>
    <xf numFmtId="172" fontId="53" fillId="0" borderId="5" xfId="0" applyNumberFormat="1" applyFont="1" applyBorder="1"/>
    <xf numFmtId="172" fontId="53" fillId="0" borderId="5" xfId="32" applyNumberFormat="1" applyFont="1" applyBorder="1" applyAlignment="1">
      <alignment horizontal="center"/>
    </xf>
    <xf numFmtId="189" fontId="53" fillId="0" borderId="0" xfId="0" applyNumberFormat="1" applyFont="1"/>
    <xf numFmtId="189" fontId="53" fillId="0" borderId="5" xfId="0" applyNumberFormat="1" applyFont="1" applyBorder="1"/>
    <xf numFmtId="164" fontId="61" fillId="0" borderId="0" xfId="32" applyNumberFormat="1" applyFont="1" applyFill="1" applyAlignment="1">
      <alignment horizontal="center"/>
    </xf>
    <xf numFmtId="0" fontId="64" fillId="8" borderId="0" xfId="0" applyFont="1" applyFill="1"/>
    <xf numFmtId="0" fontId="64" fillId="0" borderId="0" xfId="0" applyFont="1"/>
    <xf numFmtId="0" fontId="64" fillId="9" borderId="0" xfId="0" applyFont="1" applyFill="1"/>
    <xf numFmtId="172" fontId="64" fillId="0" borderId="0" xfId="109" quotePrefix="1" applyNumberFormat="1" applyFont="1" applyAlignment="1">
      <alignment horizontal="center" wrapText="1"/>
    </xf>
    <xf numFmtId="0" fontId="5" fillId="0" borderId="0" xfId="109" applyFont="1" applyAlignment="1">
      <alignment horizontal="center"/>
    </xf>
    <xf numFmtId="172" fontId="5" fillId="0" borderId="0" xfId="109" applyNumberFormat="1" applyFont="1"/>
    <xf numFmtId="0" fontId="55" fillId="8" borderId="0" xfId="0" applyFont="1" applyFill="1" applyAlignment="1">
      <alignment horizontal="center"/>
    </xf>
    <xf numFmtId="0" fontId="55" fillId="8" borderId="0" xfId="0" applyFont="1" applyFill="1"/>
    <xf numFmtId="0" fontId="55" fillId="0" borderId="0" xfId="0" applyFont="1"/>
    <xf numFmtId="0" fontId="55" fillId="0" borderId="0" xfId="0" applyFont="1" applyAlignment="1">
      <alignment horizontal="center"/>
    </xf>
    <xf numFmtId="0" fontId="55" fillId="9" borderId="0" xfId="0" applyFont="1" applyFill="1" applyAlignment="1">
      <alignment horizontal="center"/>
    </xf>
    <xf numFmtId="0" fontId="55" fillId="9" borderId="0" xfId="0" applyFont="1" applyFill="1"/>
    <xf numFmtId="0" fontId="55" fillId="0" borderId="0" xfId="0" applyFont="1" applyAlignment="1">
      <alignment horizontal="left"/>
    </xf>
    <xf numFmtId="0" fontId="65" fillId="0" borderId="0" xfId="0" applyFont="1" applyAlignment="1">
      <alignment horizontal="center"/>
    </xf>
    <xf numFmtId="0" fontId="65" fillId="9" borderId="0" xfId="0" applyFont="1" applyFill="1" applyAlignment="1">
      <alignment horizontal="center"/>
    </xf>
    <xf numFmtId="164" fontId="65" fillId="9" borderId="0" xfId="32" applyNumberFormat="1" applyFont="1" applyFill="1" applyAlignment="1">
      <alignment horizontal="center"/>
    </xf>
    <xf numFmtId="172" fontId="55" fillId="9" borderId="0" xfId="0" applyNumberFormat="1" applyFont="1" applyFill="1"/>
    <xf numFmtId="5" fontId="55" fillId="7" borderId="4" xfId="110" applyNumberFormat="1" applyFont="1" applyFill="1" applyBorder="1"/>
    <xf numFmtId="5" fontId="55" fillId="0" borderId="0" xfId="0" applyNumberFormat="1" applyFont="1"/>
    <xf numFmtId="5" fontId="4" fillId="7" borderId="60" xfId="109" applyNumberFormat="1" applyFont="1" applyFill="1" applyBorder="1"/>
    <xf numFmtId="0" fontId="53" fillId="9" borderId="0" xfId="0" applyFont="1" applyFill="1"/>
    <xf numFmtId="0" fontId="58" fillId="9" borderId="0" xfId="0" applyFont="1" applyFill="1" applyAlignment="1">
      <alignment horizontal="center"/>
    </xf>
    <xf numFmtId="0" fontId="53" fillId="9" borderId="0" xfId="0" applyFont="1" applyFill="1" applyAlignment="1">
      <alignment horizontal="center"/>
    </xf>
    <xf numFmtId="0" fontId="53" fillId="8" borderId="0" xfId="0" applyFont="1" applyFill="1"/>
    <xf numFmtId="0" fontId="62" fillId="8" borderId="0" xfId="0" quotePrefix="1" applyFont="1" applyFill="1" applyAlignment="1">
      <alignment horizontal="center" wrapText="1"/>
    </xf>
    <xf numFmtId="9" fontId="53" fillId="8" borderId="0" xfId="32" applyFont="1" applyFill="1" applyAlignment="1">
      <alignment horizontal="center"/>
    </xf>
    <xf numFmtId="0" fontId="57" fillId="9" borderId="0" xfId="0" applyFont="1" applyFill="1"/>
    <xf numFmtId="0" fontId="57" fillId="8" borderId="0" xfId="0" applyFont="1" applyFill="1"/>
    <xf numFmtId="164" fontId="68" fillId="0" borderId="0" xfId="32" applyNumberFormat="1" applyFont="1" applyAlignment="1">
      <alignment horizontal="center"/>
    </xf>
    <xf numFmtId="42" fontId="68" fillId="0" borderId="0" xfId="0" applyNumberFormat="1" applyFont="1"/>
    <xf numFmtId="5" fontId="65" fillId="0" borderId="0" xfId="5" applyNumberFormat="1" applyFont="1"/>
    <xf numFmtId="0" fontId="68" fillId="0" borderId="0" xfId="0" applyFont="1"/>
    <xf numFmtId="5" fontId="65" fillId="0" borderId="0" xfId="5" applyNumberFormat="1" applyFont="1" applyFill="1" applyBorder="1" applyAlignment="1">
      <alignment horizontal="right"/>
    </xf>
    <xf numFmtId="10" fontId="65" fillId="0" borderId="0" xfId="32" applyNumberFormat="1" applyFont="1" applyFill="1" applyBorder="1" applyAlignment="1">
      <alignment horizontal="center"/>
    </xf>
    <xf numFmtId="0" fontId="68" fillId="0" borderId="5" xfId="0" applyFont="1" applyBorder="1"/>
    <xf numFmtId="164" fontId="65" fillId="0" borderId="5" xfId="32" applyNumberFormat="1" applyFont="1" applyFill="1" applyBorder="1" applyAlignment="1">
      <alignment horizontal="center"/>
    </xf>
    <xf numFmtId="5" fontId="53" fillId="0" borderId="52" xfId="0" applyNumberFormat="1" applyFont="1" applyBorder="1"/>
    <xf numFmtId="10" fontId="68" fillId="0" borderId="0" xfId="32" applyNumberFormat="1" applyFont="1" applyFill="1" applyBorder="1" applyAlignment="1">
      <alignment horizontal="center"/>
    </xf>
    <xf numFmtId="5" fontId="68" fillId="0" borderId="52" xfId="0" applyNumberFormat="1" applyFont="1" applyBorder="1"/>
    <xf numFmtId="164" fontId="68" fillId="0" borderId="52" xfId="32" applyNumberFormat="1" applyFont="1" applyBorder="1" applyAlignment="1">
      <alignment horizontal="center"/>
    </xf>
    <xf numFmtId="164" fontId="68" fillId="0" borderId="2" xfId="32" applyNumberFormat="1" applyFont="1" applyBorder="1" applyAlignment="1">
      <alignment horizontal="center"/>
    </xf>
    <xf numFmtId="172" fontId="53" fillId="0" borderId="0" xfId="5" applyNumberFormat="1" applyFont="1" applyFill="1"/>
    <xf numFmtId="42" fontId="69" fillId="0" borderId="0" xfId="0" applyNumberFormat="1" applyFont="1"/>
    <xf numFmtId="0" fontId="69" fillId="0" borderId="0" xfId="0" applyFont="1"/>
    <xf numFmtId="9" fontId="69" fillId="0" borderId="0" xfId="32" applyFont="1" applyAlignment="1">
      <alignment horizontal="center"/>
    </xf>
    <xf numFmtId="172" fontId="69" fillId="0" borderId="0" xfId="0" applyNumberFormat="1" applyFont="1"/>
    <xf numFmtId="172" fontId="70" fillId="0" borderId="0" xfId="5" applyNumberFormat="1" applyFont="1" applyAlignment="1">
      <alignment horizontal="center"/>
    </xf>
    <xf numFmtId="172" fontId="68" fillId="0" borderId="0" xfId="5" applyNumberFormat="1" applyFont="1" applyAlignment="1">
      <alignment horizontal="center"/>
    </xf>
    <xf numFmtId="172" fontId="53" fillId="11" borderId="0" xfId="0" applyNumberFormat="1" applyFont="1" applyFill="1"/>
    <xf numFmtId="5" fontId="53" fillId="6" borderId="0" xfId="0" applyNumberFormat="1" applyFont="1" applyFill="1"/>
    <xf numFmtId="172" fontId="53" fillId="10" borderId="19" xfId="0" applyNumberFormat="1" applyFont="1" applyFill="1" applyBorder="1"/>
    <xf numFmtId="180" fontId="68" fillId="0" borderId="0" xfId="0" applyNumberFormat="1" applyFont="1" applyAlignment="1">
      <alignment horizontal="center"/>
    </xf>
    <xf numFmtId="164" fontId="53" fillId="6" borderId="0" xfId="32" applyNumberFormat="1" applyFont="1" applyFill="1" applyAlignment="1">
      <alignment horizontal="center"/>
    </xf>
    <xf numFmtId="164" fontId="53" fillId="0" borderId="0" xfId="32" applyNumberFormat="1" applyFont="1" applyFill="1" applyAlignment="1">
      <alignment horizontal="center"/>
    </xf>
    <xf numFmtId="5" fontId="53" fillId="6" borderId="19" xfId="0" applyNumberFormat="1" applyFont="1" applyFill="1" applyBorder="1"/>
    <xf numFmtId="5" fontId="53" fillId="6" borderId="0" xfId="0" applyNumberFormat="1" applyFont="1" applyFill="1" applyAlignment="1">
      <alignment horizontal="center"/>
    </xf>
    <xf numFmtId="42" fontId="53" fillId="9" borderId="52" xfId="0" applyNumberFormat="1" applyFont="1" applyFill="1" applyBorder="1"/>
    <xf numFmtId="5" fontId="53" fillId="9" borderId="0" xfId="0" applyNumberFormat="1" applyFont="1" applyFill="1"/>
    <xf numFmtId="42" fontId="53" fillId="9" borderId="2" xfId="0" applyNumberFormat="1" applyFont="1" applyFill="1" applyBorder="1"/>
    <xf numFmtId="42" fontId="53" fillId="9" borderId="0" xfId="0" applyNumberFormat="1" applyFont="1" applyFill="1"/>
    <xf numFmtId="164" fontId="58" fillId="9" borderId="52" xfId="32" applyNumberFormat="1" applyFont="1" applyFill="1" applyBorder="1" applyAlignment="1">
      <alignment horizontal="center"/>
    </xf>
    <xf numFmtId="164" fontId="68" fillId="9" borderId="2" xfId="32" applyNumberFormat="1" applyFont="1" applyFill="1" applyBorder="1" applyAlignment="1">
      <alignment horizontal="center"/>
    </xf>
    <xf numFmtId="5" fontId="53" fillId="9" borderId="52" xfId="0" applyNumberFormat="1" applyFont="1" applyFill="1" applyBorder="1"/>
    <xf numFmtId="164" fontId="53" fillId="9" borderId="0" xfId="32" applyNumberFormat="1" applyFont="1" applyFill="1" applyBorder="1" applyAlignment="1">
      <alignment horizontal="center"/>
    </xf>
    <xf numFmtId="164" fontId="53" fillId="9" borderId="2" xfId="32" applyNumberFormat="1" applyFont="1" applyFill="1" applyBorder="1" applyAlignment="1">
      <alignment horizontal="center"/>
    </xf>
    <xf numFmtId="164" fontId="53" fillId="0" borderId="0" xfId="32" applyNumberFormat="1" applyFont="1" applyFill="1" applyBorder="1" applyAlignment="1">
      <alignment horizontal="center"/>
    </xf>
    <xf numFmtId="164" fontId="53" fillId="0" borderId="2" xfId="32" applyNumberFormat="1" applyFont="1" applyFill="1" applyBorder="1" applyAlignment="1">
      <alignment horizontal="center"/>
    </xf>
    <xf numFmtId="42" fontId="53" fillId="0" borderId="0" xfId="0" quotePrefix="1" applyNumberFormat="1" applyFont="1"/>
    <xf numFmtId="42" fontId="61" fillId="0" borderId="52" xfId="0" quotePrefix="1" applyNumberFormat="1" applyFont="1" applyBorder="1" applyAlignment="1">
      <alignment horizontal="center"/>
    </xf>
    <xf numFmtId="0" fontId="71" fillId="0" borderId="0" xfId="0" applyFont="1"/>
    <xf numFmtId="172" fontId="68" fillId="0" borderId="0" xfId="5" applyNumberFormat="1" applyFont="1"/>
    <xf numFmtId="164" fontId="59" fillId="0" borderId="0" xfId="32" applyNumberFormat="1" applyFont="1" applyFill="1" applyAlignment="1">
      <alignment horizontal="center"/>
    </xf>
    <xf numFmtId="0" fontId="68" fillId="0" borderId="0" xfId="0" applyFont="1" applyAlignment="1">
      <alignment horizontal="center"/>
    </xf>
    <xf numFmtId="0" fontId="57" fillId="0" borderId="3" xfId="0" applyFont="1" applyBorder="1" applyAlignment="1">
      <alignment horizontal="center"/>
    </xf>
    <xf numFmtId="0" fontId="53" fillId="0" borderId="34" xfId="0" applyFont="1" applyBorder="1"/>
    <xf numFmtId="5" fontId="68" fillId="0" borderId="19" xfId="5" applyNumberFormat="1" applyFont="1" applyBorder="1" applyAlignment="1">
      <alignment horizontal="center"/>
    </xf>
    <xf numFmtId="42" fontId="68" fillId="0" borderId="3" xfId="0" applyNumberFormat="1" applyFont="1" applyBorder="1"/>
    <xf numFmtId="42" fontId="68" fillId="6" borderId="0" xfId="0" applyNumberFormat="1" applyFont="1" applyFill="1"/>
    <xf numFmtId="5" fontId="53" fillId="12" borderId="0" xfId="0" applyNumberFormat="1" applyFont="1" applyFill="1"/>
    <xf numFmtId="0" fontId="72" fillId="0" borderId="0" xfId="0" applyFont="1"/>
    <xf numFmtId="0" fontId="73" fillId="0" borderId="0" xfId="0" applyFont="1"/>
    <xf numFmtId="0" fontId="73" fillId="0" borderId="0" xfId="0" applyFont="1" applyAlignment="1">
      <alignment horizontal="left"/>
    </xf>
    <xf numFmtId="0" fontId="73" fillId="0" borderId="0" xfId="0" applyFont="1" applyAlignment="1">
      <alignment horizontal="center"/>
    </xf>
    <xf numFmtId="172" fontId="73" fillId="0" borderId="0" xfId="0" applyNumberFormat="1" applyFont="1"/>
    <xf numFmtId="0" fontId="53" fillId="12" borderId="0" xfId="0" applyFont="1" applyFill="1"/>
    <xf numFmtId="0" fontId="72" fillId="0" borderId="4" xfId="0" applyFont="1" applyBorder="1"/>
    <xf numFmtId="0" fontId="72" fillId="0" borderId="19" xfId="0" applyFont="1" applyBorder="1" applyAlignment="1">
      <alignment horizontal="center"/>
    </xf>
    <xf numFmtId="0" fontId="73" fillId="0" borderId="61" xfId="0" applyFont="1" applyBorder="1" applyAlignment="1">
      <alignment horizontal="left"/>
    </xf>
    <xf numFmtId="0" fontId="73" fillId="0" borderId="62" xfId="0" applyFont="1" applyBorder="1"/>
    <xf numFmtId="0" fontId="73" fillId="0" borderId="63" xfId="0" applyFont="1" applyBorder="1"/>
    <xf numFmtId="0" fontId="73" fillId="0" borderId="64" xfId="0" applyFont="1" applyBorder="1" applyAlignment="1">
      <alignment horizontal="left"/>
    </xf>
    <xf numFmtId="166" fontId="74" fillId="0" borderId="0" xfId="4" applyNumberFormat="1" applyFont="1" applyBorder="1"/>
    <xf numFmtId="0" fontId="73" fillId="0" borderId="65" xfId="0" applyFont="1" applyBorder="1"/>
    <xf numFmtId="0" fontId="73" fillId="0" borderId="66" xfId="0" applyFont="1" applyBorder="1" applyAlignment="1">
      <alignment horizontal="left"/>
    </xf>
    <xf numFmtId="7" fontId="73" fillId="0" borderId="67" xfId="5" applyFont="1" applyBorder="1"/>
    <xf numFmtId="0" fontId="73" fillId="0" borderId="67" xfId="0" applyFont="1" applyBorder="1"/>
    <xf numFmtId="0" fontId="73" fillId="0" borderId="68" xfId="0" applyFont="1" applyBorder="1"/>
    <xf numFmtId="42" fontId="53" fillId="0" borderId="0" xfId="26" applyNumberFormat="1" applyFont="1"/>
    <xf numFmtId="0" fontId="53" fillId="0" borderId="69" xfId="0" applyFont="1" applyBorder="1"/>
    <xf numFmtId="172" fontId="53" fillId="0" borderId="69" xfId="0" applyNumberFormat="1" applyFont="1" applyBorder="1"/>
    <xf numFmtId="172" fontId="53" fillId="0" borderId="70" xfId="0" applyNumberFormat="1" applyFont="1" applyBorder="1"/>
    <xf numFmtId="172" fontId="53" fillId="0" borderId="69" xfId="5" applyNumberFormat="1" applyFont="1" applyBorder="1"/>
    <xf numFmtId="172" fontId="53" fillId="0" borderId="69" xfId="5" applyNumberFormat="1" applyFont="1" applyFill="1" applyBorder="1"/>
    <xf numFmtId="42" fontId="53" fillId="0" borderId="69" xfId="0" applyNumberFormat="1" applyFont="1" applyBorder="1"/>
    <xf numFmtId="42" fontId="53" fillId="0" borderId="70" xfId="0" applyNumberFormat="1" applyFont="1" applyBorder="1"/>
    <xf numFmtId="42" fontId="53" fillId="0" borderId="72" xfId="0" applyNumberFormat="1" applyFont="1" applyBorder="1"/>
    <xf numFmtId="172" fontId="69" fillId="0" borderId="69" xfId="0" applyNumberFormat="1" applyFont="1" applyBorder="1"/>
    <xf numFmtId="42" fontId="69" fillId="0" borderId="69" xfId="0" applyNumberFormat="1" applyFont="1" applyBorder="1"/>
    <xf numFmtId="0" fontId="53" fillId="0" borderId="0" xfId="26" applyFont="1"/>
    <xf numFmtId="0" fontId="53" fillId="0" borderId="7" xfId="26" applyFont="1" applyBorder="1"/>
    <xf numFmtId="0" fontId="53" fillId="0" borderId="8" xfId="26" applyFont="1" applyBorder="1"/>
    <xf numFmtId="0" fontId="53" fillId="0" borderId="9" xfId="26" applyFont="1" applyBorder="1"/>
    <xf numFmtId="0" fontId="53" fillId="0" borderId="11" xfId="26" applyFont="1" applyBorder="1"/>
    <xf numFmtId="0" fontId="53" fillId="0" borderId="10" xfId="26" applyFont="1" applyBorder="1"/>
    <xf numFmtId="0" fontId="71" fillId="0" borderId="0" xfId="26" applyFont="1" applyAlignment="1">
      <alignment horizontal="center"/>
    </xf>
    <xf numFmtId="0" fontId="71" fillId="0" borderId="0" xfId="26" quotePrefix="1" applyFont="1" applyAlignment="1">
      <alignment horizontal="center"/>
    </xf>
    <xf numFmtId="0" fontId="57" fillId="0" borderId="0" xfId="26" applyFont="1"/>
    <xf numFmtId="172" fontId="53" fillId="0" borderId="0" xfId="26" applyNumberFormat="1" applyFont="1" applyAlignment="1">
      <alignment horizontal="center"/>
    </xf>
    <xf numFmtId="42" fontId="53" fillId="0" borderId="0" xfId="26" applyNumberFormat="1" applyFont="1" applyAlignment="1">
      <alignment horizontal="center"/>
    </xf>
    <xf numFmtId="5" fontId="53" fillId="0" borderId="0" xfId="26" applyNumberFormat="1" applyFont="1"/>
    <xf numFmtId="164" fontId="53" fillId="0" borderId="0" xfId="26" applyNumberFormat="1" applyFont="1" applyAlignment="1">
      <alignment horizontal="center"/>
    </xf>
    <xf numFmtId="0" fontId="53" fillId="0" borderId="0" xfId="26" applyFont="1" applyAlignment="1">
      <alignment horizontal="right"/>
    </xf>
    <xf numFmtId="42" fontId="53" fillId="0" borderId="19" xfId="26" applyNumberFormat="1" applyFont="1" applyBorder="1" applyAlignment="1">
      <alignment horizontal="center"/>
    </xf>
    <xf numFmtId="0" fontId="53" fillId="0" borderId="3" xfId="26" applyFont="1" applyBorder="1"/>
    <xf numFmtId="42" fontId="53" fillId="0" borderId="3" xfId="26" applyNumberFormat="1" applyFont="1" applyBorder="1" applyAlignment="1">
      <alignment horizontal="center"/>
    </xf>
    <xf numFmtId="42" fontId="68" fillId="0" borderId="0" xfId="5" applyNumberFormat="1" applyFont="1" applyFill="1" applyBorder="1" applyAlignment="1">
      <alignment horizontal="right"/>
    </xf>
    <xf numFmtId="0" fontId="53" fillId="0" borderId="19" xfId="26" applyFont="1" applyBorder="1"/>
    <xf numFmtId="42" fontId="53" fillId="0" borderId="19" xfId="26" applyNumberFormat="1" applyFont="1" applyBorder="1"/>
    <xf numFmtId="5" fontId="53" fillId="0" borderId="19" xfId="26" applyNumberFormat="1" applyFont="1" applyBorder="1"/>
    <xf numFmtId="0" fontId="57" fillId="9" borderId="19" xfId="26" quotePrefix="1" applyFont="1" applyFill="1" applyBorder="1" applyAlignment="1">
      <alignment horizontal="left"/>
    </xf>
    <xf numFmtId="0" fontId="53" fillId="9" borderId="19" xfId="26" applyFont="1" applyFill="1" applyBorder="1"/>
    <xf numFmtId="42" fontId="53" fillId="5" borderId="17" xfId="26" applyNumberFormat="1" applyFont="1" applyFill="1" applyBorder="1"/>
    <xf numFmtId="42" fontId="57" fillId="5" borderId="17" xfId="26" applyNumberFormat="1" applyFont="1" applyFill="1" applyBorder="1"/>
    <xf numFmtId="0" fontId="11" fillId="0" borderId="10" xfId="0" applyFont="1" applyBorder="1"/>
    <xf numFmtId="0" fontId="75" fillId="0" borderId="10" xfId="26" applyFont="1" applyBorder="1" applyAlignment="1">
      <alignment horizontal="center"/>
    </xf>
    <xf numFmtId="164" fontId="68" fillId="0" borderId="0" xfId="32" applyNumberFormat="1" applyFont="1" applyFill="1" applyBorder="1" applyAlignment="1">
      <alignment horizontal="center"/>
    </xf>
    <xf numFmtId="0" fontId="68" fillId="0" borderId="0" xfId="26" applyFont="1" applyAlignment="1">
      <alignment horizontal="center"/>
    </xf>
    <xf numFmtId="42" fontId="58" fillId="0" borderId="0" xfId="5" applyNumberFormat="1" applyFont="1" applyFill="1" applyBorder="1" applyAlignment="1">
      <alignment horizontal="right"/>
    </xf>
    <xf numFmtId="42" fontId="53" fillId="0" borderId="0" xfId="5" applyNumberFormat="1" applyFont="1" applyFill="1" applyBorder="1" applyAlignment="1">
      <alignment horizontal="right"/>
    </xf>
    <xf numFmtId="0" fontId="53" fillId="0" borderId="10" xfId="26" applyFont="1" applyBorder="1" applyAlignment="1">
      <alignment horizontal="center"/>
    </xf>
    <xf numFmtId="10" fontId="53" fillId="0" borderId="0" xfId="32" applyNumberFormat="1" applyFont="1" applyFill="1" applyBorder="1" applyAlignment="1">
      <alignment horizontal="center"/>
    </xf>
    <xf numFmtId="5" fontId="57" fillId="0" borderId="0" xfId="26" applyNumberFormat="1" applyFont="1"/>
    <xf numFmtId="5" fontId="53" fillId="0" borderId="10" xfId="26" applyNumberFormat="1" applyFont="1" applyBorder="1"/>
    <xf numFmtId="0" fontId="57" fillId="0" borderId="20" xfId="26" applyFont="1" applyBorder="1"/>
    <xf numFmtId="0" fontId="57" fillId="0" borderId="21" xfId="26" applyFont="1" applyBorder="1"/>
    <xf numFmtId="164" fontId="57" fillId="0" borderId="21" xfId="32" applyNumberFormat="1" applyFont="1" applyFill="1" applyBorder="1" applyAlignment="1">
      <alignment horizontal="center"/>
    </xf>
    <xf numFmtId="1" fontId="57" fillId="0" borderId="21" xfId="26" applyNumberFormat="1" applyFont="1" applyBorder="1" applyAlignment="1">
      <alignment horizontal="center"/>
    </xf>
    <xf numFmtId="5" fontId="57" fillId="0" borderId="21" xfId="26" applyNumberFormat="1" applyFont="1" applyBorder="1" applyAlignment="1">
      <alignment horizontal="center"/>
    </xf>
    <xf numFmtId="5" fontId="57" fillId="0" borderId="22" xfId="26" applyNumberFormat="1" applyFont="1" applyBorder="1" applyAlignment="1">
      <alignment horizontal="center"/>
    </xf>
    <xf numFmtId="170" fontId="53" fillId="0" borderId="0" xfId="26" applyNumberFormat="1" applyFont="1" applyAlignment="1">
      <alignment horizontal="center"/>
    </xf>
    <xf numFmtId="5" fontId="53" fillId="0" borderId="0" xfId="26" applyNumberFormat="1" applyFont="1" applyAlignment="1">
      <alignment horizontal="center"/>
    </xf>
    <xf numFmtId="5" fontId="53" fillId="0" borderId="10" xfId="26" applyNumberFormat="1" applyFont="1" applyBorder="1" applyAlignment="1">
      <alignment horizontal="center"/>
    </xf>
    <xf numFmtId="8" fontId="53" fillId="0" borderId="0" xfId="26" applyNumberFormat="1" applyFont="1"/>
    <xf numFmtId="164" fontId="53" fillId="0" borderId="0" xfId="26" applyNumberFormat="1" applyFont="1"/>
    <xf numFmtId="164" fontId="53" fillId="0" borderId="10" xfId="26" applyNumberFormat="1" applyFont="1" applyBorder="1"/>
    <xf numFmtId="0" fontId="53" fillId="5" borderId="17" xfId="26" applyFont="1" applyFill="1" applyBorder="1"/>
    <xf numFmtId="5" fontId="53" fillId="5" borderId="17" xfId="26" applyNumberFormat="1" applyFont="1" applyFill="1" applyBorder="1"/>
    <xf numFmtId="5" fontId="53" fillId="5" borderId="17" xfId="26" applyNumberFormat="1" applyFont="1" applyFill="1" applyBorder="1" applyAlignment="1">
      <alignment horizontal="right"/>
    </xf>
    <xf numFmtId="42" fontId="53" fillId="0" borderId="10" xfId="26" applyNumberFormat="1" applyFont="1" applyBorder="1"/>
    <xf numFmtId="5" fontId="68" fillId="0" borderId="0" xfId="26" applyNumberFormat="1" applyFont="1" applyAlignment="1">
      <alignment horizontal="center"/>
    </xf>
    <xf numFmtId="8" fontId="53" fillId="0" borderId="19" xfId="26" applyNumberFormat="1" applyFont="1" applyBorder="1"/>
    <xf numFmtId="164" fontId="77" fillId="0" borderId="0" xfId="26" applyNumberFormat="1" applyFont="1"/>
    <xf numFmtId="7" fontId="53" fillId="0" borderId="0" xfId="26" applyNumberFormat="1" applyFont="1"/>
    <xf numFmtId="5" fontId="76" fillId="0" borderId="0" xfId="26" applyNumberFormat="1" applyFont="1"/>
    <xf numFmtId="7" fontId="53" fillId="0" borderId="19" xfId="26" applyNumberFormat="1" applyFont="1" applyBorder="1"/>
    <xf numFmtId="165" fontId="53" fillId="0" borderId="19" xfId="26" applyNumberFormat="1" applyFont="1" applyBorder="1"/>
    <xf numFmtId="164" fontId="53" fillId="0" borderId="0" xfId="32" applyNumberFormat="1" applyFont="1" applyFill="1" applyBorder="1"/>
    <xf numFmtId="5" fontId="53" fillId="0" borderId="0" xfId="26" applyNumberFormat="1" applyFont="1" applyAlignment="1">
      <alignment horizontal="right"/>
    </xf>
    <xf numFmtId="164" fontId="68" fillId="0" borderId="19" xfId="32" applyNumberFormat="1" applyFont="1" applyFill="1" applyBorder="1" applyAlignment="1">
      <alignment horizontal="center"/>
    </xf>
    <xf numFmtId="5" fontId="53" fillId="0" borderId="19" xfId="26" applyNumberFormat="1" applyFont="1" applyBorder="1" applyAlignment="1">
      <alignment horizontal="right"/>
    </xf>
    <xf numFmtId="5" fontId="53" fillId="0" borderId="5" xfId="26" applyNumberFormat="1" applyFont="1" applyBorder="1"/>
    <xf numFmtId="5" fontId="53" fillId="0" borderId="5" xfId="26" applyNumberFormat="1" applyFont="1" applyBorder="1" applyAlignment="1">
      <alignment horizontal="right"/>
    </xf>
    <xf numFmtId="42" fontId="53" fillId="0" borderId="5" xfId="26" applyNumberFormat="1" applyFont="1" applyBorder="1"/>
    <xf numFmtId="170" fontId="53" fillId="0" borderId="21" xfId="26" applyNumberFormat="1" applyFont="1" applyBorder="1" applyAlignment="1">
      <alignment horizontal="left"/>
    </xf>
    <xf numFmtId="170" fontId="53" fillId="0" borderId="21" xfId="26" applyNumberFormat="1" applyFont="1" applyBorder="1" applyAlignment="1">
      <alignment horizontal="center"/>
    </xf>
    <xf numFmtId="170" fontId="57" fillId="8" borderId="21" xfId="26" applyNumberFormat="1" applyFont="1" applyFill="1" applyBorder="1" applyAlignment="1">
      <alignment horizontal="center"/>
    </xf>
    <xf numFmtId="5" fontId="53" fillId="0" borderId="21" xfId="26" applyNumberFormat="1" applyFont="1" applyBorder="1" applyAlignment="1">
      <alignment horizontal="center"/>
    </xf>
    <xf numFmtId="164" fontId="57" fillId="8" borderId="0" xfId="32" applyNumberFormat="1" applyFont="1" applyFill="1" applyAlignment="1">
      <alignment horizontal="center"/>
    </xf>
    <xf numFmtId="0" fontId="53" fillId="0" borderId="4" xfId="26" applyFont="1" applyBorder="1"/>
    <xf numFmtId="0" fontId="57" fillId="8" borderId="4" xfId="26" applyFont="1" applyFill="1" applyBorder="1"/>
    <xf numFmtId="42" fontId="53" fillId="0" borderId="4" xfId="26" applyNumberFormat="1" applyFont="1" applyBorder="1"/>
    <xf numFmtId="0" fontId="53" fillId="8" borderId="0" xfId="26" applyFont="1" applyFill="1"/>
    <xf numFmtId="42" fontId="53" fillId="8" borderId="0" xfId="26" applyNumberFormat="1" applyFont="1" applyFill="1"/>
    <xf numFmtId="0" fontId="53" fillId="0" borderId="0" xfId="26" quotePrefix="1" applyFont="1" applyAlignment="1">
      <alignment horizontal="right"/>
    </xf>
    <xf numFmtId="0" fontId="53" fillId="0" borderId="12" xfId="26" applyFont="1" applyBorder="1"/>
    <xf numFmtId="0" fontId="53" fillId="0" borderId="6" xfId="26" applyFont="1" applyBorder="1"/>
    <xf numFmtId="0" fontId="53" fillId="0" borderId="13" xfId="26" applyFont="1" applyBorder="1"/>
    <xf numFmtId="1" fontId="53" fillId="0" borderId="21" xfId="26" applyNumberFormat="1" applyFont="1" applyBorder="1" applyAlignment="1">
      <alignment horizontal="center"/>
    </xf>
    <xf numFmtId="5" fontId="68" fillId="0" borderId="0" xfId="5" applyNumberFormat="1" applyFont="1" applyAlignment="1">
      <alignment horizontal="center"/>
    </xf>
    <xf numFmtId="0" fontId="78" fillId="0" borderId="5" xfId="109" applyFont="1" applyBorder="1" applyAlignment="1">
      <alignment horizontal="center"/>
    </xf>
    <xf numFmtId="0" fontId="78" fillId="0" borderId="5" xfId="109" quotePrefix="1" applyFont="1" applyBorder="1" applyAlignment="1">
      <alignment horizontal="center"/>
    </xf>
    <xf numFmtId="172" fontId="78" fillId="0" borderId="5" xfId="109" quotePrefix="1" applyNumberFormat="1" applyFont="1" applyBorder="1" applyAlignment="1">
      <alignment horizontal="center" wrapText="1"/>
    </xf>
    <xf numFmtId="0" fontId="78" fillId="0" borderId="0" xfId="109" applyFont="1"/>
    <xf numFmtId="0" fontId="79" fillId="0" borderId="0" xfId="109" applyFont="1" applyAlignment="1">
      <alignment horizontal="center"/>
    </xf>
    <xf numFmtId="0" fontId="79" fillId="0" borderId="0" xfId="109" applyFont="1"/>
    <xf numFmtId="167" fontId="74" fillId="0" borderId="0" xfId="109" applyNumberFormat="1" applyFont="1" applyAlignment="1">
      <alignment horizontal="center"/>
    </xf>
    <xf numFmtId="172" fontId="74" fillId="0" borderId="0" xfId="109" applyNumberFormat="1" applyFont="1" applyAlignment="1">
      <alignment horizontal="center"/>
    </xf>
    <xf numFmtId="0" fontId="79" fillId="0" borderId="0" xfId="109" applyFont="1" applyAlignment="1">
      <alignment horizontal="left"/>
    </xf>
    <xf numFmtId="166" fontId="74" fillId="0" borderId="0" xfId="4" applyNumberFormat="1" applyFont="1" applyFill="1" applyAlignment="1">
      <alignment horizontal="center"/>
    </xf>
    <xf numFmtId="172" fontId="74" fillId="0" borderId="0" xfId="110" applyNumberFormat="1" applyFont="1" applyFill="1"/>
    <xf numFmtId="172" fontId="73" fillId="0" borderId="0" xfId="110" applyNumberFormat="1" applyFont="1" applyFill="1"/>
    <xf numFmtId="172" fontId="74" fillId="0" borderId="0" xfId="110" applyNumberFormat="1" applyFont="1" applyFill="1" applyAlignment="1">
      <alignment horizontal="center"/>
    </xf>
    <xf numFmtId="0" fontId="78" fillId="0" borderId="19" xfId="109" applyFont="1" applyBorder="1"/>
    <xf numFmtId="0" fontId="79" fillId="0" borderId="19" xfId="109" applyFont="1" applyBorder="1" applyAlignment="1">
      <alignment horizontal="center"/>
    </xf>
    <xf numFmtId="0" fontId="79" fillId="0" borderId="19" xfId="109" applyFont="1" applyBorder="1" applyAlignment="1">
      <alignment horizontal="left"/>
    </xf>
    <xf numFmtId="0" fontId="79" fillId="0" borderId="19" xfId="109" applyFont="1" applyBorder="1"/>
    <xf numFmtId="166" fontId="74" fillId="0" borderId="19" xfId="4" applyNumberFormat="1" applyFont="1" applyFill="1" applyBorder="1" applyAlignment="1">
      <alignment horizontal="center"/>
    </xf>
    <xf numFmtId="172" fontId="74" fillId="0" borderId="19" xfId="110" applyNumberFormat="1" applyFont="1" applyFill="1" applyBorder="1"/>
    <xf numFmtId="172" fontId="73" fillId="0" borderId="19" xfId="110" applyNumberFormat="1" applyFont="1" applyFill="1" applyBorder="1"/>
    <xf numFmtId="172" fontId="74" fillId="0" borderId="19" xfId="110" applyNumberFormat="1" applyFont="1" applyFill="1" applyBorder="1" applyAlignment="1">
      <alignment horizontal="center"/>
    </xf>
    <xf numFmtId="172" fontId="53" fillId="0" borderId="0" xfId="26" applyNumberFormat="1" applyFont="1"/>
    <xf numFmtId="172" fontId="74" fillId="0" borderId="0" xfId="5" applyNumberFormat="1" applyFont="1"/>
    <xf numFmtId="0" fontId="73" fillId="0" borderId="19" xfId="0" applyFont="1" applyBorder="1" applyAlignment="1">
      <alignment horizontal="left"/>
    </xf>
    <xf numFmtId="0" fontId="73" fillId="0" borderId="19" xfId="0" applyFont="1" applyBorder="1"/>
    <xf numFmtId="172" fontId="73" fillId="0" borderId="19" xfId="0" applyNumberFormat="1" applyFont="1" applyBorder="1"/>
    <xf numFmtId="172" fontId="74" fillId="0" borderId="0" xfId="0" applyNumberFormat="1" applyFont="1"/>
    <xf numFmtId="172" fontId="72" fillId="0" borderId="0" xfId="0" applyNumberFormat="1" applyFont="1"/>
    <xf numFmtId="44" fontId="53" fillId="0" borderId="0" xfId="0" applyNumberFormat="1" applyFont="1"/>
    <xf numFmtId="44" fontId="68" fillId="0" borderId="0" xfId="0" applyNumberFormat="1" applyFont="1"/>
    <xf numFmtId="172" fontId="68" fillId="0" borderId="19" xfId="0" applyNumberFormat="1" applyFont="1" applyBorder="1"/>
    <xf numFmtId="172" fontId="74" fillId="0" borderId="19" xfId="5" applyNumberFormat="1" applyFont="1" applyBorder="1"/>
    <xf numFmtId="0" fontId="57" fillId="12" borderId="0" xfId="0" applyFont="1" applyFill="1"/>
    <xf numFmtId="0" fontId="68" fillId="12" borderId="0" xfId="0" applyFont="1" applyFill="1" applyAlignment="1">
      <alignment horizontal="center"/>
    </xf>
    <xf numFmtId="172" fontId="68" fillId="0" borderId="19" xfId="5" applyNumberFormat="1" applyFont="1" applyBorder="1"/>
    <xf numFmtId="42" fontId="53" fillId="0" borderId="73" xfId="0" applyNumberFormat="1" applyFont="1" applyBorder="1"/>
    <xf numFmtId="5" fontId="68" fillId="0" borderId="0" xfId="5" applyNumberFormat="1" applyFont="1"/>
    <xf numFmtId="5" fontId="68" fillId="0" borderId="19" xfId="5" applyNumberFormat="1" applyFont="1" applyBorder="1"/>
    <xf numFmtId="172" fontId="53" fillId="12" borderId="0" xfId="0" applyNumberFormat="1" applyFont="1" applyFill="1"/>
    <xf numFmtId="164" fontId="59" fillId="12" borderId="0" xfId="32" applyNumberFormat="1" applyFont="1" applyFill="1" applyAlignment="1">
      <alignment horizontal="center"/>
    </xf>
    <xf numFmtId="172" fontId="61" fillId="12" borderId="0" xfId="0" applyNumberFormat="1" applyFont="1" applyFill="1"/>
    <xf numFmtId="9" fontId="53" fillId="12" borderId="0" xfId="32" applyFont="1" applyFill="1" applyAlignment="1">
      <alignment horizontal="center"/>
    </xf>
    <xf numFmtId="0" fontId="53" fillId="12" borderId="19" xfId="0" applyFont="1" applyFill="1" applyBorder="1"/>
    <xf numFmtId="172" fontId="53" fillId="12" borderId="19" xfId="0" applyNumberFormat="1" applyFont="1" applyFill="1" applyBorder="1"/>
    <xf numFmtId="9" fontId="53" fillId="12" borderId="19" xfId="32" applyFont="1" applyFill="1" applyBorder="1" applyAlignment="1">
      <alignment horizontal="center"/>
    </xf>
    <xf numFmtId="42" fontId="68" fillId="0" borderId="19" xfId="5" applyNumberFormat="1" applyFont="1" applyFill="1" applyBorder="1" applyAlignment="1">
      <alignment horizontal="right"/>
    </xf>
    <xf numFmtId="172" fontId="68" fillId="0" borderId="19" xfId="5" applyNumberFormat="1" applyFont="1" applyBorder="1" applyAlignment="1">
      <alignment horizontal="center"/>
    </xf>
    <xf numFmtId="172" fontId="53" fillId="0" borderId="0" xfId="5" quotePrefix="1" applyNumberFormat="1" applyFont="1" applyAlignment="1">
      <alignment horizontal="center"/>
    </xf>
    <xf numFmtId="172" fontId="53" fillId="0" borderId="19" xfId="5" quotePrefix="1" applyNumberFormat="1" applyFont="1" applyBorder="1" applyAlignment="1">
      <alignment horizontal="center"/>
    </xf>
    <xf numFmtId="5" fontId="62" fillId="0" borderId="0" xfId="26" applyNumberFormat="1" applyFont="1" applyAlignment="1">
      <alignment horizontal="center"/>
    </xf>
    <xf numFmtId="0" fontId="78" fillId="0" borderId="0" xfId="0" applyFont="1"/>
    <xf numFmtId="0" fontId="79" fillId="0" borderId="0" xfId="0" applyFont="1"/>
    <xf numFmtId="172" fontId="78" fillId="0" borderId="0" xfId="0" applyNumberFormat="1" applyFont="1"/>
    <xf numFmtId="5" fontId="53" fillId="0" borderId="0" xfId="0" applyNumberFormat="1" applyFont="1" applyAlignment="1">
      <alignment horizontal="center"/>
    </xf>
    <xf numFmtId="172" fontId="53" fillId="0" borderId="19" xfId="26" applyNumberFormat="1" applyFont="1" applyBorder="1"/>
    <xf numFmtId="0" fontId="72" fillId="6" borderId="4" xfId="0" applyFont="1" applyFill="1" applyBorder="1"/>
    <xf numFmtId="172" fontId="72" fillId="6" borderId="4" xfId="0" applyNumberFormat="1" applyFont="1" applyFill="1" applyBorder="1"/>
    <xf numFmtId="9" fontId="53" fillId="0" borderId="5" xfId="32" applyFont="1" applyBorder="1" applyAlignment="1">
      <alignment horizontal="center"/>
    </xf>
    <xf numFmtId="0" fontId="57" fillId="0" borderId="41" xfId="26" applyFont="1" applyBorder="1"/>
    <xf numFmtId="0" fontId="53" fillId="0" borderId="34" xfId="26" applyFont="1" applyBorder="1"/>
    <xf numFmtId="0" fontId="53" fillId="0" borderId="34" xfId="26" applyFont="1" applyBorder="1" applyAlignment="1">
      <alignment horizontal="center"/>
    </xf>
    <xf numFmtId="0" fontId="57" fillId="0" borderId="44" xfId="26" applyFont="1" applyBorder="1"/>
    <xf numFmtId="0" fontId="71" fillId="0" borderId="41" xfId="26" applyFont="1" applyBorder="1" applyAlignment="1">
      <alignment horizontal="center"/>
    </xf>
    <xf numFmtId="0" fontId="71" fillId="0" borderId="34" xfId="26" applyFont="1" applyBorder="1" applyAlignment="1">
      <alignment horizontal="center"/>
    </xf>
    <xf numFmtId="10" fontId="53" fillId="0" borderId="0" xfId="32" applyNumberFormat="1" applyFont="1" applyAlignment="1">
      <alignment horizontal="center"/>
    </xf>
    <xf numFmtId="164" fontId="53" fillId="0" borderId="43" xfId="32" applyNumberFormat="1" applyFont="1" applyBorder="1" applyAlignment="1">
      <alignment horizontal="center"/>
    </xf>
    <xf numFmtId="0" fontId="57" fillId="6" borderId="74" xfId="0" applyFont="1" applyFill="1" applyBorder="1"/>
    <xf numFmtId="0" fontId="57" fillId="6" borderId="5" xfId="0" applyFont="1" applyFill="1" applyBorder="1"/>
    <xf numFmtId="5" fontId="53" fillId="6" borderId="34" xfId="0" applyNumberFormat="1" applyFont="1" applyFill="1" applyBorder="1"/>
    <xf numFmtId="0" fontId="73" fillId="0" borderId="0" xfId="0" quotePrefix="1" applyFont="1"/>
    <xf numFmtId="0" fontId="80" fillId="0" borderId="0" xfId="0" applyFont="1" applyAlignment="1">
      <alignment horizontal="center"/>
    </xf>
    <xf numFmtId="1" fontId="73" fillId="0" borderId="0" xfId="0" applyNumberFormat="1" applyFont="1" applyAlignment="1">
      <alignment horizontal="center"/>
    </xf>
    <xf numFmtId="7" fontId="73" fillId="0" borderId="0" xfId="0" applyNumberFormat="1" applyFont="1"/>
    <xf numFmtId="1" fontId="53" fillId="0" borderId="19" xfId="0" applyNumberFormat="1" applyFont="1" applyBorder="1" applyAlignment="1">
      <alignment horizontal="center"/>
    </xf>
    <xf numFmtId="172" fontId="55" fillId="0" borderId="0" xfId="0" applyNumberFormat="1" applyFont="1"/>
    <xf numFmtId="5" fontId="5" fillId="0" borderId="0" xfId="109" applyNumberFormat="1" applyFont="1"/>
    <xf numFmtId="5" fontId="64" fillId="0" borderId="5" xfId="109" quotePrefix="1" applyNumberFormat="1" applyFont="1" applyBorder="1" applyAlignment="1">
      <alignment horizontal="center"/>
    </xf>
    <xf numFmtId="5" fontId="64" fillId="0" borderId="0" xfId="109" quotePrefix="1" applyNumberFormat="1" applyFont="1" applyAlignment="1">
      <alignment horizontal="center"/>
    </xf>
    <xf numFmtId="5" fontId="55" fillId="9" borderId="0" xfId="0" applyNumberFormat="1" applyFont="1" applyFill="1"/>
    <xf numFmtId="5" fontId="65" fillId="9" borderId="0" xfId="5" applyNumberFormat="1" applyFont="1" applyFill="1"/>
    <xf numFmtId="5" fontId="6" fillId="7" borderId="4" xfId="109" applyNumberFormat="1" applyFont="1" applyFill="1" applyBorder="1" applyAlignment="1">
      <alignment horizontal="center"/>
    </xf>
    <xf numFmtId="5" fontId="6" fillId="7" borderId="60" xfId="109" applyNumberFormat="1" applyFont="1" applyFill="1" applyBorder="1" applyAlignment="1">
      <alignment horizontal="center"/>
    </xf>
    <xf numFmtId="164" fontId="74" fillId="0" borderId="0" xfId="32" applyNumberFormat="1" applyFont="1" applyAlignment="1">
      <alignment horizontal="center"/>
    </xf>
    <xf numFmtId="0" fontId="72" fillId="6" borderId="0" xfId="0" applyFont="1" applyFill="1"/>
    <xf numFmtId="172" fontId="73" fillId="0" borderId="0" xfId="5" applyNumberFormat="1" applyFont="1"/>
    <xf numFmtId="172" fontId="73" fillId="0" borderId="4" xfId="5" applyNumberFormat="1" applyFont="1" applyBorder="1"/>
    <xf numFmtId="172" fontId="72" fillId="0" borderId="0" xfId="5" applyNumberFormat="1" applyFont="1" applyFill="1"/>
    <xf numFmtId="172" fontId="72" fillId="0" borderId="4" xfId="5" applyNumberFormat="1" applyFont="1" applyFill="1" applyBorder="1"/>
    <xf numFmtId="172" fontId="72" fillId="6" borderId="0" xfId="0" applyNumberFormat="1" applyFont="1" applyFill="1"/>
    <xf numFmtId="0" fontId="73" fillId="0" borderId="0" xfId="0" applyFont="1" applyAlignment="1">
      <alignment horizontal="right"/>
    </xf>
    <xf numFmtId="0" fontId="71" fillId="0" borderId="76" xfId="26" applyFont="1" applyBorder="1" applyAlignment="1">
      <alignment horizontal="center"/>
    </xf>
    <xf numFmtId="0" fontId="75" fillId="0" borderId="0" xfId="26" applyFont="1" applyAlignment="1">
      <alignment horizontal="center" vertical="center"/>
    </xf>
    <xf numFmtId="0" fontId="53" fillId="0" borderId="21" xfId="26" applyFont="1" applyBorder="1"/>
    <xf numFmtId="164" fontId="53" fillId="0" borderId="19" xfId="26" applyNumberFormat="1" applyFont="1" applyBorder="1" applyAlignment="1">
      <alignment horizontal="center"/>
    </xf>
    <xf numFmtId="0" fontId="53" fillId="0" borderId="5" xfId="26" applyFont="1" applyBorder="1"/>
    <xf numFmtId="0" fontId="53" fillId="14" borderId="17" xfId="0" applyFont="1" applyFill="1" applyBorder="1"/>
    <xf numFmtId="172" fontId="53" fillId="14" borderId="17" xfId="0" applyNumberFormat="1" applyFont="1" applyFill="1" applyBorder="1"/>
    <xf numFmtId="172" fontId="53" fillId="14" borderId="77" xfId="0" applyNumberFormat="1" applyFont="1" applyFill="1" applyBorder="1"/>
    <xf numFmtId="0" fontId="81" fillId="0" borderId="0" xfId="0" applyFont="1"/>
    <xf numFmtId="0" fontId="81" fillId="0" borderId="0" xfId="0" applyFont="1" applyAlignment="1">
      <alignment horizontal="center"/>
    </xf>
    <xf numFmtId="172" fontId="81" fillId="0" borderId="0" xfId="5" applyNumberFormat="1" applyFont="1"/>
    <xf numFmtId="172" fontId="81" fillId="0" borderId="0" xfId="0" applyNumberFormat="1" applyFont="1"/>
    <xf numFmtId="164" fontId="81" fillId="0" borderId="0" xfId="32" applyNumberFormat="1" applyFont="1" applyAlignment="1">
      <alignment horizontal="center"/>
    </xf>
    <xf numFmtId="0" fontId="81" fillId="0" borderId="0" xfId="0" applyFont="1" applyAlignment="1">
      <alignment horizontal="right"/>
    </xf>
    <xf numFmtId="2" fontId="81" fillId="0" borderId="0" xfId="0" applyNumberFormat="1" applyFont="1" applyAlignment="1">
      <alignment horizontal="center"/>
    </xf>
    <xf numFmtId="172" fontId="82" fillId="0" borderId="0" xfId="0" applyNumberFormat="1" applyFont="1"/>
    <xf numFmtId="5" fontId="53" fillId="14" borderId="17" xfId="0" applyNumberFormat="1" applyFont="1" applyFill="1" applyBorder="1"/>
    <xf numFmtId="172" fontId="81" fillId="8" borderId="0" xfId="0" applyNumberFormat="1" applyFont="1" applyFill="1"/>
    <xf numFmtId="5" fontId="53" fillId="0" borderId="19" xfId="0" applyNumberFormat="1" applyFont="1" applyBorder="1" applyAlignment="1">
      <alignment horizontal="center"/>
    </xf>
    <xf numFmtId="0" fontId="53" fillId="0" borderId="43" xfId="26" applyFont="1" applyBorder="1"/>
    <xf numFmtId="2" fontId="68" fillId="0" borderId="0" xfId="26" applyNumberFormat="1" applyFont="1" applyAlignment="1">
      <alignment horizontal="center"/>
    </xf>
    <xf numFmtId="5" fontId="57" fillId="0" borderId="41" xfId="26" applyNumberFormat="1" applyFont="1" applyBorder="1"/>
    <xf numFmtId="0" fontId="53" fillId="0" borderId="41" xfId="26" applyFont="1" applyBorder="1"/>
    <xf numFmtId="0" fontId="61" fillId="0" borderId="41" xfId="26" quotePrefix="1" applyFont="1" applyBorder="1"/>
    <xf numFmtId="0" fontId="71" fillId="0" borderId="78" xfId="26" applyFont="1" applyBorder="1" applyAlignment="1">
      <alignment horizontal="center"/>
    </xf>
    <xf numFmtId="0" fontId="68" fillId="0" borderId="34" xfId="26" applyFont="1" applyBorder="1" applyAlignment="1">
      <alignment horizontal="center"/>
    </xf>
    <xf numFmtId="42" fontId="53" fillId="0" borderId="34" xfId="26" applyNumberFormat="1" applyFont="1" applyBorder="1"/>
    <xf numFmtId="0" fontId="53" fillId="0" borderId="34" xfId="26" quotePrefix="1" applyFont="1" applyBorder="1" applyAlignment="1">
      <alignment horizontal="center"/>
    </xf>
    <xf numFmtId="0" fontId="57" fillId="0" borderId="49" xfId="26" applyFont="1" applyBorder="1"/>
    <xf numFmtId="0" fontId="57" fillId="0" borderId="39" xfId="26" applyFont="1" applyBorder="1"/>
    <xf numFmtId="0" fontId="53" fillId="0" borderId="17" xfId="26" applyFont="1" applyBorder="1"/>
    <xf numFmtId="42" fontId="53" fillId="0" borderId="17" xfId="26" applyNumberFormat="1" applyFont="1" applyBorder="1" applyAlignment="1">
      <alignment horizontal="center"/>
    </xf>
    <xf numFmtId="0" fontId="71" fillId="0" borderId="78" xfId="26" quotePrefix="1" applyFont="1" applyBorder="1" applyAlignment="1">
      <alignment horizontal="center"/>
    </xf>
    <xf numFmtId="188" fontId="53" fillId="0" borderId="34" xfId="26" applyNumberFormat="1" applyFont="1" applyBorder="1" applyAlignment="1">
      <alignment horizontal="center"/>
    </xf>
    <xf numFmtId="188" fontId="53" fillId="0" borderId="43" xfId="26" applyNumberFormat="1" applyFont="1" applyBorder="1" applyAlignment="1">
      <alignment horizontal="center"/>
    </xf>
    <xf numFmtId="188" fontId="53" fillId="0" borderId="40" xfId="26" applyNumberFormat="1" applyFont="1" applyBorder="1" applyAlignment="1">
      <alignment horizontal="center"/>
    </xf>
    <xf numFmtId="0" fontId="71" fillId="0" borderId="51" xfId="26" applyFont="1" applyBorder="1" applyAlignment="1">
      <alignment horizontal="center"/>
    </xf>
    <xf numFmtId="2" fontId="53" fillId="0" borderId="0" xfId="26" applyNumberFormat="1" applyFont="1" applyAlignment="1">
      <alignment horizontal="center"/>
    </xf>
    <xf numFmtId="3" fontId="53" fillId="0" borderId="0" xfId="26" applyNumberFormat="1" applyFont="1" applyAlignment="1">
      <alignment horizontal="center"/>
    </xf>
    <xf numFmtId="1" fontId="53" fillId="0" borderId="0" xfId="26" applyNumberFormat="1" applyFont="1" applyAlignment="1">
      <alignment horizontal="center"/>
    </xf>
    <xf numFmtId="0" fontId="71" fillId="9" borderId="41" xfId="26" applyFont="1" applyFill="1" applyBorder="1" applyAlignment="1">
      <alignment horizontal="center"/>
    </xf>
    <xf numFmtId="42" fontId="53" fillId="9" borderId="41" xfId="26" applyNumberFormat="1" applyFont="1" applyFill="1" applyBorder="1"/>
    <xf numFmtId="0" fontId="53" fillId="9" borderId="41" xfId="26" applyFont="1" applyFill="1" applyBorder="1"/>
    <xf numFmtId="5" fontId="53" fillId="9" borderId="41" xfId="26" applyNumberFormat="1" applyFont="1" applyFill="1" applyBorder="1"/>
    <xf numFmtId="0" fontId="57" fillId="9" borderId="0" xfId="26" quotePrefix="1" applyFont="1" applyFill="1" applyAlignment="1">
      <alignment horizontal="left"/>
    </xf>
    <xf numFmtId="0" fontId="53" fillId="9" borderId="0" xfId="26" applyFont="1" applyFill="1"/>
    <xf numFmtId="5" fontId="53" fillId="9" borderId="44" xfId="26" applyNumberFormat="1" applyFont="1" applyFill="1" applyBorder="1"/>
    <xf numFmtId="42" fontId="53" fillId="5" borderId="39" xfId="26" applyNumberFormat="1" applyFont="1" applyFill="1" applyBorder="1"/>
    <xf numFmtId="3" fontId="53" fillId="0" borderId="34" xfId="26" applyNumberFormat="1" applyFont="1" applyBorder="1" applyAlignment="1">
      <alignment horizontal="center"/>
    </xf>
    <xf numFmtId="42" fontId="53" fillId="5" borderId="40" xfId="26" applyNumberFormat="1" applyFont="1" applyFill="1" applyBorder="1"/>
    <xf numFmtId="164" fontId="53" fillId="0" borderId="34" xfId="32" applyNumberFormat="1" applyFont="1" applyFill="1" applyBorder="1" applyAlignment="1">
      <alignment horizontal="center"/>
    </xf>
    <xf numFmtId="0" fontId="53" fillId="0" borderId="34" xfId="26" applyFont="1" applyBorder="1" applyAlignment="1">
      <alignment horizontal="right"/>
    </xf>
    <xf numFmtId="164" fontId="68" fillId="0" borderId="34" xfId="32" applyNumberFormat="1" applyFont="1" applyBorder="1" applyAlignment="1">
      <alignment horizontal="center"/>
    </xf>
    <xf numFmtId="0" fontId="53" fillId="0" borderId="44" xfId="26" applyFont="1" applyBorder="1"/>
    <xf numFmtId="0" fontId="75" fillId="0" borderId="34" xfId="26" applyFont="1" applyBorder="1" applyAlignment="1">
      <alignment horizontal="center"/>
    </xf>
    <xf numFmtId="164" fontId="53" fillId="0" borderId="34" xfId="32" applyNumberFormat="1" applyFont="1" applyBorder="1" applyAlignment="1">
      <alignment horizontal="center"/>
    </xf>
    <xf numFmtId="0" fontId="53" fillId="0" borderId="20" xfId="26" applyFont="1" applyBorder="1"/>
    <xf numFmtId="0" fontId="53" fillId="0" borderId="22" xfId="26" applyFont="1" applyBorder="1"/>
    <xf numFmtId="5" fontId="53" fillId="0" borderId="21" xfId="26" applyNumberFormat="1" applyFont="1" applyBorder="1"/>
    <xf numFmtId="5" fontId="53" fillId="0" borderId="21" xfId="26" applyNumberFormat="1" applyFont="1" applyBorder="1" applyAlignment="1">
      <alignment horizontal="right"/>
    </xf>
    <xf numFmtId="42" fontId="53" fillId="0" borderId="21" xfId="26" applyNumberFormat="1" applyFont="1" applyBorder="1"/>
    <xf numFmtId="42" fontId="53" fillId="0" borderId="22" xfId="26" applyNumberFormat="1" applyFont="1" applyBorder="1"/>
    <xf numFmtId="5" fontId="75" fillId="0" borderId="0" xfId="26" applyNumberFormat="1" applyFont="1" applyAlignment="1">
      <alignment horizontal="center"/>
    </xf>
    <xf numFmtId="42" fontId="75" fillId="0" borderId="0" xfId="26" applyNumberFormat="1" applyFont="1" applyAlignment="1">
      <alignment horizontal="center"/>
    </xf>
    <xf numFmtId="42" fontId="70" fillId="0" borderId="0" xfId="26" applyNumberFormat="1" applyFont="1" applyAlignment="1">
      <alignment horizontal="center"/>
    </xf>
    <xf numFmtId="42" fontId="53" fillId="0" borderId="9" xfId="26" applyNumberFormat="1" applyFont="1" applyBorder="1"/>
    <xf numFmtId="5" fontId="53" fillId="0" borderId="6" xfId="26" applyNumberFormat="1" applyFont="1" applyBorder="1"/>
    <xf numFmtId="5" fontId="53" fillId="0" borderId="6" xfId="26" applyNumberFormat="1" applyFont="1" applyBorder="1" applyAlignment="1">
      <alignment horizontal="right"/>
    </xf>
    <xf numFmtId="42" fontId="53" fillId="0" borderId="6" xfId="26" applyNumberFormat="1" applyFont="1" applyBorder="1"/>
    <xf numFmtId="42" fontId="53" fillId="0" borderId="13" xfId="26" applyNumberFormat="1" applyFont="1" applyBorder="1"/>
    <xf numFmtId="5" fontId="53" fillId="0" borderId="8" xfId="26" applyNumberFormat="1" applyFont="1" applyBorder="1"/>
    <xf numFmtId="5" fontId="53" fillId="0" borderId="8" xfId="26" applyNumberFormat="1" applyFont="1" applyBorder="1" applyAlignment="1">
      <alignment horizontal="right"/>
    </xf>
    <xf numFmtId="42" fontId="53" fillId="0" borderId="8" xfId="26" applyNumberFormat="1" applyFont="1" applyBorder="1"/>
    <xf numFmtId="1" fontId="68" fillId="0" borderId="0" xfId="26" applyNumberFormat="1" applyFont="1" applyAlignment="1">
      <alignment horizontal="center"/>
    </xf>
    <xf numFmtId="0" fontId="73" fillId="0" borderId="5" xfId="0" applyFont="1" applyBorder="1"/>
    <xf numFmtId="5" fontId="68" fillId="0" borderId="19" xfId="26" applyNumberFormat="1" applyFont="1" applyBorder="1" applyAlignment="1">
      <alignment horizontal="center"/>
    </xf>
    <xf numFmtId="1" fontId="68" fillId="0" borderId="19" xfId="26" applyNumberFormat="1" applyFont="1" applyBorder="1" applyAlignment="1">
      <alignment horizontal="center"/>
    </xf>
    <xf numFmtId="9" fontId="53" fillId="0" borderId="0" xfId="26" applyNumberFormat="1" applyFont="1" applyAlignment="1">
      <alignment horizontal="center"/>
    </xf>
    <xf numFmtId="5" fontId="75" fillId="0" borderId="0" xfId="0" applyNumberFormat="1" applyFont="1" applyAlignment="1">
      <alignment horizontal="center"/>
    </xf>
    <xf numFmtId="1" fontId="53" fillId="0" borderId="0" xfId="0" applyNumberFormat="1" applyFont="1" applyAlignment="1">
      <alignment horizontal="center"/>
    </xf>
    <xf numFmtId="172" fontId="53" fillId="0" borderId="0" xfId="5" applyNumberFormat="1" applyFont="1" applyFill="1" applyAlignment="1">
      <alignment horizontal="center"/>
    </xf>
    <xf numFmtId="172" fontId="53" fillId="0" borderId="19" xfId="5" applyNumberFormat="1" applyFont="1" applyBorder="1" applyAlignment="1">
      <alignment horizontal="center"/>
    </xf>
    <xf numFmtId="0" fontId="53" fillId="0" borderId="41" xfId="26" applyFont="1" applyBorder="1" applyAlignment="1">
      <alignment horizontal="right"/>
    </xf>
    <xf numFmtId="172" fontId="53" fillId="0" borderId="19" xfId="5" applyNumberFormat="1" applyFont="1" applyFill="1" applyBorder="1"/>
    <xf numFmtId="9" fontId="68" fillId="0" borderId="19" xfId="0" applyNumberFormat="1" applyFont="1" applyBorder="1" applyAlignment="1">
      <alignment horizontal="center"/>
    </xf>
    <xf numFmtId="0" fontId="53" fillId="0" borderId="79" xfId="0" applyFont="1" applyBorder="1"/>
    <xf numFmtId="0" fontId="68" fillId="0" borderId="79" xfId="0" applyFont="1" applyBorder="1" applyAlignment="1">
      <alignment horizontal="center"/>
    </xf>
    <xf numFmtId="0" fontId="57" fillId="0" borderId="79" xfId="0" applyFont="1" applyBorder="1" applyAlignment="1">
      <alignment horizontal="center"/>
    </xf>
    <xf numFmtId="0" fontId="57" fillId="0" borderId="19" xfId="0" applyFont="1" applyBorder="1" applyAlignment="1">
      <alignment horizontal="center"/>
    </xf>
    <xf numFmtId="0" fontId="53" fillId="0" borderId="19" xfId="0" applyFont="1" applyBorder="1" applyAlignment="1">
      <alignment horizontal="right"/>
    </xf>
    <xf numFmtId="0" fontId="57" fillId="0" borderId="79" xfId="0" applyFont="1" applyBorder="1" applyAlignment="1">
      <alignment horizontal="right"/>
    </xf>
    <xf numFmtId="0" fontId="57" fillId="0" borderId="0" xfId="0" applyFont="1" applyAlignment="1">
      <alignment horizontal="right"/>
    </xf>
    <xf numFmtId="0" fontId="53" fillId="0" borderId="6" xfId="0" applyFont="1" applyBorder="1" applyAlignment="1">
      <alignment horizontal="right"/>
    </xf>
    <xf numFmtId="0" fontId="53" fillId="0" borderId="6" xfId="0" applyFont="1" applyBorder="1"/>
    <xf numFmtId="172" fontId="53" fillId="0" borderId="6" xfId="0" applyNumberFormat="1" applyFont="1" applyBorder="1"/>
    <xf numFmtId="172" fontId="53" fillId="11" borderId="0" xfId="26" applyNumberFormat="1" applyFont="1" applyFill="1" applyAlignment="1">
      <alignment horizontal="center"/>
    </xf>
    <xf numFmtId="5" fontId="75" fillId="0" borderId="0" xfId="26" applyNumberFormat="1" applyFont="1"/>
    <xf numFmtId="170" fontId="75" fillId="0" borderId="0" xfId="26" applyNumberFormat="1" applyFont="1" applyAlignment="1">
      <alignment horizontal="center"/>
    </xf>
    <xf numFmtId="0" fontId="53" fillId="0" borderId="5" xfId="0" applyFont="1" applyBorder="1" applyAlignment="1">
      <alignment horizontal="center"/>
    </xf>
    <xf numFmtId="0" fontId="57" fillId="0" borderId="5" xfId="0" applyFont="1" applyBorder="1" applyAlignment="1">
      <alignment horizontal="right"/>
    </xf>
    <xf numFmtId="0" fontId="75" fillId="0" borderId="5" xfId="0" applyFont="1" applyBorder="1" applyAlignment="1">
      <alignment horizontal="center"/>
    </xf>
    <xf numFmtId="42" fontId="70" fillId="0" borderId="0" xfId="26" applyNumberFormat="1" applyFont="1"/>
    <xf numFmtId="164" fontId="53" fillId="5" borderId="17" xfId="26" applyNumberFormat="1" applyFont="1" applyFill="1" applyBorder="1" applyAlignment="1">
      <alignment horizontal="center"/>
    </xf>
    <xf numFmtId="0" fontId="75" fillId="0" borderId="0" xfId="26" applyFont="1" applyAlignment="1">
      <alignment horizontal="center"/>
    </xf>
    <xf numFmtId="42" fontId="68" fillId="0" borderId="0" xfId="26" applyNumberFormat="1" applyFont="1" applyAlignment="1">
      <alignment horizontal="center"/>
    </xf>
    <xf numFmtId="9" fontId="68" fillId="0" borderId="0" xfId="32" applyFont="1" applyAlignment="1">
      <alignment vertical="center"/>
    </xf>
    <xf numFmtId="0" fontId="53" fillId="0" borderId="0" xfId="26" quotePrefix="1" applyFont="1"/>
    <xf numFmtId="42" fontId="53" fillId="0" borderId="5" xfId="26" applyNumberFormat="1" applyFont="1" applyBorder="1" applyAlignment="1">
      <alignment horizontal="center"/>
    </xf>
    <xf numFmtId="42" fontId="57" fillId="0" borderId="0" xfId="26" applyNumberFormat="1" applyFont="1" applyAlignment="1">
      <alignment horizontal="left"/>
    </xf>
    <xf numFmtId="164" fontId="57" fillId="0" borderId="0" xfId="32" applyNumberFormat="1" applyFont="1" applyFill="1" applyAlignment="1">
      <alignment horizontal="center"/>
    </xf>
    <xf numFmtId="0" fontId="61" fillId="0" borderId="44" xfId="26" quotePrefix="1" applyFont="1" applyBorder="1"/>
    <xf numFmtId="0" fontId="57" fillId="5" borderId="17" xfId="26" applyFont="1" applyFill="1" applyBorder="1"/>
    <xf numFmtId="164" fontId="53" fillId="0" borderId="19" xfId="26" applyNumberFormat="1" applyFont="1" applyBorder="1"/>
    <xf numFmtId="172" fontId="74" fillId="0" borderId="0" xfId="5" applyNumberFormat="1" applyFont="1" applyAlignment="1">
      <alignment horizontal="center"/>
    </xf>
    <xf numFmtId="44" fontId="74" fillId="0" borderId="0" xfId="5" applyNumberFormat="1" applyFont="1" applyAlignment="1">
      <alignment horizontal="center"/>
    </xf>
    <xf numFmtId="0" fontId="73" fillId="0" borderId="49" xfId="0" applyFont="1" applyBorder="1"/>
    <xf numFmtId="0" fontId="73" fillId="0" borderId="3" xfId="0" applyFont="1" applyBorder="1"/>
    <xf numFmtId="0" fontId="73" fillId="0" borderId="42" xfId="0" applyFont="1" applyBorder="1"/>
    <xf numFmtId="18" fontId="72" fillId="0" borderId="39" xfId="0" applyNumberFormat="1" applyFont="1" applyBorder="1" applyAlignment="1">
      <alignment horizontal="center"/>
    </xf>
    <xf numFmtId="18" fontId="72" fillId="0" borderId="45" xfId="0" applyNumberFormat="1" applyFont="1" applyBorder="1" applyAlignment="1">
      <alignment horizontal="center"/>
    </xf>
    <xf numFmtId="0" fontId="74" fillId="0" borderId="3" xfId="0" applyFont="1" applyBorder="1" applyAlignment="1">
      <alignment horizontal="center"/>
    </xf>
    <xf numFmtId="0" fontId="74" fillId="0" borderId="3" xfId="0" applyFont="1" applyBorder="1"/>
    <xf numFmtId="0" fontId="74" fillId="0" borderId="41" xfId="0" applyFont="1" applyBorder="1" applyAlignment="1">
      <alignment horizontal="center"/>
    </xf>
    <xf numFmtId="0" fontId="74" fillId="0" borderId="0" xfId="0" applyFont="1" applyAlignment="1">
      <alignment horizontal="center"/>
    </xf>
    <xf numFmtId="0" fontId="73" fillId="0" borderId="34" xfId="0" applyFont="1" applyBorder="1" applyAlignment="1">
      <alignment horizontal="center"/>
    </xf>
    <xf numFmtId="0" fontId="73" fillId="0" borderId="41" xfId="0" applyFont="1" applyBorder="1" applyAlignment="1">
      <alignment horizontal="center"/>
    </xf>
    <xf numFmtId="0" fontId="73" fillId="0" borderId="44" xfId="0" applyFont="1" applyBorder="1" applyAlignment="1">
      <alignment horizontal="center"/>
    </xf>
    <xf numFmtId="0" fontId="73" fillId="0" borderId="19" xfId="0" applyFont="1" applyBorder="1" applyAlignment="1">
      <alignment horizontal="center"/>
    </xf>
    <xf numFmtId="0" fontId="73" fillId="0" borderId="43" xfId="0" applyFont="1" applyBorder="1" applyAlignment="1">
      <alignment horizontal="center"/>
    </xf>
    <xf numFmtId="0" fontId="74" fillId="0" borderId="19" xfId="0" applyFont="1" applyBorder="1" applyAlignment="1">
      <alignment horizontal="center"/>
    </xf>
    <xf numFmtId="44" fontId="73" fillId="0" borderId="0" xfId="0" applyNumberFormat="1" applyFont="1"/>
    <xf numFmtId="0" fontId="73" fillId="0" borderId="49" xfId="0" applyFont="1" applyBorder="1" applyAlignment="1">
      <alignment horizontal="center"/>
    </xf>
    <xf numFmtId="172" fontId="73" fillId="0" borderId="42" xfId="0" applyNumberFormat="1" applyFont="1" applyBorder="1"/>
    <xf numFmtId="172" fontId="73" fillId="0" borderId="34" xfId="0" applyNumberFormat="1" applyFont="1" applyBorder="1"/>
    <xf numFmtId="44" fontId="73" fillId="0" borderId="19" xfId="0" applyNumberFormat="1" applyFont="1" applyBorder="1"/>
    <xf numFmtId="172" fontId="73" fillId="0" borderId="43" xfId="0" applyNumberFormat="1" applyFont="1" applyBorder="1"/>
    <xf numFmtId="180" fontId="53" fillId="0" borderId="0" xfId="0" applyNumberFormat="1" applyFont="1" applyAlignment="1">
      <alignment horizontal="center"/>
    </xf>
    <xf numFmtId="0" fontId="72" fillId="0" borderId="5" xfId="0" applyFont="1" applyBorder="1" applyAlignment="1">
      <alignment horizontal="center"/>
    </xf>
    <xf numFmtId="0" fontId="73" fillId="0" borderId="0" xfId="0" quotePrefix="1" applyFont="1" applyAlignment="1">
      <alignment horizontal="center"/>
    </xf>
    <xf numFmtId="14" fontId="74" fillId="0" borderId="0" xfId="0" applyNumberFormat="1" applyFont="1" applyAlignment="1">
      <alignment horizontal="center"/>
    </xf>
    <xf numFmtId="9" fontId="73" fillId="0" borderId="0" xfId="32" applyFont="1" applyAlignment="1">
      <alignment horizontal="center"/>
    </xf>
    <xf numFmtId="0" fontId="72" fillId="0" borderId="5" xfId="0" applyFont="1" applyBorder="1" applyAlignment="1">
      <alignment horizontal="center" vertical="center"/>
    </xf>
    <xf numFmtId="0" fontId="72" fillId="0" borderId="0" xfId="0" applyFont="1" applyAlignment="1">
      <alignment horizontal="right"/>
    </xf>
    <xf numFmtId="180" fontId="57" fillId="0" borderId="0" xfId="0" applyNumberFormat="1" applyFont="1" applyAlignment="1">
      <alignment horizontal="center"/>
    </xf>
    <xf numFmtId="42" fontId="73" fillId="0" borderId="0" xfId="0" applyNumberFormat="1" applyFont="1"/>
    <xf numFmtId="0" fontId="72" fillId="0" borderId="5" xfId="0" applyFont="1" applyBorder="1" applyAlignment="1">
      <alignment horizontal="center" vertical="center" wrapText="1"/>
    </xf>
    <xf numFmtId="0" fontId="72" fillId="6" borderId="80" xfId="0" applyFont="1" applyFill="1" applyBorder="1" applyAlignment="1">
      <alignment horizontal="center"/>
    </xf>
    <xf numFmtId="0" fontId="53" fillId="0" borderId="41" xfId="26" quotePrefix="1" applyFont="1" applyBorder="1" applyAlignment="1">
      <alignment horizontal="right"/>
    </xf>
    <xf numFmtId="190" fontId="57" fillId="0" borderId="5" xfId="0" applyNumberFormat="1" applyFont="1" applyBorder="1" applyAlignment="1">
      <alignment horizontal="center"/>
    </xf>
    <xf numFmtId="14" fontId="57" fillId="0" borderId="5" xfId="0" applyNumberFormat="1" applyFont="1" applyBorder="1" applyAlignment="1">
      <alignment horizontal="center"/>
    </xf>
    <xf numFmtId="0" fontId="53" fillId="0" borderId="70" xfId="0" applyFont="1" applyBorder="1"/>
    <xf numFmtId="8" fontId="53" fillId="0" borderId="5" xfId="26" applyNumberFormat="1" applyFont="1" applyBorder="1"/>
    <xf numFmtId="164" fontId="53" fillId="0" borderId="5" xfId="26" applyNumberFormat="1" applyFont="1" applyBorder="1"/>
    <xf numFmtId="0" fontId="53" fillId="0" borderId="72" xfId="0" applyFont="1" applyBorder="1"/>
    <xf numFmtId="9" fontId="74" fillId="0" borderId="0" xfId="32" applyFont="1" applyAlignment="1">
      <alignment horizontal="center"/>
    </xf>
    <xf numFmtId="0" fontId="73" fillId="0" borderId="81" xfId="0" applyFont="1" applyBorder="1"/>
    <xf numFmtId="0" fontId="74" fillId="0" borderId="81" xfId="0" applyFont="1" applyBorder="1"/>
    <xf numFmtId="2" fontId="73" fillId="0" borderId="0" xfId="0" applyNumberFormat="1" applyFont="1" applyAlignment="1">
      <alignment horizontal="center"/>
    </xf>
    <xf numFmtId="2" fontId="74" fillId="0" borderId="0" xfId="0" applyNumberFormat="1" applyFont="1" applyAlignment="1">
      <alignment horizontal="center"/>
    </xf>
    <xf numFmtId="190" fontId="57" fillId="0" borderId="82" xfId="0" applyNumberFormat="1" applyFont="1" applyBorder="1" applyAlignment="1">
      <alignment horizontal="center"/>
    </xf>
    <xf numFmtId="0" fontId="53" fillId="0" borderId="69" xfId="0" applyFont="1" applyBorder="1" applyAlignment="1">
      <alignment horizontal="center"/>
    </xf>
    <xf numFmtId="0" fontId="57" fillId="0" borderId="69" xfId="0" applyFont="1" applyBorder="1" applyAlignment="1">
      <alignment horizontal="center"/>
    </xf>
    <xf numFmtId="42" fontId="68" fillId="0" borderId="69" xfId="0" applyNumberFormat="1" applyFont="1" applyBorder="1"/>
    <xf numFmtId="44" fontId="53" fillId="0" borderId="69" xfId="0" applyNumberFormat="1" applyFont="1" applyBorder="1"/>
    <xf numFmtId="44" fontId="68" fillId="0" borderId="69" xfId="0" applyNumberFormat="1" applyFont="1" applyBorder="1"/>
    <xf numFmtId="190" fontId="57" fillId="0" borderId="58" xfId="0" applyNumberFormat="1" applyFont="1" applyBorder="1" applyAlignment="1">
      <alignment horizontal="center"/>
    </xf>
    <xf numFmtId="0" fontId="75" fillId="0" borderId="34" xfId="26" applyFont="1" applyBorder="1"/>
    <xf numFmtId="9" fontId="68" fillId="0" borderId="0" xfId="32" applyFont="1" applyAlignment="1">
      <alignment horizontal="center"/>
    </xf>
    <xf numFmtId="9" fontId="68" fillId="0" borderId="34" xfId="32" applyFont="1" applyBorder="1" applyAlignment="1">
      <alignment horizontal="center"/>
    </xf>
    <xf numFmtId="190" fontId="57" fillId="0" borderId="72" xfId="0" applyNumberFormat="1" applyFont="1" applyBorder="1" applyAlignment="1">
      <alignment horizontal="center"/>
    </xf>
    <xf numFmtId="0" fontId="68" fillId="0" borderId="69" xfId="0" applyFont="1" applyBorder="1" applyAlignment="1">
      <alignment horizontal="center"/>
    </xf>
    <xf numFmtId="0" fontId="53" fillId="0" borderId="75" xfId="0" applyFont="1" applyBorder="1"/>
    <xf numFmtId="42" fontId="53" fillId="0" borderId="71" xfId="0" applyNumberFormat="1" applyFont="1" applyBorder="1"/>
    <xf numFmtId="42" fontId="68" fillId="0" borderId="71" xfId="0" applyNumberFormat="1" applyFont="1" applyBorder="1"/>
    <xf numFmtId="42" fontId="53" fillId="6" borderId="71" xfId="0" applyNumberFormat="1" applyFont="1" applyFill="1" applyBorder="1"/>
    <xf numFmtId="42" fontId="53" fillId="6" borderId="69" xfId="0" applyNumberFormat="1" applyFont="1" applyFill="1" applyBorder="1"/>
    <xf numFmtId="164" fontId="53" fillId="6" borderId="70" xfId="32" applyNumberFormat="1" applyFont="1" applyFill="1" applyBorder="1" applyAlignment="1">
      <alignment horizontal="center"/>
    </xf>
    <xf numFmtId="42" fontId="53" fillId="0" borderId="75" xfId="0" applyNumberFormat="1" applyFont="1" applyBorder="1"/>
    <xf numFmtId="42" fontId="53" fillId="6" borderId="70" xfId="0" applyNumberFormat="1" applyFont="1" applyFill="1" applyBorder="1"/>
    <xf numFmtId="0" fontId="53" fillId="6" borderId="69" xfId="0" applyFont="1" applyFill="1" applyBorder="1"/>
    <xf numFmtId="0" fontId="53" fillId="6" borderId="70" xfId="0" applyFont="1" applyFill="1" applyBorder="1"/>
    <xf numFmtId="0" fontId="68" fillId="0" borderId="75" xfId="0" applyFont="1" applyBorder="1" applyAlignment="1">
      <alignment horizontal="center"/>
    </xf>
    <xf numFmtId="5" fontId="68" fillId="9" borderId="52" xfId="0" applyNumberFormat="1" applyFont="1" applyFill="1" applyBorder="1"/>
    <xf numFmtId="172" fontId="68" fillId="0" borderId="0" xfId="0" applyNumberFormat="1" applyFont="1"/>
    <xf numFmtId="0" fontId="75" fillId="0" borderId="0" xfId="0" applyFont="1" applyAlignment="1">
      <alignment horizontal="center"/>
    </xf>
    <xf numFmtId="42" fontId="68" fillId="0" borderId="52" xfId="0" applyNumberFormat="1" applyFont="1" applyBorder="1"/>
    <xf numFmtId="0" fontId="63" fillId="0" borderId="0" xfId="0" applyFont="1"/>
    <xf numFmtId="170" fontId="57" fillId="0" borderId="0" xfId="26" applyNumberFormat="1" applyFont="1" applyAlignment="1">
      <alignment horizontal="center"/>
    </xf>
    <xf numFmtId="5" fontId="57" fillId="0" borderId="0" xfId="26" applyNumberFormat="1" applyFont="1" applyAlignment="1">
      <alignment horizontal="center"/>
    </xf>
    <xf numFmtId="9" fontId="68" fillId="0" borderId="0" xfId="32" applyFont="1" applyAlignment="1">
      <alignment horizontal="center" vertical="center"/>
    </xf>
    <xf numFmtId="9" fontId="68" fillId="0" borderId="0" xfId="26" applyNumberFormat="1" applyFont="1" applyAlignment="1">
      <alignment horizontal="center" vertical="center"/>
    </xf>
    <xf numFmtId="5" fontId="68" fillId="0" borderId="0" xfId="26" applyNumberFormat="1" applyFont="1" applyAlignment="1">
      <alignment vertical="center"/>
    </xf>
    <xf numFmtId="9" fontId="68" fillId="0" borderId="19" xfId="32" applyFont="1" applyBorder="1" applyAlignment="1">
      <alignment horizontal="center"/>
    </xf>
    <xf numFmtId="9" fontId="68" fillId="0" borderId="19" xfId="32" applyFont="1" applyBorder="1" applyAlignment="1">
      <alignment horizontal="center" vertical="center"/>
    </xf>
    <xf numFmtId="9" fontId="53" fillId="0" borderId="0" xfId="0" applyNumberFormat="1" applyFont="1" applyAlignment="1">
      <alignment horizontal="center"/>
    </xf>
    <xf numFmtId="9" fontId="53" fillId="0" borderId="19" xfId="0" applyNumberFormat="1" applyFont="1" applyBorder="1" applyAlignment="1">
      <alignment horizontal="center"/>
    </xf>
    <xf numFmtId="0" fontId="68" fillId="0" borderId="0" xfId="0" quotePrefix="1" applyFont="1" applyAlignment="1">
      <alignment horizontal="center"/>
    </xf>
    <xf numFmtId="172" fontId="68" fillId="0" borderId="69" xfId="0" applyNumberFormat="1" applyFont="1" applyBorder="1"/>
    <xf numFmtId="164" fontId="68" fillId="0" borderId="0" xfId="26" applyNumberFormat="1" applyFont="1" applyAlignment="1">
      <alignment horizontal="center"/>
    </xf>
    <xf numFmtId="3" fontId="68" fillId="0" borderId="41" xfId="26" applyNumberFormat="1" applyFont="1" applyBorder="1" applyAlignment="1">
      <alignment horizontal="center"/>
    </xf>
    <xf numFmtId="8" fontId="53" fillId="0" borderId="0" xfId="0" applyNumberFormat="1" applyFont="1"/>
    <xf numFmtId="8" fontId="53" fillId="0" borderId="19" xfId="0" applyNumberFormat="1" applyFont="1" applyBorder="1"/>
    <xf numFmtId="172" fontId="53" fillId="0" borderId="5" xfId="26" applyNumberFormat="1" applyFont="1" applyBorder="1"/>
    <xf numFmtId="5" fontId="53" fillId="0" borderId="2" xfId="0" applyNumberFormat="1" applyFont="1" applyBorder="1"/>
    <xf numFmtId="180" fontId="53" fillId="0" borderId="75" xfId="0" applyNumberFormat="1" applyFont="1" applyBorder="1" applyAlignment="1">
      <alignment horizontal="center"/>
    </xf>
    <xf numFmtId="0" fontId="57" fillId="0" borderId="72" xfId="0" applyFont="1" applyBorder="1" applyAlignment="1">
      <alignment horizontal="center"/>
    </xf>
    <xf numFmtId="0" fontId="68" fillId="0" borderId="83" xfId="0" applyFont="1" applyBorder="1" applyAlignment="1">
      <alignment horizontal="center"/>
    </xf>
    <xf numFmtId="172" fontId="53" fillId="0" borderId="84" xfId="0" applyNumberFormat="1" applyFont="1" applyBorder="1"/>
    <xf numFmtId="42" fontId="68" fillId="0" borderId="0" xfId="26" applyNumberFormat="1" applyFont="1"/>
    <xf numFmtId="0" fontId="73" fillId="13" borderId="19" xfId="0" applyFont="1" applyFill="1" applyBorder="1"/>
    <xf numFmtId="0" fontId="72" fillId="0" borderId="0" xfId="0" applyFont="1" applyAlignment="1">
      <alignment horizontal="center"/>
    </xf>
    <xf numFmtId="172" fontId="53" fillId="0" borderId="69" xfId="5" applyNumberFormat="1" applyFont="1" applyFill="1" applyBorder="1" applyAlignment="1">
      <alignment horizontal="center"/>
    </xf>
    <xf numFmtId="172" fontId="53" fillId="0" borderId="70" xfId="5" applyNumberFormat="1" applyFont="1" applyBorder="1" applyAlignment="1">
      <alignment horizontal="center"/>
    </xf>
    <xf numFmtId="0" fontId="84" fillId="0" borderId="0" xfId="0" applyFont="1"/>
    <xf numFmtId="0" fontId="86" fillId="0" borderId="0" xfId="0" applyFont="1" applyAlignment="1">
      <alignment horizontal="center"/>
    </xf>
    <xf numFmtId="0" fontId="84" fillId="0" borderId="0" xfId="0" applyFont="1" applyAlignment="1">
      <alignment horizontal="center"/>
    </xf>
    <xf numFmtId="0" fontId="85" fillId="0" borderId="0" xfId="0" applyFont="1"/>
    <xf numFmtId="5" fontId="65" fillId="13" borderId="0" xfId="5" applyNumberFormat="1" applyFont="1" applyFill="1"/>
    <xf numFmtId="172" fontId="74" fillId="13" borderId="0" xfId="0" applyNumberFormat="1" applyFont="1" applyFill="1"/>
    <xf numFmtId="44" fontId="73" fillId="0" borderId="0" xfId="5" applyNumberFormat="1" applyFont="1" applyAlignment="1">
      <alignment horizontal="center"/>
    </xf>
    <xf numFmtId="166" fontId="73" fillId="0" borderId="0" xfId="4" applyNumberFormat="1" applyFont="1" applyBorder="1"/>
    <xf numFmtId="166" fontId="73" fillId="0" borderId="19" xfId="4" applyNumberFormat="1" applyFont="1" applyBorder="1"/>
    <xf numFmtId="7" fontId="73" fillId="0" borderId="0" xfId="5" applyFont="1" applyBorder="1"/>
    <xf numFmtId="0" fontId="68" fillId="0" borderId="0" xfId="0" applyFont="1" applyAlignment="1">
      <alignment horizontal="left" wrapText="1"/>
    </xf>
    <xf numFmtId="0" fontId="68" fillId="0" borderId="0" xfId="0" applyFont="1" applyAlignment="1">
      <alignment horizontal="center" wrapText="1"/>
    </xf>
    <xf numFmtId="0" fontId="68" fillId="0" borderId="19" xfId="0" applyFont="1" applyBorder="1" applyAlignment="1">
      <alignment horizontal="center" wrapText="1"/>
    </xf>
    <xf numFmtId="5" fontId="68" fillId="0" borderId="0" xfId="5" applyNumberFormat="1" applyFont="1" applyFill="1"/>
    <xf numFmtId="190" fontId="57" fillId="6" borderId="5" xfId="0" applyNumberFormat="1" applyFont="1" applyFill="1" applyBorder="1" applyAlignment="1">
      <alignment horizontal="center"/>
    </xf>
    <xf numFmtId="172" fontId="74" fillId="0" borderId="19" xfId="0" applyNumberFormat="1" applyFont="1" applyBorder="1"/>
    <xf numFmtId="0" fontId="1" fillId="0" borderId="0" xfId="116"/>
    <xf numFmtId="0" fontId="1" fillId="0" borderId="0" xfId="116" applyAlignment="1">
      <alignment horizontal="center"/>
    </xf>
    <xf numFmtId="0" fontId="64" fillId="0" borderId="5" xfId="116" applyFont="1" applyBorder="1" applyAlignment="1">
      <alignment horizontal="center"/>
    </xf>
    <xf numFmtId="0" fontId="64" fillId="0" borderId="0" xfId="116" applyFont="1" applyAlignment="1">
      <alignment horizontal="center"/>
    </xf>
    <xf numFmtId="0" fontId="64" fillId="0" borderId="0" xfId="116" applyFont="1" applyAlignment="1">
      <alignment horizontal="left"/>
    </xf>
    <xf numFmtId="0" fontId="65" fillId="0" borderId="0" xfId="116" applyFont="1" applyAlignment="1">
      <alignment horizontal="center"/>
    </xf>
    <xf numFmtId="0" fontId="1" fillId="0" borderId="51" xfId="116" applyBorder="1"/>
    <xf numFmtId="0" fontId="1" fillId="0" borderId="51" xfId="116" applyBorder="1" applyAlignment="1">
      <alignment horizontal="left"/>
    </xf>
    <xf numFmtId="0" fontId="1" fillId="0" borderId="51" xfId="116" applyBorder="1" applyAlignment="1">
      <alignment horizontal="center"/>
    </xf>
    <xf numFmtId="0" fontId="65" fillId="0" borderId="51" xfId="116" applyFont="1" applyBorder="1" applyAlignment="1">
      <alignment horizontal="center"/>
    </xf>
    <xf numFmtId="0" fontId="64" fillId="0" borderId="5" xfId="116" applyFont="1" applyBorder="1" applyAlignment="1">
      <alignment horizontal="center" wrapText="1"/>
    </xf>
    <xf numFmtId="0" fontId="1" fillId="0" borderId="0" xfId="116" applyAlignment="1">
      <alignment horizontal="center" vertical="center"/>
    </xf>
    <xf numFmtId="172" fontId="0" fillId="0" borderId="0" xfId="117" applyNumberFormat="1" applyFont="1" applyAlignment="1">
      <alignment horizontal="center" vertical="center"/>
    </xf>
    <xf numFmtId="0" fontId="1" fillId="0" borderId="0" xfId="116" applyAlignment="1">
      <alignment horizontal="left" vertical="center" wrapText="1"/>
    </xf>
    <xf numFmtId="0" fontId="87" fillId="0" borderId="0" xfId="118" applyAlignment="1">
      <alignment horizontal="left" vertical="center" wrapText="1"/>
    </xf>
    <xf numFmtId="172" fontId="0" fillId="15" borderId="0" xfId="117" applyNumberFormat="1" applyFont="1" applyFill="1" applyAlignment="1">
      <alignment horizontal="center" vertical="center"/>
    </xf>
    <xf numFmtId="0" fontId="85" fillId="0" borderId="0" xfId="116" applyFont="1" applyAlignment="1">
      <alignment horizontal="center" vertical="center" wrapText="1"/>
    </xf>
    <xf numFmtId="0" fontId="1" fillId="0" borderId="0" xfId="116" applyAlignment="1">
      <alignment horizontal="center" vertical="center" wrapText="1"/>
    </xf>
    <xf numFmtId="0" fontId="65" fillId="0" borderId="0" xfId="116" applyFont="1" applyAlignment="1">
      <alignment horizontal="center" vertical="center"/>
    </xf>
    <xf numFmtId="0" fontId="1" fillId="0" borderId="0" xfId="116" applyAlignment="1">
      <alignment vertical="center"/>
    </xf>
    <xf numFmtId="172" fontId="0" fillId="0" borderId="0" xfId="117" applyNumberFormat="1" applyFont="1" applyAlignment="1">
      <alignment vertical="center"/>
    </xf>
    <xf numFmtId="172" fontId="0" fillId="0" borderId="51" xfId="117" applyNumberFormat="1" applyFont="1" applyBorder="1"/>
    <xf numFmtId="0" fontId="64" fillId="0" borderId="0" xfId="116" quotePrefix="1" applyFont="1" applyAlignment="1">
      <alignment horizontal="center"/>
    </xf>
    <xf numFmtId="172" fontId="88" fillId="0" borderId="0" xfId="117" applyNumberFormat="1" applyFont="1" applyAlignment="1">
      <alignment horizontal="center" vertical="center"/>
    </xf>
    <xf numFmtId="172" fontId="68" fillId="0" borderId="0" xfId="5" applyNumberFormat="1" applyFont="1" applyFill="1"/>
    <xf numFmtId="0" fontId="0" fillId="0" borderId="0" xfId="0" applyAlignment="1">
      <alignment wrapText="1"/>
    </xf>
    <xf numFmtId="0" fontId="11" fillId="0" borderId="0" xfId="0" applyFont="1" applyAlignment="1">
      <alignment wrapText="1"/>
    </xf>
    <xf numFmtId="0" fontId="88" fillId="0" borderId="0" xfId="0" applyFont="1"/>
    <xf numFmtId="0" fontId="11" fillId="0" borderId="0" xfId="0" applyFont="1"/>
    <xf numFmtId="0" fontId="16" fillId="0" borderId="44" xfId="0" applyFont="1" applyBorder="1" applyAlignment="1">
      <alignment wrapText="1"/>
    </xf>
    <xf numFmtId="0" fontId="16" fillId="0" borderId="19" xfId="0" applyFont="1" applyBorder="1" applyAlignment="1">
      <alignment wrapText="1"/>
    </xf>
    <xf numFmtId="42" fontId="70" fillId="0" borderId="0" xfId="26" applyNumberFormat="1" applyFont="1" applyAlignment="1">
      <alignment horizontal="center"/>
    </xf>
    <xf numFmtId="0" fontId="57" fillId="6" borderId="56" xfId="26" applyFont="1" applyFill="1" applyBorder="1" applyAlignment="1">
      <alignment horizontal="center"/>
    </xf>
    <xf numFmtId="0" fontId="57" fillId="6" borderId="58" xfId="26" applyFont="1" applyFill="1" applyBorder="1" applyAlignment="1">
      <alignment horizontal="center"/>
    </xf>
    <xf numFmtId="0" fontId="57" fillId="6" borderId="57" xfId="26" applyFont="1" applyFill="1" applyBorder="1" applyAlignment="1">
      <alignment horizontal="center"/>
    </xf>
    <xf numFmtId="0" fontId="57" fillId="0" borderId="41" xfId="26" applyFont="1" applyBorder="1" applyAlignment="1">
      <alignment horizontal="center"/>
    </xf>
    <xf numFmtId="0" fontId="57" fillId="0" borderId="0" xfId="26" applyFont="1" applyAlignment="1">
      <alignment horizontal="center"/>
    </xf>
    <xf numFmtId="0" fontId="57" fillId="0" borderId="34" xfId="26" applyFont="1" applyBorder="1" applyAlignment="1">
      <alignment horizontal="center"/>
    </xf>
    <xf numFmtId="0" fontId="57" fillId="6" borderId="56" xfId="0" applyFont="1" applyFill="1" applyBorder="1" applyAlignment="1">
      <alignment horizontal="center"/>
    </xf>
    <xf numFmtId="0" fontId="57" fillId="6" borderId="58" xfId="0" applyFont="1" applyFill="1" applyBorder="1" applyAlignment="1">
      <alignment horizontal="center"/>
    </xf>
    <xf numFmtId="0" fontId="57" fillId="6" borderId="57" xfId="0" applyFont="1" applyFill="1" applyBorder="1" applyAlignment="1">
      <alignment horizontal="center"/>
    </xf>
    <xf numFmtId="0" fontId="72" fillId="6" borderId="56" xfId="0" applyFont="1" applyFill="1" applyBorder="1" applyAlignment="1">
      <alignment horizontal="center"/>
    </xf>
    <xf numFmtId="0" fontId="72" fillId="6" borderId="58" xfId="0" applyFont="1" applyFill="1" applyBorder="1" applyAlignment="1">
      <alignment horizontal="center"/>
    </xf>
    <xf numFmtId="0" fontId="0" fillId="0" borderId="57" xfId="0" applyBorder="1"/>
    <xf numFmtId="0" fontId="72" fillId="6" borderId="57" xfId="0" applyFont="1" applyFill="1" applyBorder="1" applyAlignment="1">
      <alignment horizontal="center"/>
    </xf>
    <xf numFmtId="172" fontId="73" fillId="0" borderId="0" xfId="0" applyNumberFormat="1" applyFont="1" applyAlignment="1">
      <alignment horizontal="center"/>
    </xf>
    <xf numFmtId="0" fontId="73" fillId="0" borderId="0" xfId="0" applyFont="1" applyAlignment="1">
      <alignment horizontal="center"/>
    </xf>
    <xf numFmtId="172" fontId="72" fillId="0" borderId="0" xfId="0" applyNumberFormat="1" applyFont="1" applyAlignment="1">
      <alignment horizontal="center"/>
    </xf>
    <xf numFmtId="0" fontId="72" fillId="0" borderId="0" xfId="0" applyFont="1" applyAlignment="1">
      <alignment horizontal="center"/>
    </xf>
    <xf numFmtId="0" fontId="64" fillId="6" borderId="0" xfId="116" applyFont="1" applyFill="1" applyAlignment="1">
      <alignment horizontal="center"/>
    </xf>
    <xf numFmtId="0" fontId="1" fillId="0" borderId="85" xfId="116" applyBorder="1" applyAlignment="1">
      <alignment horizontal="center" vertical="center"/>
    </xf>
    <xf numFmtId="0" fontId="1" fillId="0" borderId="86" xfId="116" applyBorder="1" applyAlignment="1">
      <alignment horizontal="center" vertical="center"/>
    </xf>
    <xf numFmtId="0" fontId="1" fillId="0" borderId="87" xfId="116" applyBorder="1" applyAlignment="1">
      <alignment horizontal="center" vertical="center"/>
    </xf>
    <xf numFmtId="0" fontId="80" fillId="0" borderId="0" xfId="0" applyFont="1" applyAlignment="1">
      <alignment horizontal="center"/>
    </xf>
    <xf numFmtId="0" fontId="83" fillId="6" borderId="56" xfId="0" applyFont="1" applyFill="1" applyBorder="1" applyAlignment="1">
      <alignment horizontal="center"/>
    </xf>
    <xf numFmtId="0" fontId="83" fillId="6" borderId="58" xfId="0" applyFont="1" applyFill="1" applyBorder="1" applyAlignment="1">
      <alignment horizontal="center"/>
    </xf>
    <xf numFmtId="0" fontId="83" fillId="6" borderId="57" xfId="0" applyFont="1" applyFill="1" applyBorder="1" applyAlignment="1">
      <alignment horizontal="center"/>
    </xf>
    <xf numFmtId="42" fontId="57" fillId="0" borderId="56" xfId="0" applyNumberFormat="1" applyFont="1" applyBorder="1" applyAlignment="1">
      <alignment horizontal="center" wrapText="1"/>
    </xf>
    <xf numFmtId="42" fontId="57" fillId="0" borderId="58" xfId="0" applyNumberFormat="1" applyFont="1" applyBorder="1" applyAlignment="1">
      <alignment horizontal="center" wrapText="1"/>
    </xf>
    <xf numFmtId="42" fontId="57" fillId="6" borderId="56" xfId="0" applyNumberFormat="1" applyFont="1" applyFill="1" applyBorder="1" applyAlignment="1">
      <alignment horizontal="center"/>
    </xf>
    <xf numFmtId="42" fontId="57" fillId="6" borderId="58" xfId="0" applyNumberFormat="1" applyFont="1" applyFill="1" applyBorder="1" applyAlignment="1">
      <alignment horizontal="center"/>
    </xf>
    <xf numFmtId="42" fontId="57" fillId="6" borderId="57" xfId="0" applyNumberFormat="1" applyFont="1" applyFill="1" applyBorder="1" applyAlignment="1">
      <alignment horizontal="center"/>
    </xf>
  </cellXfs>
  <cellStyles count="119">
    <cellStyle name="A" xfId="1" xr:uid="{00000000-0005-0000-0000-000000000000}"/>
    <cellStyle name="ACE" xfId="2" xr:uid="{00000000-0005-0000-0000-000001000000}"/>
    <cellStyle name="ColumnHeading" xfId="3" xr:uid="{00000000-0005-0000-0000-000002000000}"/>
    <cellStyle name="Comma" xfId="4" builtinId="3"/>
    <cellStyle name="Currency" xfId="5" builtinId="4"/>
    <cellStyle name="Currency 2" xfId="110" xr:uid="{C2B21E00-1DC7-414F-AE7B-5DE87342FF8B}"/>
    <cellStyle name="Currency 3" xfId="114" xr:uid="{9206EBCB-3AA3-4C99-8E77-52B24318B27E}"/>
    <cellStyle name="Currency 4" xfId="117" xr:uid="{9DB49E8C-9BF8-4270-98C9-9913DCDCF3B9}"/>
    <cellStyle name="Currency_Lakeridge- Final" xfId="6" xr:uid="{00000000-0005-0000-0000-000005000000}"/>
    <cellStyle name="D" xfId="7" xr:uid="{00000000-0005-0000-0000-000006000000}"/>
    <cellStyle name="DATETIME" xfId="8" xr:uid="{00000000-0005-0000-0000-000007000000}"/>
    <cellStyle name="Euro" xfId="9" xr:uid="{00000000-0005-0000-0000-000008000000}"/>
    <cellStyle name="EvenBodyShade" xfId="10" xr:uid="{00000000-0005-0000-0000-000009000000}"/>
    <cellStyle name="F1" xfId="11" xr:uid="{00000000-0005-0000-0000-00000A000000}"/>
    <cellStyle name="GrandTotal" xfId="12" xr:uid="{00000000-0005-0000-0000-00000B000000}"/>
    <cellStyle name="Head0" xfId="13" xr:uid="{00000000-0005-0000-0000-00000C000000}"/>
    <cellStyle name="Head1" xfId="14" xr:uid="{00000000-0005-0000-0000-00000D000000}"/>
    <cellStyle name="Head2" xfId="15" xr:uid="{00000000-0005-0000-0000-00000E000000}"/>
    <cellStyle name="Head3" xfId="16" xr:uid="{00000000-0005-0000-0000-00000F000000}"/>
    <cellStyle name="Head4" xfId="17" xr:uid="{00000000-0005-0000-0000-000010000000}"/>
    <cellStyle name="Head5" xfId="18" xr:uid="{00000000-0005-0000-0000-000011000000}"/>
    <cellStyle name="Head6" xfId="19" xr:uid="{00000000-0005-0000-0000-000012000000}"/>
    <cellStyle name="Head7" xfId="20" xr:uid="{00000000-0005-0000-0000-000013000000}"/>
    <cellStyle name="Head8" xfId="21" xr:uid="{00000000-0005-0000-0000-000014000000}"/>
    <cellStyle name="Head9" xfId="22" xr:uid="{00000000-0005-0000-0000-000015000000}"/>
    <cellStyle name="HeadShade" xfId="23" xr:uid="{00000000-0005-0000-0000-000016000000}"/>
    <cellStyle name="Hyperlink 2" xfId="118" xr:uid="{AEC92F66-749A-4C19-9650-4347D67572CF}"/>
    <cellStyle name="I" xfId="24" xr:uid="{00000000-0005-0000-0000-000017000000}"/>
    <cellStyle name="M" xfId="25" xr:uid="{00000000-0005-0000-0000-000018000000}"/>
    <cellStyle name="Normal" xfId="0" builtinId="0"/>
    <cellStyle name="Normal 10" xfId="65" xr:uid="{00000000-0005-0000-0000-00001A000000}"/>
    <cellStyle name="Normal 10 2" xfId="72" xr:uid="{00000000-0005-0000-0000-00001B000000}"/>
    <cellStyle name="Normal 11" xfId="74" xr:uid="{00000000-0005-0000-0000-00001C000000}"/>
    <cellStyle name="Normal 12" xfId="83" xr:uid="{00000000-0005-0000-0000-00001D000000}"/>
    <cellStyle name="Normal 13" xfId="76" xr:uid="{00000000-0005-0000-0000-00001E000000}"/>
    <cellStyle name="Normal 14" xfId="82" xr:uid="{00000000-0005-0000-0000-00001F000000}"/>
    <cellStyle name="Normal 15" xfId="87" xr:uid="{00000000-0005-0000-0000-000020000000}"/>
    <cellStyle name="Normal 16" xfId="81" xr:uid="{00000000-0005-0000-0000-000021000000}"/>
    <cellStyle name="Normal 17" xfId="77" xr:uid="{00000000-0005-0000-0000-000022000000}"/>
    <cellStyle name="Normal 18" xfId="80" xr:uid="{00000000-0005-0000-0000-000023000000}"/>
    <cellStyle name="Normal 19" xfId="78" xr:uid="{00000000-0005-0000-0000-000024000000}"/>
    <cellStyle name="Normal 2" xfId="107" xr:uid="{00000000-0005-0000-0000-000025000000}"/>
    <cellStyle name="Normal 2 2" xfId="66" xr:uid="{00000000-0005-0000-0000-000026000000}"/>
    <cellStyle name="Normal 20" xfId="75" xr:uid="{00000000-0005-0000-0000-000027000000}"/>
    <cellStyle name="Normal 21" xfId="86" xr:uid="{00000000-0005-0000-0000-000028000000}"/>
    <cellStyle name="Normal 22" xfId="79" xr:uid="{00000000-0005-0000-0000-000029000000}"/>
    <cellStyle name="Normal 23" xfId="84" xr:uid="{00000000-0005-0000-0000-00002A000000}"/>
    <cellStyle name="Normal 24" xfId="88" xr:uid="{00000000-0005-0000-0000-00002B000000}"/>
    <cellStyle name="Normal 25" xfId="89" xr:uid="{00000000-0005-0000-0000-00002C000000}"/>
    <cellStyle name="Normal 26" xfId="90" xr:uid="{00000000-0005-0000-0000-00002D000000}"/>
    <cellStyle name="Normal 27" xfId="91" xr:uid="{00000000-0005-0000-0000-00002E000000}"/>
    <cellStyle name="Normal 28" xfId="92" xr:uid="{00000000-0005-0000-0000-00002F000000}"/>
    <cellStyle name="Normal 29" xfId="93" xr:uid="{00000000-0005-0000-0000-000030000000}"/>
    <cellStyle name="Normal 3" xfId="73" xr:uid="{00000000-0005-0000-0000-000031000000}"/>
    <cellStyle name="Normal 30" xfId="94" xr:uid="{00000000-0005-0000-0000-000032000000}"/>
    <cellStyle name="Normal 31" xfId="95" xr:uid="{00000000-0005-0000-0000-000033000000}"/>
    <cellStyle name="Normal 32" xfId="96" xr:uid="{00000000-0005-0000-0000-000034000000}"/>
    <cellStyle name="Normal 33" xfId="97" xr:uid="{00000000-0005-0000-0000-000035000000}"/>
    <cellStyle name="Normal 34" xfId="98" xr:uid="{00000000-0005-0000-0000-000036000000}"/>
    <cellStyle name="Normal 35" xfId="99" xr:uid="{00000000-0005-0000-0000-000037000000}"/>
    <cellStyle name="Normal 36" xfId="100" xr:uid="{00000000-0005-0000-0000-000038000000}"/>
    <cellStyle name="Normal 37" xfId="101" xr:uid="{00000000-0005-0000-0000-000039000000}"/>
    <cellStyle name="Normal 38" xfId="102" xr:uid="{00000000-0005-0000-0000-00003A000000}"/>
    <cellStyle name="Normal 39" xfId="108" xr:uid="{6EC33A5B-4478-4891-9AFC-C692F034A405}"/>
    <cellStyle name="Normal 4" xfId="85" xr:uid="{00000000-0005-0000-0000-00003B000000}"/>
    <cellStyle name="Normal 40" xfId="103" xr:uid="{00000000-0005-0000-0000-00003C000000}"/>
    <cellStyle name="Normal 41" xfId="104" xr:uid="{00000000-0005-0000-0000-00003D000000}"/>
    <cellStyle name="Normal 42" xfId="105" xr:uid="{00000000-0005-0000-0000-00003E000000}"/>
    <cellStyle name="Normal 43" xfId="106" xr:uid="{00000000-0005-0000-0000-00003F000000}"/>
    <cellStyle name="Normal 44" xfId="109" xr:uid="{30788086-33C1-4AF8-93AB-18E221E31FFB}"/>
    <cellStyle name="Normal 45" xfId="112" xr:uid="{D09EF150-ABBB-4A76-84DC-C659ED98BC64}"/>
    <cellStyle name="Normal 46" xfId="113" xr:uid="{8B8E5ADC-6854-428A-BAF8-2F1FC96E4850}"/>
    <cellStyle name="Normal 47" xfId="116" xr:uid="{6A492BAE-7E8D-4441-85FD-B38440C79EE2}"/>
    <cellStyle name="Normal 5" xfId="60" xr:uid="{00000000-0005-0000-0000-000040000000}"/>
    <cellStyle name="Normal 5 2" xfId="67" xr:uid="{00000000-0005-0000-0000-000041000000}"/>
    <cellStyle name="Normal 6" xfId="61" xr:uid="{00000000-0005-0000-0000-000042000000}"/>
    <cellStyle name="Normal 6 2" xfId="68" xr:uid="{00000000-0005-0000-0000-000043000000}"/>
    <cellStyle name="Normal 7" xfId="62" xr:uid="{00000000-0005-0000-0000-000044000000}"/>
    <cellStyle name="Normal 7 2" xfId="69" xr:uid="{00000000-0005-0000-0000-000045000000}"/>
    <cellStyle name="Normal 8" xfId="63" xr:uid="{00000000-0005-0000-0000-000046000000}"/>
    <cellStyle name="Normal 8 2" xfId="70" xr:uid="{00000000-0005-0000-0000-000047000000}"/>
    <cellStyle name="Normal 9" xfId="64" xr:uid="{00000000-0005-0000-0000-000048000000}"/>
    <cellStyle name="Normal 9 2" xfId="71" xr:uid="{00000000-0005-0000-0000-000049000000}"/>
    <cellStyle name="Normal_FIN_8TH" xfId="26" xr:uid="{00000000-0005-0000-0000-00004A000000}"/>
    <cellStyle name="Normal_Table 1.0" xfId="27" xr:uid="{00000000-0005-0000-0000-00004B000000}"/>
    <cellStyle name="OddBodyShade" xfId="28" xr:uid="{00000000-0005-0000-0000-00004C000000}"/>
    <cellStyle name="Overscore" xfId="29" xr:uid="{00000000-0005-0000-0000-00004D000000}"/>
    <cellStyle name="Overunder" xfId="30" xr:uid="{00000000-0005-0000-0000-00004E000000}"/>
    <cellStyle name="P" xfId="31" xr:uid="{00000000-0005-0000-0000-00004F000000}"/>
    <cellStyle name="Percent" xfId="32" builtinId="5"/>
    <cellStyle name="Percent 2" xfId="111" xr:uid="{51AD5E9E-3D2F-4961-8FDF-7EAD0762D10B}"/>
    <cellStyle name="Percent 3" xfId="115" xr:uid="{2F996D3B-B576-4073-939F-C247DBC18E84}"/>
    <cellStyle name="Reg1" xfId="33" xr:uid="{00000000-0005-0000-0000-000051000000}"/>
    <cellStyle name="Reg2" xfId="34" xr:uid="{00000000-0005-0000-0000-000052000000}"/>
    <cellStyle name="Reg3" xfId="35" xr:uid="{00000000-0005-0000-0000-000053000000}"/>
    <cellStyle name="Reg4" xfId="36" xr:uid="{00000000-0005-0000-0000-000054000000}"/>
    <cellStyle name="Reg5" xfId="37" xr:uid="{00000000-0005-0000-0000-000055000000}"/>
    <cellStyle name="Reg6" xfId="38" xr:uid="{00000000-0005-0000-0000-000056000000}"/>
    <cellStyle name="Reg7" xfId="39" xr:uid="{00000000-0005-0000-0000-000057000000}"/>
    <cellStyle name="Reg8" xfId="40" xr:uid="{00000000-0005-0000-0000-000058000000}"/>
    <cellStyle name="Reg9" xfId="41" xr:uid="{00000000-0005-0000-0000-000059000000}"/>
    <cellStyle name="SpecialHeader" xfId="42" xr:uid="{00000000-0005-0000-0000-00005A000000}"/>
    <cellStyle name="SubHeader" xfId="43" xr:uid="{00000000-0005-0000-0000-00005B000000}"/>
    <cellStyle name="SubTotal" xfId="44" xr:uid="{00000000-0005-0000-0000-00005C000000}"/>
    <cellStyle name="T" xfId="45" xr:uid="{00000000-0005-0000-0000-00005D000000}"/>
    <cellStyle name="TIME" xfId="46" xr:uid="{00000000-0005-0000-0000-00005E000000}"/>
    <cellStyle name="Title1" xfId="47" xr:uid="{00000000-0005-0000-0000-00005F000000}"/>
    <cellStyle name="TitleOther" xfId="48" xr:uid="{00000000-0005-0000-0000-000060000000}"/>
    <cellStyle name="Total1" xfId="49" xr:uid="{00000000-0005-0000-0000-000061000000}"/>
    <cellStyle name="Total2" xfId="50" xr:uid="{00000000-0005-0000-0000-000062000000}"/>
    <cellStyle name="Total3" xfId="51" xr:uid="{00000000-0005-0000-0000-000063000000}"/>
    <cellStyle name="Total4" xfId="52" xr:uid="{00000000-0005-0000-0000-000064000000}"/>
    <cellStyle name="Total5" xfId="53" xr:uid="{00000000-0005-0000-0000-000065000000}"/>
    <cellStyle name="Total6" xfId="54" xr:uid="{00000000-0005-0000-0000-000066000000}"/>
    <cellStyle name="Total7" xfId="55" xr:uid="{00000000-0005-0000-0000-000067000000}"/>
    <cellStyle name="Total8" xfId="56" xr:uid="{00000000-0005-0000-0000-000068000000}"/>
    <cellStyle name="Total9" xfId="57" xr:uid="{00000000-0005-0000-0000-000069000000}"/>
    <cellStyle name="TotShade" xfId="58" xr:uid="{00000000-0005-0000-0000-00006A000000}"/>
    <cellStyle name="Underscore" xfId="59" xr:uid="{00000000-0005-0000-0000-00006B000000}"/>
  </cellStyles>
  <dxfs count="3">
    <dxf>
      <font>
        <b/>
        <i val="0"/>
        <condense val="0"/>
        <extend val="0"/>
      </font>
    </dxf>
    <dxf>
      <font>
        <condense val="0"/>
        <extend val="0"/>
        <color auto="1"/>
      </font>
      <fill>
        <patternFill>
          <bgColor indexed="9"/>
        </patternFill>
      </fill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condense val="0"/>
        <extend val="0"/>
        <color indexed="22"/>
      </font>
      <fill>
        <patternFill>
          <bgColor indexed="22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D9DCFD"/>
      <rgbColor rgb="00808000"/>
      <rgbColor rgb="00800080"/>
      <rgbColor rgb="00008080"/>
      <rgbColor rgb="00EAEAEA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000FF"/>
      <color rgb="FFD0D8F8"/>
      <color rgb="FFC0C1FC"/>
      <color rgb="FFFFFF99"/>
      <color rgb="FFFF3300"/>
      <color rgb="FFFFFF66"/>
      <color rgb="FFFFCCFF"/>
      <color rgb="FF0066FF"/>
      <color rgb="FF03871C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calcChain" Target="calcChain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2.xml"/><Relationship Id="rId42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styles" Target="styles.xml"/><Relationship Id="rId40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3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1.xml"/><Relationship Id="rId3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Rollover Schedule</a:t>
            </a:r>
          </a:p>
        </c:rich>
      </c:tx>
      <c:layout>
        <c:manualLayout>
          <c:xMode val="edge"/>
          <c:yMode val="edge"/>
          <c:x val="0.39634231696648164"/>
          <c:y val="3.831417624521072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2195146157159389"/>
          <c:y val="0.22605448565645245"/>
          <c:w val="0.76016411046293519"/>
          <c:h val="0.49425472287597172"/>
        </c:manualLayout>
      </c:layout>
      <c:barChart>
        <c:barDir val="col"/>
        <c:grouping val="clustered"/>
        <c:varyColors val="0"/>
        <c:ser>
          <c:idx val="1"/>
          <c:order val="0"/>
          <c:tx>
            <c:v>Sq.ft. Expiring</c:v>
          </c:tx>
          <c:spPr>
            <a:solidFill>
              <a:srgbClr val="993366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'Table 1.2'!$D$4:$L$4</c:f>
              <c:strCache>
                <c:ptCount val="9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  <c:pt idx="5">
                  <c:v>Yr 6</c:v>
                </c:pt>
                <c:pt idx="6">
                  <c:v>Yr 7</c:v>
                </c:pt>
                <c:pt idx="7">
                  <c:v>Yr 8</c:v>
                </c:pt>
                <c:pt idx="8">
                  <c:v>Yr 9</c:v>
                </c:pt>
              </c:strCache>
            </c:strRef>
          </c:cat>
          <c:val>
            <c:numRef>
              <c:f>'Table 1.2'!$D$22:$L$22</c:f>
              <c:numCache>
                <c:formatCode>#,##0</c:formatCode>
                <c:ptCount val="9"/>
                <c:pt idx="0">
                  <c:v>24000</c:v>
                </c:pt>
                <c:pt idx="1">
                  <c:v>0</c:v>
                </c:pt>
                <c:pt idx="2">
                  <c:v>19204</c:v>
                </c:pt>
                <c:pt idx="3">
                  <c:v>35000</c:v>
                </c:pt>
                <c:pt idx="4">
                  <c:v>0</c:v>
                </c:pt>
                <c:pt idx="5">
                  <c:v>43500</c:v>
                </c:pt>
                <c:pt idx="6">
                  <c:v>19500</c:v>
                </c:pt>
                <c:pt idx="7">
                  <c:v>11893</c:v>
                </c:pt>
                <c:pt idx="8">
                  <c:v>54204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22-481C-9B84-F6795D850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4908048"/>
        <c:axId val="1164910224"/>
      </c:barChart>
      <c:lineChart>
        <c:grouping val="standard"/>
        <c:varyColors val="0"/>
        <c:ser>
          <c:idx val="0"/>
          <c:order val="1"/>
          <c:tx>
            <c:v>% Expiring</c:v>
          </c:tx>
          <c:spPr>
            <a:ln w="38100">
              <a:solidFill>
                <a:srgbClr val="000080"/>
              </a:solidFill>
              <a:prstDash val="solid"/>
            </a:ln>
          </c:spPr>
          <c:marker>
            <c:symbol val="diamond"/>
            <c:size val="9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cat>
            <c:strRef>
              <c:f>'Table 1.2'!$D$4:$L$4</c:f>
              <c:strCache>
                <c:ptCount val="9"/>
                <c:pt idx="0">
                  <c:v>Yr 1</c:v>
                </c:pt>
                <c:pt idx="1">
                  <c:v>Yr 2</c:v>
                </c:pt>
                <c:pt idx="2">
                  <c:v>Yr 3</c:v>
                </c:pt>
                <c:pt idx="3">
                  <c:v>Yr 4</c:v>
                </c:pt>
                <c:pt idx="4">
                  <c:v>Yr 5</c:v>
                </c:pt>
                <c:pt idx="5">
                  <c:v>Yr 6</c:v>
                </c:pt>
                <c:pt idx="6">
                  <c:v>Yr 7</c:v>
                </c:pt>
                <c:pt idx="7">
                  <c:v>Yr 8</c:v>
                </c:pt>
                <c:pt idx="8">
                  <c:v>Yr 9</c:v>
                </c:pt>
              </c:strCache>
            </c:strRef>
          </c:cat>
          <c:val>
            <c:numRef>
              <c:f>'Table 1.2'!$D$23:$L$23</c:f>
              <c:numCache>
                <c:formatCode>#,##0.0%</c:formatCode>
                <c:ptCount val="9"/>
                <c:pt idx="0">
                  <c:v>0.18590672130258643</c:v>
                </c:pt>
                <c:pt idx="1">
                  <c:v>0</c:v>
                </c:pt>
                <c:pt idx="2">
                  <c:v>0.14875636149561958</c:v>
                </c:pt>
                <c:pt idx="3">
                  <c:v>0.27111396856627185</c:v>
                </c:pt>
                <c:pt idx="4">
                  <c:v>0</c:v>
                </c:pt>
                <c:pt idx="5">
                  <c:v>0.3369559323609379</c:v>
                </c:pt>
                <c:pt idx="6">
                  <c:v>0.15104921105835148</c:v>
                </c:pt>
                <c:pt idx="7">
                  <c:v>9.212452651881918E-2</c:v>
                </c:pt>
                <c:pt idx="8">
                  <c:v>0.41987033006189145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C22-481C-9B84-F6795D850F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64900976"/>
        <c:axId val="1164912944"/>
      </c:lineChart>
      <c:catAx>
        <c:axId val="1164908048"/>
        <c:scaling>
          <c:orientation val="minMax"/>
        </c:scaling>
        <c:delete val="0"/>
        <c:axPos val="b"/>
        <c:numFmt formatCode="General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64910224"/>
        <c:crosses val="autoZero"/>
        <c:auto val="0"/>
        <c:lblAlgn val="ctr"/>
        <c:lblOffset val="100"/>
        <c:tickLblSkip val="1"/>
        <c:tickMarkSkip val="1"/>
        <c:noMultiLvlLbl val="0"/>
      </c:catAx>
      <c:valAx>
        <c:axId val="1164910224"/>
        <c:scaling>
          <c:orientation val="minMax"/>
          <c:min val="0"/>
        </c:scaling>
        <c:delete val="0"/>
        <c:axPos val="l"/>
        <c:numFmt formatCode="#,##0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64908048"/>
        <c:crosses val="autoZero"/>
        <c:crossBetween val="between"/>
      </c:valAx>
      <c:catAx>
        <c:axId val="116490097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one"/>
        <c:crossAx val="1164912944"/>
        <c:crosses val="autoZero"/>
        <c:auto val="0"/>
        <c:lblAlgn val="ctr"/>
        <c:lblOffset val="100"/>
        <c:noMultiLvlLbl val="0"/>
      </c:catAx>
      <c:valAx>
        <c:axId val="1164912944"/>
        <c:scaling>
          <c:orientation val="minMax"/>
          <c:min val="0"/>
        </c:scaling>
        <c:delete val="0"/>
        <c:axPos val="r"/>
        <c:numFmt formatCode="#,##0.0%" sourceLinked="1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164900976"/>
        <c:crosses val="max"/>
        <c:crossBetween val="between"/>
      </c:valAx>
      <c:spPr>
        <a:noFill/>
        <a:ln w="12700">
          <a:solidFill>
            <a:srgbClr val="808080"/>
          </a:solidFill>
          <a:prstDash val="solid"/>
        </a:ln>
      </c:spPr>
    </c:plotArea>
    <c:legend>
      <c:legendPos val="b"/>
      <c:layout>
        <c:manualLayout>
          <c:xMode val="edge"/>
          <c:yMode val="edge"/>
          <c:x val="0.28861852634274937"/>
          <c:y val="0.8812292716284108"/>
          <c:w val="0.42683012184452773"/>
          <c:h val="9.19544252370767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45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0633" r="0.75000000000000633" t="1" header="0.5" footer="0.5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tmp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tmp"/><Relationship Id="rId3" Type="http://schemas.openxmlformats.org/officeDocument/2006/relationships/image" Target="../media/image4.tmp"/><Relationship Id="rId7" Type="http://schemas.openxmlformats.org/officeDocument/2006/relationships/image" Target="../media/image8.tmp"/><Relationship Id="rId12" Type="http://schemas.openxmlformats.org/officeDocument/2006/relationships/image" Target="../media/image13.png"/><Relationship Id="rId2" Type="http://schemas.openxmlformats.org/officeDocument/2006/relationships/image" Target="../media/image3.tmp"/><Relationship Id="rId1" Type="http://schemas.openxmlformats.org/officeDocument/2006/relationships/image" Target="../media/image2.tmp"/><Relationship Id="rId6" Type="http://schemas.openxmlformats.org/officeDocument/2006/relationships/image" Target="../media/image7.tmp"/><Relationship Id="rId11" Type="http://schemas.openxmlformats.org/officeDocument/2006/relationships/image" Target="../media/image12.png"/><Relationship Id="rId5" Type="http://schemas.openxmlformats.org/officeDocument/2006/relationships/image" Target="../media/image6.tmp"/><Relationship Id="rId10" Type="http://schemas.openxmlformats.org/officeDocument/2006/relationships/image" Target="../media/image11.tmp"/><Relationship Id="rId4" Type="http://schemas.openxmlformats.org/officeDocument/2006/relationships/image" Target="../media/image5.tmp"/><Relationship Id="rId9" Type="http://schemas.openxmlformats.org/officeDocument/2006/relationships/image" Target="../media/image10.tmp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4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561975</xdr:colOff>
      <xdr:row>36</xdr:row>
      <xdr:rowOff>47625</xdr:rowOff>
    </xdr:from>
    <xdr:to>
      <xdr:col>7</xdr:col>
      <xdr:colOff>733425</xdr:colOff>
      <xdr:row>51</xdr:row>
      <xdr:rowOff>104775</xdr:rowOff>
    </xdr:to>
    <xdr:graphicFrame macro="">
      <xdr:nvGraphicFramePr>
        <xdr:cNvPr id="2050" name="Chart 1">
          <a:extLst>
            <a:ext uri="{FF2B5EF4-FFF2-40B4-BE49-F238E27FC236}">
              <a16:creationId xmlns:a16="http://schemas.microsoft.com/office/drawing/2014/main" id="{00000000-0008-0000-0300-000002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2247900</xdr:colOff>
      <xdr:row>244</xdr:row>
      <xdr:rowOff>38100</xdr:rowOff>
    </xdr:from>
    <xdr:to>
      <xdr:col>17</xdr:col>
      <xdr:colOff>619125</xdr:colOff>
      <xdr:row>254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4182FBB-AB37-BCD3-C579-CB604ACA2F14}"/>
            </a:ext>
          </a:extLst>
        </xdr:cNvPr>
        <xdr:cNvSpPr txBox="1"/>
      </xdr:nvSpPr>
      <xdr:spPr>
        <a:xfrm>
          <a:off x="2819400" y="31537275"/>
          <a:ext cx="12763500" cy="17145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>
              <a:solidFill>
                <a:srgbClr val="FF0000"/>
              </a:solidFill>
            </a:rPr>
            <a:t>IGNORE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32</xdr:row>
      <xdr:rowOff>0</xdr:rowOff>
    </xdr:from>
    <xdr:to>
      <xdr:col>9</xdr:col>
      <xdr:colOff>473482</xdr:colOff>
      <xdr:row>72</xdr:row>
      <xdr:rowOff>134423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5018EE-9A12-4F47-8C76-C3E2786A29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9707880"/>
          <a:ext cx="7626757" cy="7382948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276225</xdr:colOff>
      <xdr:row>1</xdr:row>
      <xdr:rowOff>1</xdr:rowOff>
    </xdr:from>
    <xdr:to>
      <xdr:col>7</xdr:col>
      <xdr:colOff>282307</xdr:colOff>
      <xdr:row>17</xdr:row>
      <xdr:rowOff>95251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B85082-315C-4957-8CFC-B35F3297FC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065" y="182881"/>
          <a:ext cx="3661777" cy="298323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7</xdr:col>
      <xdr:colOff>514350</xdr:colOff>
      <xdr:row>1</xdr:row>
      <xdr:rowOff>0</xdr:rowOff>
    </xdr:from>
    <xdr:to>
      <xdr:col>12</xdr:col>
      <xdr:colOff>435713</xdr:colOff>
      <xdr:row>18</xdr:row>
      <xdr:rowOff>26670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68BF748-E9CD-4B37-A93F-21871E2406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96790" y="182880"/>
          <a:ext cx="2973173" cy="310705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85725</xdr:colOff>
      <xdr:row>21</xdr:row>
      <xdr:rowOff>0</xdr:rowOff>
    </xdr:from>
    <xdr:to>
      <xdr:col>11</xdr:col>
      <xdr:colOff>57678</xdr:colOff>
      <xdr:row>34</xdr:row>
      <xdr:rowOff>7620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AA75A58F-D9A7-4D5A-86DD-3FF58DFBB7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0565" y="3840480"/>
          <a:ext cx="6066048" cy="235648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95251</xdr:colOff>
      <xdr:row>92</xdr:row>
      <xdr:rowOff>47626</xdr:rowOff>
    </xdr:from>
    <xdr:to>
      <xdr:col>10</xdr:col>
      <xdr:colOff>326043</xdr:colOff>
      <xdr:row>118</xdr:row>
      <xdr:rowOff>142875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4A5E0B6B-A33A-4F6C-BC50-79612CD235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14376" y="17281526"/>
          <a:ext cx="5802917" cy="4965699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95250</xdr:colOff>
      <xdr:row>35</xdr:row>
      <xdr:rowOff>161925</xdr:rowOff>
    </xdr:from>
    <xdr:to>
      <xdr:col>6</xdr:col>
      <xdr:colOff>429904</xdr:colOff>
      <xdr:row>62</xdr:row>
      <xdr:rowOff>167640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70DFB71-B865-4356-8561-C11A6EBF18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090" y="6562725"/>
          <a:ext cx="3382654" cy="4890135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8</xdr:col>
      <xdr:colOff>0</xdr:colOff>
      <xdr:row>36</xdr:row>
      <xdr:rowOff>0</xdr:rowOff>
    </xdr:from>
    <xdr:to>
      <xdr:col>12</xdr:col>
      <xdr:colOff>440014</xdr:colOff>
      <xdr:row>63</xdr:row>
      <xdr:rowOff>40005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EC1FA21-40CB-4ED2-A936-30A39415BD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92040" y="6583680"/>
          <a:ext cx="2870794" cy="492633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14</xdr:col>
      <xdr:colOff>0</xdr:colOff>
      <xdr:row>36</xdr:row>
      <xdr:rowOff>0</xdr:rowOff>
    </xdr:from>
    <xdr:to>
      <xdr:col>21</xdr:col>
      <xdr:colOff>173563</xdr:colOff>
      <xdr:row>63</xdr:row>
      <xdr:rowOff>40005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6D87122-959D-4688-A661-10EE972520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9640" y="6583680"/>
          <a:ext cx="4433143" cy="492633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104775</xdr:colOff>
      <xdr:row>65</xdr:row>
      <xdr:rowOff>0</xdr:rowOff>
    </xdr:from>
    <xdr:to>
      <xdr:col>10</xdr:col>
      <xdr:colOff>169545</xdr:colOff>
      <xdr:row>89</xdr:row>
      <xdr:rowOff>98842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C49CB0F-9123-4D53-9E74-459E504345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9615" y="11887200"/>
          <a:ext cx="5553075" cy="4434622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0</xdr:colOff>
      <xdr:row>122</xdr:row>
      <xdr:rowOff>0</xdr:rowOff>
    </xdr:from>
    <xdr:to>
      <xdr:col>10</xdr:col>
      <xdr:colOff>380095</xdr:colOff>
      <xdr:row>147</xdr:row>
      <xdr:rowOff>139065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C21EB732-6BC1-46AB-AAD1-90E35D2A1F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4840" y="22311360"/>
          <a:ext cx="5866495" cy="466725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19050</xdr:colOff>
      <xdr:row>149</xdr:row>
      <xdr:rowOff>161925</xdr:rowOff>
    </xdr:from>
    <xdr:to>
      <xdr:col>10</xdr:col>
      <xdr:colOff>303547</xdr:colOff>
      <xdr:row>188</xdr:row>
      <xdr:rowOff>168754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49975AE-3C08-4C1C-9D8D-CD784856A1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3890" y="27411045"/>
          <a:ext cx="5774707" cy="7057234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</xdr:colOff>
      <xdr:row>203</xdr:row>
      <xdr:rowOff>1</xdr:rowOff>
    </xdr:from>
    <xdr:to>
      <xdr:col>10</xdr:col>
      <xdr:colOff>512334</xdr:colOff>
      <xdr:row>222</xdr:row>
      <xdr:rowOff>131446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564550A7-6014-4C58-81D4-86044276EF2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624841" y="37124641"/>
          <a:ext cx="5993018" cy="356997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  <xdr:twoCellAnchor editAs="oneCell">
    <xdr:from>
      <xdr:col>1</xdr:col>
      <xdr:colOff>1</xdr:colOff>
      <xdr:row>190</xdr:row>
      <xdr:rowOff>0</xdr:rowOff>
    </xdr:from>
    <xdr:to>
      <xdr:col>10</xdr:col>
      <xdr:colOff>325353</xdr:colOff>
      <xdr:row>201</xdr:row>
      <xdr:rowOff>78105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D1D85A99-F922-4915-9C4D-181D181C26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24841" y="34747200"/>
          <a:ext cx="5811752" cy="2068830"/>
        </a:xfrm>
        <a:prstGeom prst="rect">
          <a:avLst/>
        </a:prstGeom>
        <a:ln>
          <a:solidFill>
            <a:schemeClr val="accent1"/>
          </a:solidFill>
        </a:ln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</xdr:colOff>
      <xdr:row>2</xdr:row>
      <xdr:rowOff>0</xdr:rowOff>
    </xdr:from>
    <xdr:to>
      <xdr:col>21</xdr:col>
      <xdr:colOff>381000</xdr:colOff>
      <xdr:row>31</xdr:row>
      <xdr:rowOff>77080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D2ABD1-EEEE-0E37-9BFB-62EB7A731E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767331" y="324716"/>
          <a:ext cx="4661837" cy="4780925"/>
        </a:xfrm>
        <a:prstGeom prst="rect">
          <a:avLst/>
        </a:prstGeom>
        <a:noFill/>
        <a:ln>
          <a:solidFill>
            <a:schemeClr val="tx1"/>
          </a:solidFill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443630</xdr:colOff>
      <xdr:row>14</xdr:row>
      <xdr:rowOff>78289</xdr:rowOff>
    </xdr:from>
    <xdr:to>
      <xdr:col>18</xdr:col>
      <xdr:colOff>187020</xdr:colOff>
      <xdr:row>16</xdr:row>
      <xdr:rowOff>34794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D21AD6F9-22D9-DFE4-BF86-AD6618E225D4}"/>
            </a:ext>
          </a:extLst>
        </xdr:cNvPr>
        <xdr:cNvSpPr txBox="1"/>
      </xdr:nvSpPr>
      <xdr:spPr>
        <a:xfrm>
          <a:off x="10276624" y="2479502"/>
          <a:ext cx="353674" cy="275906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F2</a:t>
          </a:r>
        </a:p>
      </xdr:txBody>
    </xdr:sp>
    <xdr:clientData/>
  </xdr:twoCellAnchor>
  <xdr:twoCellAnchor>
    <xdr:from>
      <xdr:col>17</xdr:col>
      <xdr:colOff>436329</xdr:colOff>
      <xdr:row>16</xdr:row>
      <xdr:rowOff>31063</xdr:rowOff>
    </xdr:from>
    <xdr:to>
      <xdr:col>18</xdr:col>
      <xdr:colOff>179719</xdr:colOff>
      <xdr:row>17</xdr:row>
      <xdr:rowOff>147269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8111B004-7441-42EF-A56D-7278C838A496}"/>
            </a:ext>
          </a:extLst>
        </xdr:cNvPr>
        <xdr:cNvSpPr txBox="1"/>
      </xdr:nvSpPr>
      <xdr:spPr>
        <a:xfrm>
          <a:off x="10269323" y="2751677"/>
          <a:ext cx="353674" cy="275906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F1</a:t>
          </a:r>
        </a:p>
      </xdr:txBody>
    </xdr:sp>
    <xdr:clientData/>
  </xdr:twoCellAnchor>
  <xdr:twoCellAnchor>
    <xdr:from>
      <xdr:col>17</xdr:col>
      <xdr:colOff>440436</xdr:colOff>
      <xdr:row>18</xdr:row>
      <xdr:rowOff>948</xdr:rowOff>
    </xdr:from>
    <xdr:to>
      <xdr:col>18</xdr:col>
      <xdr:colOff>181938</xdr:colOff>
      <xdr:row>19</xdr:row>
      <xdr:rowOff>117153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6B2301DB-E49C-4192-B308-DEA62F8DA449}"/>
            </a:ext>
          </a:extLst>
        </xdr:cNvPr>
        <xdr:cNvSpPr txBox="1"/>
      </xdr:nvSpPr>
      <xdr:spPr>
        <a:xfrm>
          <a:off x="10875127" y="3051088"/>
          <a:ext cx="351530" cy="276739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R3</a:t>
          </a:r>
        </a:p>
      </xdr:txBody>
    </xdr:sp>
    <xdr:clientData/>
  </xdr:twoCellAnchor>
  <xdr:twoCellAnchor>
    <xdr:from>
      <xdr:col>17</xdr:col>
      <xdr:colOff>438839</xdr:colOff>
      <xdr:row>19</xdr:row>
      <xdr:rowOff>107719</xdr:rowOff>
    </xdr:from>
    <xdr:to>
      <xdr:col>18</xdr:col>
      <xdr:colOff>182229</xdr:colOff>
      <xdr:row>21</xdr:row>
      <xdr:rowOff>64224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269BDAEA-0EEB-4A66-B1B4-7167057E4F75}"/>
            </a:ext>
          </a:extLst>
        </xdr:cNvPr>
        <xdr:cNvSpPr txBox="1"/>
      </xdr:nvSpPr>
      <xdr:spPr>
        <a:xfrm>
          <a:off x="10271833" y="3307435"/>
          <a:ext cx="353674" cy="275906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R2</a:t>
          </a:r>
        </a:p>
      </xdr:txBody>
    </xdr:sp>
    <xdr:clientData/>
  </xdr:twoCellAnchor>
  <xdr:twoCellAnchor>
    <xdr:from>
      <xdr:col>17</xdr:col>
      <xdr:colOff>437242</xdr:colOff>
      <xdr:row>21</xdr:row>
      <xdr:rowOff>66197</xdr:rowOff>
    </xdr:from>
    <xdr:to>
      <xdr:col>18</xdr:col>
      <xdr:colOff>180632</xdr:colOff>
      <xdr:row>23</xdr:row>
      <xdr:rowOff>22702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86A86335-1D5A-47F5-A5D2-6C0CC1679D19}"/>
            </a:ext>
          </a:extLst>
        </xdr:cNvPr>
        <xdr:cNvSpPr txBox="1"/>
      </xdr:nvSpPr>
      <xdr:spPr>
        <a:xfrm>
          <a:off x="10270236" y="3585314"/>
          <a:ext cx="353674" cy="275906"/>
        </a:xfrm>
        <a:prstGeom prst="rect">
          <a:avLst/>
        </a:prstGeom>
        <a:solidFill>
          <a:schemeClr val="accen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R1</a:t>
          </a:r>
        </a:p>
      </xdr:txBody>
    </xdr:sp>
    <xdr:clientData/>
  </xdr:twoCellAnchor>
  <xdr:twoCellAnchor>
    <xdr:from>
      <xdr:col>15</xdr:col>
      <xdr:colOff>502843</xdr:colOff>
      <xdr:row>21</xdr:row>
      <xdr:rowOff>62856</xdr:rowOff>
    </xdr:from>
    <xdr:to>
      <xdr:col>17</xdr:col>
      <xdr:colOff>14505</xdr:colOff>
      <xdr:row>22</xdr:row>
      <xdr:rowOff>67691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B53BCA17-FC0D-83A8-02BB-CEC8F92568DF}"/>
            </a:ext>
          </a:extLst>
        </xdr:cNvPr>
        <xdr:cNvSpPr txBox="1"/>
      </xdr:nvSpPr>
      <xdr:spPr>
        <a:xfrm>
          <a:off x="9099518" y="3577919"/>
          <a:ext cx="730089" cy="164391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S1</a:t>
          </a:r>
        </a:p>
      </xdr:txBody>
    </xdr:sp>
    <xdr:clientData/>
  </xdr:twoCellAnchor>
  <xdr:twoCellAnchor>
    <xdr:from>
      <xdr:col>15</xdr:col>
      <xdr:colOff>495687</xdr:colOff>
      <xdr:row>20</xdr:row>
      <xdr:rowOff>60535</xdr:rowOff>
    </xdr:from>
    <xdr:to>
      <xdr:col>17</xdr:col>
      <xdr:colOff>7349</xdr:colOff>
      <xdr:row>21</xdr:row>
      <xdr:rowOff>65371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B7D7AF0D-6504-4121-8D69-DC1D7C59DA67}"/>
            </a:ext>
          </a:extLst>
        </xdr:cNvPr>
        <xdr:cNvSpPr txBox="1"/>
      </xdr:nvSpPr>
      <xdr:spPr>
        <a:xfrm>
          <a:off x="9092362" y="3416043"/>
          <a:ext cx="730089" cy="164391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S2</a:t>
          </a:r>
        </a:p>
      </xdr:txBody>
    </xdr:sp>
    <xdr:clientData/>
  </xdr:twoCellAnchor>
  <xdr:twoCellAnchor>
    <xdr:from>
      <xdr:col>15</xdr:col>
      <xdr:colOff>507872</xdr:colOff>
      <xdr:row>17</xdr:row>
      <xdr:rowOff>38874</xdr:rowOff>
    </xdr:from>
    <xdr:to>
      <xdr:col>17</xdr:col>
      <xdr:colOff>19534</xdr:colOff>
      <xdr:row>18</xdr:row>
      <xdr:rowOff>43709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88664245-8836-49C1-AA99-7BC3712DE9CE}"/>
            </a:ext>
          </a:extLst>
        </xdr:cNvPr>
        <xdr:cNvSpPr txBox="1"/>
      </xdr:nvSpPr>
      <xdr:spPr>
        <a:xfrm>
          <a:off x="9104547" y="2915714"/>
          <a:ext cx="730089" cy="164391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S3</a:t>
          </a:r>
        </a:p>
      </xdr:txBody>
    </xdr:sp>
    <xdr:clientData/>
  </xdr:twoCellAnchor>
  <xdr:twoCellAnchor>
    <xdr:from>
      <xdr:col>15</xdr:col>
      <xdr:colOff>505551</xdr:colOff>
      <xdr:row>16</xdr:row>
      <xdr:rowOff>41389</xdr:rowOff>
    </xdr:from>
    <xdr:to>
      <xdr:col>17</xdr:col>
      <xdr:colOff>17213</xdr:colOff>
      <xdr:row>17</xdr:row>
      <xdr:rowOff>46224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AA7EFD2C-A704-47C9-B592-65B0FDEC7D14}"/>
            </a:ext>
          </a:extLst>
        </xdr:cNvPr>
        <xdr:cNvSpPr txBox="1"/>
      </xdr:nvSpPr>
      <xdr:spPr>
        <a:xfrm>
          <a:off x="9102226" y="2758673"/>
          <a:ext cx="730089" cy="164391"/>
        </a:xfrm>
        <a:prstGeom prst="rect">
          <a:avLst/>
        </a:prstGeom>
        <a:solidFill>
          <a:srgbClr val="FF0000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S4</a:t>
          </a:r>
        </a:p>
      </xdr:txBody>
    </xdr:sp>
    <xdr:clientData/>
  </xdr:twoCellAnchor>
  <xdr:twoCellAnchor>
    <xdr:from>
      <xdr:col>18</xdr:col>
      <xdr:colOff>62901</xdr:colOff>
      <xdr:row>2</xdr:row>
      <xdr:rowOff>26957</xdr:rowOff>
    </xdr:from>
    <xdr:to>
      <xdr:col>18</xdr:col>
      <xdr:colOff>449292</xdr:colOff>
      <xdr:row>3</xdr:row>
      <xdr:rowOff>44929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C5D7C230-72E7-84A6-6DF9-468A183E12A0}"/>
            </a:ext>
          </a:extLst>
        </xdr:cNvPr>
        <xdr:cNvSpPr txBox="1"/>
      </xdr:nvSpPr>
      <xdr:spPr>
        <a:xfrm>
          <a:off x="11124481" y="350448"/>
          <a:ext cx="386391" cy="341462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V1</a:t>
          </a:r>
        </a:p>
      </xdr:txBody>
    </xdr:sp>
    <xdr:clientData/>
  </xdr:twoCellAnchor>
  <xdr:twoCellAnchor>
    <xdr:from>
      <xdr:col>18</xdr:col>
      <xdr:colOff>62541</xdr:colOff>
      <xdr:row>3</xdr:row>
      <xdr:rowOff>35584</xdr:rowOff>
    </xdr:from>
    <xdr:to>
      <xdr:col>18</xdr:col>
      <xdr:colOff>448932</xdr:colOff>
      <xdr:row>5</xdr:row>
      <xdr:rowOff>53555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E25D8202-B3B2-47AE-96F8-4C9DBD141261}"/>
            </a:ext>
          </a:extLst>
        </xdr:cNvPr>
        <xdr:cNvSpPr txBox="1"/>
      </xdr:nvSpPr>
      <xdr:spPr>
        <a:xfrm>
          <a:off x="11124121" y="682565"/>
          <a:ext cx="386391" cy="341462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V2</a:t>
          </a:r>
        </a:p>
      </xdr:txBody>
    </xdr:sp>
    <xdr:clientData/>
  </xdr:twoCellAnchor>
  <xdr:twoCellAnchor>
    <xdr:from>
      <xdr:col>18</xdr:col>
      <xdr:colOff>62181</xdr:colOff>
      <xdr:row>5</xdr:row>
      <xdr:rowOff>62182</xdr:rowOff>
    </xdr:from>
    <xdr:to>
      <xdr:col>18</xdr:col>
      <xdr:colOff>448572</xdr:colOff>
      <xdr:row>7</xdr:row>
      <xdr:rowOff>80154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08AA54DD-5F8A-4B73-8A38-9D3F7F480F9E}"/>
            </a:ext>
          </a:extLst>
        </xdr:cNvPr>
        <xdr:cNvSpPr txBox="1"/>
      </xdr:nvSpPr>
      <xdr:spPr>
        <a:xfrm>
          <a:off x="11123761" y="1032654"/>
          <a:ext cx="386391" cy="341462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V3</a:t>
          </a:r>
        </a:p>
      </xdr:txBody>
    </xdr:sp>
    <xdr:clientData/>
  </xdr:twoCellAnchor>
  <xdr:twoCellAnchor>
    <xdr:from>
      <xdr:col>18</xdr:col>
      <xdr:colOff>43850</xdr:colOff>
      <xdr:row>23</xdr:row>
      <xdr:rowOff>43851</xdr:rowOff>
    </xdr:from>
    <xdr:to>
      <xdr:col>18</xdr:col>
      <xdr:colOff>430241</xdr:colOff>
      <xdr:row>25</xdr:row>
      <xdr:rowOff>61823</xdr:rowOff>
    </xdr:to>
    <xdr:sp macro="" textlink="">
      <xdr:nvSpPr>
        <xdr:cNvPr id="22" name="TextBox 21">
          <a:extLst>
            <a:ext uri="{FF2B5EF4-FFF2-40B4-BE49-F238E27FC236}">
              <a16:creationId xmlns:a16="http://schemas.microsoft.com/office/drawing/2014/main" id="{B756C99E-1E81-4C52-9858-608A4FB87D74}"/>
            </a:ext>
          </a:extLst>
        </xdr:cNvPr>
        <xdr:cNvSpPr txBox="1"/>
      </xdr:nvSpPr>
      <xdr:spPr>
        <a:xfrm>
          <a:off x="11105430" y="3925738"/>
          <a:ext cx="386391" cy="341462"/>
        </a:xfrm>
        <a:prstGeom prst="rect">
          <a:avLst/>
        </a:prstGeom>
        <a:solidFill>
          <a:schemeClr val="accent4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100"/>
            <a:t>V4</a:t>
          </a:r>
        </a:p>
      </xdr:txBody>
    </xdr:sp>
    <xdr:clientData/>
  </xdr:twoCellAnchor>
  <xdr:twoCellAnchor>
    <xdr:from>
      <xdr:col>16</xdr:col>
      <xdr:colOff>135298</xdr:colOff>
      <xdr:row>18</xdr:row>
      <xdr:rowOff>59531</xdr:rowOff>
    </xdr:from>
    <xdr:to>
      <xdr:col>16</xdr:col>
      <xdr:colOff>135298</xdr:colOff>
      <xdr:row>20</xdr:row>
      <xdr:rowOff>70355</xdr:rowOff>
    </xdr:to>
    <xdr:cxnSp macro="">
      <xdr:nvCxnSpPr>
        <xdr:cNvPr id="6" name="Straight Arrow Connector 5">
          <a:extLst>
            <a:ext uri="{FF2B5EF4-FFF2-40B4-BE49-F238E27FC236}">
              <a16:creationId xmlns:a16="http://schemas.microsoft.com/office/drawing/2014/main" id="{19DCEBD0-7175-E5B3-19A8-2EDB5B779816}"/>
            </a:ext>
          </a:extLst>
        </xdr:cNvPr>
        <xdr:cNvCxnSpPr/>
      </xdr:nvCxnSpPr>
      <xdr:spPr>
        <a:xfrm>
          <a:off x="10125724" y="3144332"/>
          <a:ext cx="0" cy="3355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519545</xdr:colOff>
      <xdr:row>18</xdr:row>
      <xdr:rowOff>59531</xdr:rowOff>
    </xdr:from>
    <xdr:to>
      <xdr:col>16</xdr:col>
      <xdr:colOff>64943</xdr:colOff>
      <xdr:row>20</xdr:row>
      <xdr:rowOff>32472</xdr:rowOff>
    </xdr:to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22A3F81-9A84-47CE-6379-AAFD9596BE08}"/>
            </a:ext>
          </a:extLst>
        </xdr:cNvPr>
        <xdr:cNvSpPr txBox="1"/>
      </xdr:nvSpPr>
      <xdr:spPr>
        <a:xfrm>
          <a:off x="9898423" y="3144332"/>
          <a:ext cx="156946" cy="29765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n-US" sz="1100"/>
            <a:t>38"</a:t>
          </a:r>
        </a:p>
      </xdr:txBody>
    </xdr:sp>
    <xdr:clientData/>
  </xdr:twoCellAnchor>
  <xdr:twoCellAnchor>
    <xdr:from>
      <xdr:col>17</xdr:col>
      <xdr:colOff>38749</xdr:colOff>
      <xdr:row>16</xdr:row>
      <xdr:rowOff>17101</xdr:rowOff>
    </xdr:from>
    <xdr:to>
      <xdr:col>17</xdr:col>
      <xdr:colOff>374289</xdr:colOff>
      <xdr:row>16</xdr:row>
      <xdr:rowOff>17101</xdr:rowOff>
    </xdr:to>
    <xdr:cxnSp macro="">
      <xdr:nvCxnSpPr>
        <xdr:cNvPr id="8" name="Straight Arrow Connector 7">
          <a:extLst>
            <a:ext uri="{FF2B5EF4-FFF2-40B4-BE49-F238E27FC236}">
              <a16:creationId xmlns:a16="http://schemas.microsoft.com/office/drawing/2014/main" id="{18B0645D-6C21-466C-9392-0DFD1DDB4489}"/>
            </a:ext>
          </a:extLst>
        </xdr:cNvPr>
        <xdr:cNvCxnSpPr/>
      </xdr:nvCxnSpPr>
      <xdr:spPr>
        <a:xfrm rot="5400000">
          <a:off x="10808493" y="2609416"/>
          <a:ext cx="0" cy="3355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3571</xdr:colOff>
      <xdr:row>14</xdr:row>
      <xdr:rowOff>84752</xdr:rowOff>
    </xdr:from>
    <xdr:to>
      <xdr:col>17</xdr:col>
      <xdr:colOff>371582</xdr:colOff>
      <xdr:row>15</xdr:row>
      <xdr:rowOff>79340</xdr:rowOff>
    </xdr:to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8B99228D-AD9A-44A0-BBA2-78808AE64940}"/>
            </a:ext>
          </a:extLst>
        </xdr:cNvPr>
        <xdr:cNvSpPr txBox="1"/>
      </xdr:nvSpPr>
      <xdr:spPr>
        <a:xfrm rot="5400000">
          <a:off x="10711078" y="2414588"/>
          <a:ext cx="156946" cy="3680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n-US" sz="1100"/>
            <a:t>38"</a:t>
          </a:r>
        </a:p>
      </xdr:txBody>
    </xdr:sp>
    <xdr:clientData/>
  </xdr:twoCellAnchor>
  <xdr:twoCellAnchor>
    <xdr:from>
      <xdr:col>17</xdr:col>
      <xdr:colOff>406761</xdr:colOff>
      <xdr:row>23</xdr:row>
      <xdr:rowOff>49573</xdr:rowOff>
    </xdr:from>
    <xdr:to>
      <xdr:col>17</xdr:col>
      <xdr:colOff>406761</xdr:colOff>
      <xdr:row>25</xdr:row>
      <xdr:rowOff>60397</xdr:rowOff>
    </xdr:to>
    <xdr:cxnSp macro="">
      <xdr:nvCxnSpPr>
        <xdr:cNvPr id="23" name="Straight Arrow Connector 22">
          <a:extLst>
            <a:ext uri="{FF2B5EF4-FFF2-40B4-BE49-F238E27FC236}">
              <a16:creationId xmlns:a16="http://schemas.microsoft.com/office/drawing/2014/main" id="{1274720D-8D1A-4A6F-AFB0-C72CC60DDB19}"/>
            </a:ext>
          </a:extLst>
        </xdr:cNvPr>
        <xdr:cNvCxnSpPr/>
      </xdr:nvCxnSpPr>
      <xdr:spPr>
        <a:xfrm>
          <a:off x="11008735" y="3946164"/>
          <a:ext cx="0" cy="33554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179460</xdr:colOff>
      <xdr:row>23</xdr:row>
      <xdr:rowOff>22514</xdr:rowOff>
    </xdr:from>
    <xdr:to>
      <xdr:col>17</xdr:col>
      <xdr:colOff>336406</xdr:colOff>
      <xdr:row>25</xdr:row>
      <xdr:rowOff>65809</xdr:rowOff>
    </xdr:to>
    <xdr:sp macro="" textlink="">
      <xdr:nvSpPr>
        <xdr:cNvPr id="24" name="TextBox 23">
          <a:extLst>
            <a:ext uri="{FF2B5EF4-FFF2-40B4-BE49-F238E27FC236}">
              <a16:creationId xmlns:a16="http://schemas.microsoft.com/office/drawing/2014/main" id="{43E169F5-F0D5-4339-905B-2CCCD12170B0}"/>
            </a:ext>
          </a:extLst>
        </xdr:cNvPr>
        <xdr:cNvSpPr txBox="1"/>
      </xdr:nvSpPr>
      <xdr:spPr>
        <a:xfrm>
          <a:off x="10781434" y="3919105"/>
          <a:ext cx="156946" cy="36801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n-US" sz="1100"/>
            <a:t>38"</a:t>
          </a:r>
        </a:p>
      </xdr:txBody>
    </xdr:sp>
    <xdr:clientData/>
  </xdr:twoCellAnchor>
  <xdr:twoCellAnchor>
    <xdr:from>
      <xdr:col>16</xdr:col>
      <xdr:colOff>272328</xdr:colOff>
      <xdr:row>22</xdr:row>
      <xdr:rowOff>75767</xdr:rowOff>
    </xdr:from>
    <xdr:to>
      <xdr:col>16</xdr:col>
      <xdr:colOff>272328</xdr:colOff>
      <xdr:row>25</xdr:row>
      <xdr:rowOff>77498</xdr:rowOff>
    </xdr:to>
    <xdr:cxnSp macro="">
      <xdr:nvCxnSpPr>
        <xdr:cNvPr id="25" name="Straight Arrow Connector 24">
          <a:extLst>
            <a:ext uri="{FF2B5EF4-FFF2-40B4-BE49-F238E27FC236}">
              <a16:creationId xmlns:a16="http://schemas.microsoft.com/office/drawing/2014/main" id="{4CEFAAD2-72E3-4D71-B5B1-6BF14AF5D645}"/>
            </a:ext>
          </a:extLst>
        </xdr:cNvPr>
        <xdr:cNvCxnSpPr/>
      </xdr:nvCxnSpPr>
      <xdr:spPr>
        <a:xfrm>
          <a:off x="10262754" y="3810000"/>
          <a:ext cx="0" cy="488805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50439</xdr:colOff>
      <xdr:row>23</xdr:row>
      <xdr:rowOff>16236</xdr:rowOff>
    </xdr:from>
    <xdr:to>
      <xdr:col>16</xdr:col>
      <xdr:colOff>207385</xdr:colOff>
      <xdr:row>24</xdr:row>
      <xdr:rowOff>158677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A702FEC5-E39E-42F0-AFF4-CC353FF293B4}"/>
            </a:ext>
          </a:extLst>
        </xdr:cNvPr>
        <xdr:cNvSpPr txBox="1"/>
      </xdr:nvSpPr>
      <xdr:spPr>
        <a:xfrm>
          <a:off x="10040865" y="3912827"/>
          <a:ext cx="156946" cy="3047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n-US" sz="1100"/>
            <a:t>52"</a:t>
          </a:r>
        </a:p>
      </xdr:txBody>
    </xdr:sp>
    <xdr:clientData/>
  </xdr:twoCellAnchor>
  <xdr:twoCellAnchor>
    <xdr:from>
      <xdr:col>15</xdr:col>
      <xdr:colOff>482527</xdr:colOff>
      <xdr:row>16</xdr:row>
      <xdr:rowOff>50853</xdr:rowOff>
    </xdr:from>
    <xdr:to>
      <xdr:col>15</xdr:col>
      <xdr:colOff>482527</xdr:colOff>
      <xdr:row>18</xdr:row>
      <xdr:rowOff>27925</xdr:rowOff>
    </xdr:to>
    <xdr:cxnSp macro="">
      <xdr:nvCxnSpPr>
        <xdr:cNvPr id="28" name="Straight Arrow Connector 27">
          <a:extLst>
            <a:ext uri="{FF2B5EF4-FFF2-40B4-BE49-F238E27FC236}">
              <a16:creationId xmlns:a16="http://schemas.microsoft.com/office/drawing/2014/main" id="{C79E7EB5-95F0-4052-A817-92290050C158}"/>
            </a:ext>
          </a:extLst>
        </xdr:cNvPr>
        <xdr:cNvCxnSpPr/>
      </xdr:nvCxnSpPr>
      <xdr:spPr>
        <a:xfrm>
          <a:off x="9861405" y="2810938"/>
          <a:ext cx="0" cy="30178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255226</xdr:colOff>
      <xdr:row>16</xdr:row>
      <xdr:rowOff>27060</xdr:rowOff>
    </xdr:from>
    <xdr:to>
      <xdr:col>15</xdr:col>
      <xdr:colOff>412172</xdr:colOff>
      <xdr:row>18</xdr:row>
      <xdr:rowOff>33337</xdr:rowOff>
    </xdr:to>
    <xdr:sp macro="" textlink="">
      <xdr:nvSpPr>
        <xdr:cNvPr id="29" name="TextBox 28">
          <a:extLst>
            <a:ext uri="{FF2B5EF4-FFF2-40B4-BE49-F238E27FC236}">
              <a16:creationId xmlns:a16="http://schemas.microsoft.com/office/drawing/2014/main" id="{D92D6706-45C2-49B7-A1FC-1649D4A13608}"/>
            </a:ext>
          </a:extLst>
        </xdr:cNvPr>
        <xdr:cNvSpPr txBox="1"/>
      </xdr:nvSpPr>
      <xdr:spPr>
        <a:xfrm>
          <a:off x="9634104" y="2787145"/>
          <a:ext cx="156946" cy="3309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n-US" sz="1100"/>
            <a:t>30"</a:t>
          </a:r>
        </a:p>
      </xdr:txBody>
    </xdr:sp>
    <xdr:clientData/>
  </xdr:twoCellAnchor>
  <xdr:twoCellAnchor>
    <xdr:from>
      <xdr:col>15</xdr:col>
      <xdr:colOff>461745</xdr:colOff>
      <xdr:row>20</xdr:row>
      <xdr:rowOff>84190</xdr:rowOff>
    </xdr:from>
    <xdr:to>
      <xdr:col>15</xdr:col>
      <xdr:colOff>461745</xdr:colOff>
      <xdr:row>22</xdr:row>
      <xdr:rowOff>61262</xdr:rowOff>
    </xdr:to>
    <xdr:cxnSp macro="">
      <xdr:nvCxnSpPr>
        <xdr:cNvPr id="35" name="Straight Arrow Connector 34">
          <a:extLst>
            <a:ext uri="{FF2B5EF4-FFF2-40B4-BE49-F238E27FC236}">
              <a16:creationId xmlns:a16="http://schemas.microsoft.com/office/drawing/2014/main" id="{C0F00480-5406-4AD9-84F3-DA2E98F43BD6}"/>
            </a:ext>
          </a:extLst>
        </xdr:cNvPr>
        <xdr:cNvCxnSpPr/>
      </xdr:nvCxnSpPr>
      <xdr:spPr>
        <a:xfrm>
          <a:off x="9840623" y="3493707"/>
          <a:ext cx="0" cy="301788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234444</xdr:colOff>
      <xdr:row>20</xdr:row>
      <xdr:rowOff>60397</xdr:rowOff>
    </xdr:from>
    <xdr:to>
      <xdr:col>15</xdr:col>
      <xdr:colOff>391390</xdr:colOff>
      <xdr:row>22</xdr:row>
      <xdr:rowOff>66674</xdr:rowOff>
    </xdr:to>
    <xdr:sp macro="" textlink="">
      <xdr:nvSpPr>
        <xdr:cNvPr id="36" name="TextBox 35">
          <a:extLst>
            <a:ext uri="{FF2B5EF4-FFF2-40B4-BE49-F238E27FC236}">
              <a16:creationId xmlns:a16="http://schemas.microsoft.com/office/drawing/2014/main" id="{494A7D3F-93C9-41E2-B1C2-D6E0086C11F5}"/>
            </a:ext>
          </a:extLst>
        </xdr:cNvPr>
        <xdr:cNvSpPr txBox="1"/>
      </xdr:nvSpPr>
      <xdr:spPr>
        <a:xfrm>
          <a:off x="9613322" y="3469914"/>
          <a:ext cx="156946" cy="330993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n-US" sz="1100"/>
            <a:t>30"</a:t>
          </a:r>
        </a:p>
      </xdr:txBody>
    </xdr:sp>
    <xdr:clientData/>
  </xdr:twoCellAnchor>
  <xdr:twoCellAnchor>
    <xdr:from>
      <xdr:col>15</xdr:col>
      <xdr:colOff>505041</xdr:colOff>
      <xdr:row>15</xdr:row>
      <xdr:rowOff>158679</xdr:rowOff>
    </xdr:from>
    <xdr:to>
      <xdr:col>17</xdr:col>
      <xdr:colOff>27930</xdr:colOff>
      <xdr:row>15</xdr:row>
      <xdr:rowOff>158679</xdr:rowOff>
    </xdr:to>
    <xdr:cxnSp macro="">
      <xdr:nvCxnSpPr>
        <xdr:cNvPr id="37" name="Straight Arrow Connector 36">
          <a:extLst>
            <a:ext uri="{FF2B5EF4-FFF2-40B4-BE49-F238E27FC236}">
              <a16:creationId xmlns:a16="http://schemas.microsoft.com/office/drawing/2014/main" id="{AA47195E-2B22-4398-8351-02C3358100EE}"/>
            </a:ext>
          </a:extLst>
        </xdr:cNvPr>
        <xdr:cNvCxnSpPr/>
      </xdr:nvCxnSpPr>
      <xdr:spPr>
        <a:xfrm flipH="1">
          <a:off x="9883919" y="2756406"/>
          <a:ext cx="745985" cy="0"/>
        </a:xfrm>
        <a:prstGeom prst="straightConnector1">
          <a:avLst/>
        </a:prstGeom>
        <a:ln>
          <a:headEnd type="triangle"/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37883</xdr:colOff>
      <xdr:row>14</xdr:row>
      <xdr:rowOff>63972</xdr:rowOff>
    </xdr:from>
    <xdr:to>
      <xdr:col>16</xdr:col>
      <xdr:colOff>362600</xdr:colOff>
      <xdr:row>15</xdr:row>
      <xdr:rowOff>58560</xdr:rowOff>
    </xdr:to>
    <xdr:sp macro="" textlink="">
      <xdr:nvSpPr>
        <xdr:cNvPr id="38" name="TextBox 37">
          <a:extLst>
            <a:ext uri="{FF2B5EF4-FFF2-40B4-BE49-F238E27FC236}">
              <a16:creationId xmlns:a16="http://schemas.microsoft.com/office/drawing/2014/main" id="{D63223A7-97DE-49EB-A3FF-A56B1275C51D}"/>
            </a:ext>
          </a:extLst>
        </xdr:cNvPr>
        <xdr:cNvSpPr txBox="1"/>
      </xdr:nvSpPr>
      <xdr:spPr>
        <a:xfrm rot="5400000">
          <a:off x="10112195" y="2415455"/>
          <a:ext cx="156946" cy="32471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vert270" wrap="square" rtlCol="0" anchor="ctr"/>
        <a:lstStyle/>
        <a:p>
          <a:pPr algn="ctr"/>
          <a:r>
            <a:rPr lang="en-US" sz="1100"/>
            <a:t>72"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95250</xdr:colOff>
      <xdr:row>4</xdr:row>
      <xdr:rowOff>57150</xdr:rowOff>
    </xdr:from>
    <xdr:to>
      <xdr:col>21</xdr:col>
      <xdr:colOff>325433</xdr:colOff>
      <xdr:row>19</xdr:row>
      <xdr:rowOff>9857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74A5296-66A2-E377-9F63-8FB91A9DB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8150" y="704850"/>
          <a:ext cx="11345858" cy="2381582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95250</xdr:colOff>
      <xdr:row>21</xdr:row>
      <xdr:rowOff>66675</xdr:rowOff>
    </xdr:from>
    <xdr:to>
      <xdr:col>18</xdr:col>
      <xdr:colOff>449020</xdr:colOff>
      <xdr:row>33</xdr:row>
      <xdr:rowOff>28841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AAC399A-9D12-932F-7C29-6552E01968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38150" y="3467100"/>
          <a:ext cx="9640645" cy="190526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3</xdr:col>
      <xdr:colOff>76200</xdr:colOff>
      <xdr:row>37</xdr:row>
      <xdr:rowOff>53050</xdr:rowOff>
    </xdr:from>
    <xdr:to>
      <xdr:col>14</xdr:col>
      <xdr:colOff>409575</xdr:colOff>
      <xdr:row>75</xdr:row>
      <xdr:rowOff>48718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8234846-801D-787C-2503-9E93A619EC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19100" y="5720425"/>
          <a:ext cx="7038975" cy="6148818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  <xdr:twoCellAnchor editAs="oneCell">
    <xdr:from>
      <xdr:col>2</xdr:col>
      <xdr:colOff>28575</xdr:colOff>
      <xdr:row>84</xdr:row>
      <xdr:rowOff>19050</xdr:rowOff>
    </xdr:from>
    <xdr:to>
      <xdr:col>15</xdr:col>
      <xdr:colOff>182033</xdr:colOff>
      <xdr:row>98</xdr:row>
      <xdr:rowOff>9840</xdr:rowOff>
    </xdr:to>
    <xdr:pic>
      <xdr:nvPicPr>
        <xdr:cNvPr id="5" name="Picture 4" descr="A screenshot of a web page&#10;&#10;Description automatically generated">
          <a:extLst>
            <a:ext uri="{FF2B5EF4-FFF2-40B4-BE49-F238E27FC236}">
              <a16:creationId xmlns:a16="http://schemas.microsoft.com/office/drawing/2014/main" id="{5885D924-2BF8-707A-B988-FDE1F7882D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7175" y="13649325"/>
          <a:ext cx="7582958" cy="2257740"/>
        </a:xfrm>
        <a:prstGeom prst="rect">
          <a:avLst/>
        </a:prstGeom>
      </xdr:spPr>
    </xdr:pic>
    <xdr:clientData/>
  </xdr:twoCellAnchor>
  <xdr:twoCellAnchor editAs="oneCell">
    <xdr:from>
      <xdr:col>2</xdr:col>
      <xdr:colOff>19050</xdr:colOff>
      <xdr:row>100</xdr:row>
      <xdr:rowOff>104775</xdr:rowOff>
    </xdr:from>
    <xdr:to>
      <xdr:col>14</xdr:col>
      <xdr:colOff>458213</xdr:colOff>
      <xdr:row>116</xdr:row>
      <xdr:rowOff>152768</xdr:rowOff>
    </xdr:to>
    <xdr:pic>
      <xdr:nvPicPr>
        <xdr:cNvPr id="6" name="Picture 5" descr="A screenshot of a text message&#10;&#10;Description automatically generated">
          <a:extLst>
            <a:ext uri="{FF2B5EF4-FFF2-40B4-BE49-F238E27FC236}">
              <a16:creationId xmlns:a16="http://schemas.microsoft.com/office/drawing/2014/main" id="{B18A7D04-7FDE-F9A1-2D6F-0DC790AF96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7650" y="16325850"/>
          <a:ext cx="7259063" cy="2638793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120</xdr:row>
      <xdr:rowOff>0</xdr:rowOff>
    </xdr:from>
    <xdr:to>
      <xdr:col>20</xdr:col>
      <xdr:colOff>573062</xdr:colOff>
      <xdr:row>150</xdr:row>
      <xdr:rowOff>19731</xdr:rowOff>
    </xdr:to>
    <xdr:pic>
      <xdr:nvPicPr>
        <xdr:cNvPr id="8" name="Picture 7" descr="A close-up of a document&#10;&#10;Description automatically generated">
          <a:extLst>
            <a:ext uri="{FF2B5EF4-FFF2-40B4-BE49-F238E27FC236}">
              <a16:creationId xmlns:a16="http://schemas.microsoft.com/office/drawing/2014/main" id="{F4C262E2-AB0B-2824-39A5-962640E461B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8600" y="19459575"/>
          <a:ext cx="11193437" cy="4877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mbolgx620\HAI\Documents%20and%20Settings\simbol.LOS-ANGELES\My%20Documents\HAI\New%20Properties\Orchard%20Centre\Due%20Dil\Financials\Prelim%20Undwtg%20Orchard%20Ct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Shared%20Folders\05%20-%20Admin\02.01%20-%20Standard%20Docs%20and%20Forms\01%20-%20Loan%20Process\06%20-%20Long%20and%20Short%20Budget%20Templates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imbolgx620\HAI\Documents%20and%20Settings\ngonzales\Local%20Settings\Temporary%20Internet%20Files\42206746168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FCPRELM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in House"/>
      <sheetName val="Short Cost"/>
      <sheetName val="Long Cost"/>
    </sheetNames>
    <sheetDataSet>
      <sheetData sheetId="0" refreshError="1"/>
      <sheetData sheetId="1" refreshError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emplat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13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21.xml.rels><?xml version="1.0" encoding="UTF-8" standalone="yes"?>
<Relationships xmlns="http://schemas.openxmlformats.org/package/2006/relationships"><Relationship Id="rId8" Type="http://schemas.openxmlformats.org/officeDocument/2006/relationships/hyperlink" Target="https://master-bilt.com/product_category/endless-display-cases-with-remote-refrigeration/" TargetMode="External"/><Relationship Id="rId13" Type="http://schemas.openxmlformats.org/officeDocument/2006/relationships/drawing" Target="../drawings/drawing3.xml"/><Relationship Id="rId3" Type="http://schemas.openxmlformats.org/officeDocument/2006/relationships/hyperlink" Target="https://www.uselectit.com/" TargetMode="External"/><Relationship Id="rId7" Type="http://schemas.openxmlformats.org/officeDocument/2006/relationships/hyperlink" Target="https://master-bilt.com/product_category/endless-display-cases-with-remote-refrigeration/" TargetMode="External"/><Relationship Id="rId12" Type="http://schemas.openxmlformats.org/officeDocument/2006/relationships/hyperlink" Target="https://www.webstaurantstore.com/regency-49-1-2-16-gauge-stainless-steel-one-compartment-commercial-sink-with-stainless-steel-legs-cross-bracing-and-1-drainboard-23-x-23-x-12-bowl/60S1232324XL.html?utm_source=google&amp;utm_medium=cpc&amp;utm_campaign=GoogleShopping&amp;gclid=EAIaIQobChMI_PDJwKXxhAMVLwutBh2oHAL_EAQYBCABEgJD_fD_BwE" TargetMode="External"/><Relationship Id="rId2" Type="http://schemas.openxmlformats.org/officeDocument/2006/relationships/hyperlink" Target="https://www.novanni.ca/product/novanni-commercial-9509-316/" TargetMode="External"/><Relationship Id="rId1" Type="http://schemas.openxmlformats.org/officeDocument/2006/relationships/hyperlink" Target="https://www.speedqueensales.com.au/products/stack-washers-dryers/coin-operated-stack-washer-dryer-stenxa-stgnxa/" TargetMode="External"/><Relationship Id="rId6" Type="http://schemas.openxmlformats.org/officeDocument/2006/relationships/hyperlink" Target="https://www.restaurantsupply.com/true-t-35-hc-t-series-reach-in-two-section-refrigerator-w-two-solid-swing-doors-and-six-pvc-coated-shelves" TargetMode="External"/><Relationship Id="rId11" Type="http://schemas.openxmlformats.org/officeDocument/2006/relationships/hyperlink" Target="https://www.amerigas.com/propane-retailer/partner/propane-tank-exchange" TargetMode="External"/><Relationship Id="rId5" Type="http://schemas.openxmlformats.org/officeDocument/2006/relationships/hyperlink" Target="https://www.uselectit.com/" TargetMode="External"/><Relationship Id="rId10" Type="http://schemas.openxmlformats.org/officeDocument/2006/relationships/hyperlink" Target="https://everesticeandwater.com/equipment/free-guides/" TargetMode="External"/><Relationship Id="rId4" Type="http://schemas.openxmlformats.org/officeDocument/2006/relationships/hyperlink" Target="https://www.uselectit.com/" TargetMode="External"/><Relationship Id="rId9" Type="http://schemas.openxmlformats.org/officeDocument/2006/relationships/hyperlink" Target="https://www.vendrite.com/product/vision-vender/" TargetMode="Externa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K37"/>
  <sheetViews>
    <sheetView workbookViewId="0"/>
  </sheetViews>
  <sheetFormatPr defaultColWidth="9.109375" defaultRowHeight="13.2" x14ac:dyDescent="0.25"/>
  <cols>
    <col min="1" max="1" width="3.109375" style="4" customWidth="1"/>
    <col min="2" max="2" width="26.44140625" style="4" customWidth="1"/>
    <col min="3" max="3" width="22.109375" style="4" customWidth="1"/>
    <col min="4" max="4" width="2.109375" style="254" customWidth="1"/>
    <col min="5" max="5" width="34.77734375" style="4" customWidth="1"/>
    <col min="6" max="6" width="16.44140625" style="4" customWidth="1"/>
    <col min="7" max="7" width="0" style="4" hidden="1" customWidth="1"/>
    <col min="8" max="8" width="10.44140625" style="4" hidden="1" customWidth="1"/>
    <col min="9" max="9" width="13.77734375" style="4" customWidth="1"/>
    <col min="10" max="10" width="9.109375" style="4" bestFit="1"/>
    <col min="11" max="16384" width="9.109375" style="4"/>
  </cols>
  <sheetData>
    <row r="1" spans="1:11" x14ac:dyDescent="0.25">
      <c r="A1" s="198" t="s">
        <v>174</v>
      </c>
      <c r="D1" s="198" t="s">
        <v>173</v>
      </c>
    </row>
    <row r="2" spans="1:11" x14ac:dyDescent="0.25">
      <c r="B2" s="198"/>
      <c r="D2" s="250"/>
    </row>
    <row r="3" spans="1:11" ht="39.6" x14ac:dyDescent="0.25">
      <c r="A3" s="251" t="s">
        <v>175</v>
      </c>
      <c r="B3" s="252"/>
      <c r="C3" s="253"/>
      <c r="E3" s="255" t="s">
        <v>209</v>
      </c>
      <c r="F3" s="305" t="s">
        <v>104</v>
      </c>
      <c r="G3" s="253" t="s">
        <v>176</v>
      </c>
      <c r="H3" s="253" t="s">
        <v>177</v>
      </c>
      <c r="I3" s="297" t="s">
        <v>221</v>
      </c>
    </row>
    <row r="4" spans="1:11" x14ac:dyDescent="0.25">
      <c r="A4" s="256" t="s">
        <v>178</v>
      </c>
      <c r="C4" s="257">
        <v>38534</v>
      </c>
      <c r="D4" s="258"/>
      <c r="E4" s="256" t="s">
        <v>179</v>
      </c>
      <c r="F4" s="306">
        <v>0.75</v>
      </c>
      <c r="G4" s="259">
        <v>0.7</v>
      </c>
      <c r="H4" s="259">
        <v>0.8</v>
      </c>
      <c r="I4" s="298">
        <v>0.75</v>
      </c>
    </row>
    <row r="5" spans="1:11" x14ac:dyDescent="0.25">
      <c r="A5" s="256" t="s">
        <v>180</v>
      </c>
      <c r="C5" s="260">
        <v>129097</v>
      </c>
      <c r="E5" s="256" t="s">
        <v>222</v>
      </c>
      <c r="F5" s="307">
        <v>0.55000000000000004</v>
      </c>
      <c r="G5" s="261">
        <v>15</v>
      </c>
      <c r="H5" s="261">
        <v>27</v>
      </c>
      <c r="I5" s="300">
        <v>0.4</v>
      </c>
      <c r="J5" s="141"/>
      <c r="K5" s="49"/>
    </row>
    <row r="6" spans="1:11" x14ac:dyDescent="0.25">
      <c r="A6" s="256" t="s">
        <v>181</v>
      </c>
      <c r="C6" s="262">
        <v>0.03</v>
      </c>
      <c r="E6" s="256" t="s">
        <v>223</v>
      </c>
      <c r="F6" s="307">
        <v>0.55000000000000004</v>
      </c>
      <c r="G6" s="261">
        <v>17</v>
      </c>
      <c r="H6" s="261">
        <v>27</v>
      </c>
      <c r="I6" s="300">
        <v>0.4</v>
      </c>
      <c r="J6" s="49"/>
      <c r="K6" s="49"/>
    </row>
    <row r="7" spans="1:11" x14ac:dyDescent="0.25">
      <c r="A7" s="256" t="s">
        <v>4</v>
      </c>
      <c r="C7" s="263">
        <v>0.03</v>
      </c>
      <c r="E7" s="256" t="s">
        <v>182</v>
      </c>
      <c r="F7" s="308">
        <v>6</v>
      </c>
      <c r="G7" s="219">
        <v>9</v>
      </c>
      <c r="H7" s="219">
        <v>9</v>
      </c>
      <c r="I7" s="299">
        <v>9</v>
      </c>
      <c r="J7" s="49"/>
      <c r="K7" s="49"/>
    </row>
    <row r="8" spans="1:11" x14ac:dyDescent="0.25">
      <c r="A8" s="256" t="s">
        <v>183</v>
      </c>
      <c r="C8" s="261">
        <v>2.516348172304546</v>
      </c>
      <c r="E8" s="256" t="s">
        <v>8</v>
      </c>
      <c r="F8" s="309"/>
      <c r="G8" s="264"/>
      <c r="H8" s="264"/>
      <c r="I8" s="299"/>
      <c r="J8" s="49"/>
      <c r="K8" s="49"/>
    </row>
    <row r="9" spans="1:11" x14ac:dyDescent="0.25">
      <c r="A9" s="256" t="s">
        <v>184</v>
      </c>
      <c r="C9" s="265">
        <v>1000000</v>
      </c>
      <c r="E9" s="266" t="s">
        <v>185</v>
      </c>
      <c r="F9" s="307">
        <v>8</v>
      </c>
      <c r="G9" s="261">
        <v>20</v>
      </c>
      <c r="H9" s="261">
        <v>20</v>
      </c>
      <c r="I9" s="300">
        <v>4</v>
      </c>
      <c r="J9" s="49"/>
      <c r="K9" s="49"/>
    </row>
    <row r="10" spans="1:11" x14ac:dyDescent="0.25">
      <c r="A10" s="256" t="s">
        <v>186</v>
      </c>
      <c r="C10" s="261">
        <v>0.1545</v>
      </c>
      <c r="E10" s="266" t="s">
        <v>187</v>
      </c>
      <c r="F10" s="307">
        <v>2</v>
      </c>
      <c r="G10" s="261">
        <v>10</v>
      </c>
      <c r="H10" s="261">
        <v>10</v>
      </c>
      <c r="I10" s="300">
        <v>0</v>
      </c>
      <c r="J10" s="49"/>
      <c r="K10" s="49"/>
    </row>
    <row r="11" spans="1:11" x14ac:dyDescent="0.25">
      <c r="A11" s="256" t="s">
        <v>233</v>
      </c>
      <c r="C11" s="265" t="e">
        <f>#REF!</f>
        <v>#REF!</v>
      </c>
      <c r="E11" s="256" t="s">
        <v>7</v>
      </c>
      <c r="F11" s="309"/>
      <c r="G11" s="264"/>
      <c r="H11" s="264"/>
      <c r="I11" s="299"/>
      <c r="J11" s="49"/>
      <c r="K11" s="49"/>
    </row>
    <row r="12" spans="1:11" x14ac:dyDescent="0.25">
      <c r="A12" s="256" t="s">
        <v>188</v>
      </c>
      <c r="C12" s="267">
        <v>0.1</v>
      </c>
      <c r="E12" s="266" t="s">
        <v>185</v>
      </c>
      <c r="F12" s="306">
        <v>0.06</v>
      </c>
      <c r="G12" s="259">
        <v>0.08</v>
      </c>
      <c r="H12" s="259">
        <v>0.08</v>
      </c>
      <c r="I12" s="301">
        <v>0.06</v>
      </c>
      <c r="J12" s="49"/>
      <c r="K12" s="49"/>
    </row>
    <row r="13" spans="1:11" x14ac:dyDescent="0.25">
      <c r="A13" s="256" t="s">
        <v>189</v>
      </c>
      <c r="C13" s="267">
        <v>0.42</v>
      </c>
      <c r="E13" s="266" t="s">
        <v>187</v>
      </c>
      <c r="F13" s="306">
        <v>0.03</v>
      </c>
      <c r="G13" s="259">
        <v>0.03</v>
      </c>
      <c r="H13" s="259">
        <v>0.03</v>
      </c>
      <c r="I13" s="301">
        <v>0.03</v>
      </c>
      <c r="J13" s="49"/>
      <c r="K13" s="49"/>
    </row>
    <row r="14" spans="1:11" x14ac:dyDescent="0.25">
      <c r="A14" s="256" t="s">
        <v>190</v>
      </c>
      <c r="C14" s="268">
        <v>39326</v>
      </c>
      <c r="E14" s="256" t="s">
        <v>191</v>
      </c>
      <c r="F14" s="310">
        <v>0</v>
      </c>
      <c r="G14" s="296">
        <v>3</v>
      </c>
      <c r="H14" s="296">
        <v>3</v>
      </c>
      <c r="I14" s="300">
        <v>0</v>
      </c>
      <c r="J14" s="49"/>
      <c r="K14" s="49"/>
    </row>
    <row r="15" spans="1:11" ht="12.75" customHeight="1" x14ac:dyDescent="0.25">
      <c r="A15" s="1000" t="s">
        <v>210</v>
      </c>
      <c r="B15" s="1001"/>
      <c r="C15" s="269">
        <f>3%*F20</f>
        <v>132000</v>
      </c>
      <c r="E15" s="256" t="s">
        <v>192</v>
      </c>
      <c r="F15" s="302">
        <v>0.03</v>
      </c>
      <c r="G15" s="270">
        <v>0</v>
      </c>
      <c r="H15" s="270">
        <v>0</v>
      </c>
      <c r="I15" s="302">
        <v>0.03</v>
      </c>
      <c r="K15" s="49"/>
    </row>
    <row r="16" spans="1:11" x14ac:dyDescent="0.25">
      <c r="E16" s="256" t="s">
        <v>193</v>
      </c>
      <c r="F16" s="303" t="s">
        <v>208</v>
      </c>
      <c r="G16" s="219">
        <v>3</v>
      </c>
      <c r="H16" s="219">
        <v>5</v>
      </c>
      <c r="I16" s="303" t="s">
        <v>208</v>
      </c>
      <c r="J16" s="49"/>
      <c r="K16" s="49"/>
    </row>
    <row r="17" spans="1:11" x14ac:dyDescent="0.25">
      <c r="A17" s="251" t="s">
        <v>224</v>
      </c>
      <c r="B17" s="271"/>
      <c r="C17" s="272"/>
      <c r="E17" s="273" t="s">
        <v>194</v>
      </c>
      <c r="F17" s="304" t="s">
        <v>195</v>
      </c>
      <c r="G17" s="274" t="s">
        <v>196</v>
      </c>
      <c r="H17" s="274" t="s">
        <v>196</v>
      </c>
      <c r="I17" s="304" t="s">
        <v>195</v>
      </c>
      <c r="J17" s="49"/>
      <c r="K17" s="49"/>
    </row>
    <row r="18" spans="1:11" x14ac:dyDescent="0.25">
      <c r="A18" s="256" t="s">
        <v>197</v>
      </c>
      <c r="C18" s="275">
        <v>3600000</v>
      </c>
    </row>
    <row r="19" spans="1:11" x14ac:dyDescent="0.25">
      <c r="A19" s="256" t="s">
        <v>228</v>
      </c>
      <c r="C19" s="276">
        <f>450000+475000+125000</f>
        <v>1050000</v>
      </c>
      <c r="E19" s="251" t="s">
        <v>204</v>
      </c>
      <c r="F19" s="253"/>
      <c r="G19" s="198"/>
      <c r="H19" s="198"/>
      <c r="I19" s="198"/>
      <c r="J19" s="211"/>
    </row>
    <row r="20" spans="1:11" x14ac:dyDescent="0.25">
      <c r="A20" s="256" t="s">
        <v>199</v>
      </c>
      <c r="C20" s="275">
        <f>C18-C19</f>
        <v>2550000</v>
      </c>
      <c r="E20" s="277" t="s">
        <v>205</v>
      </c>
      <c r="F20" s="278">
        <v>4400000</v>
      </c>
      <c r="G20" s="114"/>
      <c r="H20" s="114"/>
      <c r="I20" s="279"/>
      <c r="J20" s="114"/>
    </row>
    <row r="21" spans="1:11" x14ac:dyDescent="0.25">
      <c r="A21" s="256" t="s">
        <v>2</v>
      </c>
      <c r="C21" s="280">
        <f>C20/F20</f>
        <v>0.57954545454545459</v>
      </c>
      <c r="E21" s="266" t="s">
        <v>10</v>
      </c>
      <c r="F21" s="267">
        <v>4.6780909090909088E-2</v>
      </c>
      <c r="G21" s="114"/>
      <c r="H21" s="114"/>
      <c r="I21" s="279"/>
      <c r="J21" s="114"/>
    </row>
    <row r="22" spans="1:11" x14ac:dyDescent="0.25">
      <c r="A22" s="256" t="s">
        <v>200</v>
      </c>
      <c r="C22" s="311" t="s">
        <v>225</v>
      </c>
      <c r="E22" s="282" t="s">
        <v>206</v>
      </c>
      <c r="F22" s="283">
        <v>4400000</v>
      </c>
      <c r="G22" s="114"/>
      <c r="H22" s="114"/>
      <c r="I22" s="279"/>
      <c r="J22" s="114"/>
    </row>
    <row r="23" spans="1:11" x14ac:dyDescent="0.25">
      <c r="A23" s="256" t="s">
        <v>226</v>
      </c>
      <c r="C23" s="313" t="s">
        <v>227</v>
      </c>
      <c r="D23" s="285"/>
      <c r="E23" s="286" t="s">
        <v>207</v>
      </c>
      <c r="F23" s="287">
        <v>6.1696363636363639E-2</v>
      </c>
      <c r="G23" s="114"/>
      <c r="H23" s="114"/>
      <c r="I23" s="279"/>
      <c r="J23" s="114"/>
    </row>
    <row r="24" spans="1:11" x14ac:dyDescent="0.25">
      <c r="A24" s="256" t="s">
        <v>229</v>
      </c>
      <c r="C24" s="313" t="s">
        <v>230</v>
      </c>
      <c r="D24" s="285"/>
      <c r="E24" s="179"/>
      <c r="F24" s="312"/>
      <c r="G24" s="114"/>
      <c r="H24" s="114"/>
      <c r="I24" s="279"/>
      <c r="J24" s="114"/>
    </row>
    <row r="25" spans="1:11" x14ac:dyDescent="0.25">
      <c r="A25" s="256" t="s">
        <v>201</v>
      </c>
      <c r="C25" s="275">
        <v>36000</v>
      </c>
      <c r="D25" s="288"/>
      <c r="E25" s="317" t="s">
        <v>235</v>
      </c>
      <c r="F25" s="318"/>
      <c r="G25" s="114"/>
      <c r="H25" s="114"/>
      <c r="I25" s="289"/>
      <c r="J25" s="114"/>
    </row>
    <row r="26" spans="1:11" ht="12.75" customHeight="1" x14ac:dyDescent="0.3">
      <c r="A26" s="256" t="s">
        <v>9</v>
      </c>
      <c r="C26" s="265" t="s">
        <v>231</v>
      </c>
      <c r="D26" s="288"/>
      <c r="E26" s="319" t="s">
        <v>236</v>
      </c>
      <c r="F26" s="320">
        <v>132000</v>
      </c>
      <c r="G26"/>
      <c r="H26" s="315">
        <v>132000</v>
      </c>
      <c r="I26"/>
      <c r="J26" s="114"/>
    </row>
    <row r="27" spans="1:11" ht="12.75" customHeight="1" x14ac:dyDescent="0.3">
      <c r="A27" s="273" t="s">
        <v>202</v>
      </c>
      <c r="B27" s="290"/>
      <c r="C27" s="274" t="s">
        <v>232</v>
      </c>
      <c r="E27" s="256" t="s">
        <v>237</v>
      </c>
      <c r="F27" s="275" t="e">
        <f>F29-F26-F28</f>
        <v>#REF!</v>
      </c>
      <c r="G27"/>
      <c r="H27" s="315">
        <v>94730</v>
      </c>
      <c r="I27"/>
      <c r="J27" s="114"/>
    </row>
    <row r="28" spans="1:11" ht="12.75" customHeight="1" x14ac:dyDescent="0.3">
      <c r="D28" s="288"/>
      <c r="E28" s="256" t="s">
        <v>239</v>
      </c>
      <c r="F28" s="276">
        <v>36000</v>
      </c>
      <c r="G28"/>
      <c r="H28"/>
      <c r="I28" s="316"/>
      <c r="J28" s="114"/>
    </row>
    <row r="29" spans="1:11" ht="12.75" customHeight="1" x14ac:dyDescent="0.3">
      <c r="A29" s="251" t="s">
        <v>203</v>
      </c>
      <c r="B29" s="271"/>
      <c r="C29" s="272"/>
      <c r="E29" s="273" t="s">
        <v>238</v>
      </c>
      <c r="F29" s="321" t="e">
        <f>C11</f>
        <v>#REF!</v>
      </c>
      <c r="G29"/>
      <c r="H29" s="315">
        <v>250200</v>
      </c>
      <c r="I29"/>
    </row>
    <row r="30" spans="1:11" ht="15.6" x14ac:dyDescent="0.3">
      <c r="A30" s="256" t="s">
        <v>197</v>
      </c>
      <c r="C30" s="275">
        <v>5500000</v>
      </c>
      <c r="E30" s="314"/>
      <c r="F30"/>
      <c r="G30"/>
      <c r="H30"/>
      <c r="I30"/>
    </row>
    <row r="31" spans="1:11" x14ac:dyDescent="0.25">
      <c r="A31" s="256" t="s">
        <v>198</v>
      </c>
      <c r="C31" s="276">
        <v>0</v>
      </c>
    </row>
    <row r="32" spans="1:11" x14ac:dyDescent="0.25">
      <c r="A32" s="256" t="s">
        <v>199</v>
      </c>
      <c r="C32" s="275">
        <f>C30-C31</f>
        <v>5500000</v>
      </c>
      <c r="E32" s="198" t="s">
        <v>240</v>
      </c>
    </row>
    <row r="33" spans="1:5" x14ac:dyDescent="0.25">
      <c r="A33" s="256" t="s">
        <v>2</v>
      </c>
      <c r="C33" s="291">
        <v>0.7</v>
      </c>
      <c r="E33" s="198" t="s">
        <v>234</v>
      </c>
    </row>
    <row r="34" spans="1:5" x14ac:dyDescent="0.25">
      <c r="A34" s="256" t="s">
        <v>200</v>
      </c>
      <c r="C34" s="281">
        <v>300</v>
      </c>
    </row>
    <row r="35" spans="1:5" x14ac:dyDescent="0.25">
      <c r="A35" s="256" t="s">
        <v>3</v>
      </c>
      <c r="C35" s="284">
        <v>7.0000000000000007E-2</v>
      </c>
    </row>
    <row r="36" spans="1:5" x14ac:dyDescent="0.25">
      <c r="A36" s="256" t="s">
        <v>201</v>
      </c>
      <c r="C36" s="292">
        <v>0.01</v>
      </c>
    </row>
    <row r="37" spans="1:5" x14ac:dyDescent="0.25">
      <c r="A37" s="273" t="s">
        <v>202</v>
      </c>
      <c r="B37" s="290"/>
      <c r="C37" s="274">
        <v>10</v>
      </c>
    </row>
  </sheetData>
  <mergeCells count="1">
    <mergeCell ref="A15:B15"/>
  </mergeCells>
  <phoneticPr fontId="0" type="noConversion"/>
  <pageMargins left="0.5" right="0.5" top="0.5" bottom="0.25" header="0.5" footer="0.5"/>
  <pageSetup scale="96" orientation="landscape" horizontalDpi="429496729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pageSetUpPr fitToPage="1"/>
  </sheetPr>
  <dimension ref="A1:AR71"/>
  <sheetViews>
    <sheetView workbookViewId="0"/>
  </sheetViews>
  <sheetFormatPr defaultColWidth="9.109375" defaultRowHeight="13.2" outlineLevelRow="1" outlineLevelCol="1" x14ac:dyDescent="0.25"/>
  <cols>
    <col min="1" max="1" width="29" style="4" customWidth="1"/>
    <col min="2" max="2" width="7.77734375" style="4" customWidth="1"/>
    <col min="3" max="3" width="10.88671875" style="4" bestFit="1" customWidth="1"/>
    <col min="4" max="4" width="15.109375" style="4" bestFit="1" customWidth="1"/>
    <col min="5" max="5" width="8.44140625" style="4" customWidth="1"/>
    <col min="6" max="6" width="8.77734375" style="4" customWidth="1" outlineLevel="1"/>
    <col min="7" max="7" width="8.109375" style="114" customWidth="1"/>
    <col min="8" max="8" width="15" style="4" customWidth="1"/>
    <col min="9" max="9" width="10.21875" style="4" bestFit="1" customWidth="1"/>
    <col min="10" max="10" width="13.109375" style="4" bestFit="1" customWidth="1"/>
    <col min="11" max="11" width="9.109375" style="4" bestFit="1"/>
    <col min="12" max="12" width="9.88671875" style="4" hidden="1" customWidth="1" outlineLevel="1"/>
    <col min="13" max="13" width="12.109375" style="4" bestFit="1" customWidth="1" collapsed="1"/>
    <col min="14" max="15" width="13.88671875" style="4" bestFit="1" customWidth="1"/>
    <col min="16" max="16" width="8.88671875" style="4" hidden="1" customWidth="1"/>
    <col min="17" max="17" width="23.88671875" style="114" bestFit="1" customWidth="1" collapsed="1"/>
    <col min="18" max="18" width="10.109375" style="114" customWidth="1"/>
    <col min="19" max="23" width="9.44140625" style="114" hidden="1" customWidth="1" outlineLevel="1"/>
    <col min="24" max="24" width="9.44140625" style="114" customWidth="1" collapsed="1"/>
    <col min="25" max="25" width="25.88671875" style="114" customWidth="1"/>
    <col min="26" max="26" width="9.109375" style="4"/>
    <col min="27" max="27" width="21.88671875" style="4" bestFit="1" customWidth="1"/>
    <col min="28" max="28" width="6.21875" style="4" bestFit="1" customWidth="1"/>
    <col min="29" max="29" width="6.109375" style="4" bestFit="1" customWidth="1"/>
    <col min="30" max="30" width="9.88671875" style="4" bestFit="1" customWidth="1"/>
    <col min="31" max="16384" width="9.109375" style="4"/>
  </cols>
  <sheetData>
    <row r="1" spans="1:44" ht="15.6" x14ac:dyDescent="0.3">
      <c r="A1" s="3" t="s">
        <v>54</v>
      </c>
      <c r="B1" s="5"/>
      <c r="C1" s="5"/>
      <c r="D1" s="5"/>
      <c r="E1" s="5"/>
      <c r="F1" s="5"/>
      <c r="G1" s="54"/>
      <c r="H1" s="5"/>
      <c r="I1" s="5"/>
      <c r="J1" s="5"/>
      <c r="K1" s="5"/>
      <c r="L1" s="5"/>
      <c r="M1" s="5"/>
      <c r="N1" s="5"/>
      <c r="O1" s="5"/>
      <c r="P1" s="5"/>
      <c r="Q1" s="54"/>
      <c r="R1" s="54"/>
      <c r="S1" s="54"/>
      <c r="T1" s="54"/>
      <c r="U1" s="54"/>
      <c r="V1" s="54"/>
      <c r="W1" s="54"/>
      <c r="X1" s="54"/>
      <c r="Y1" s="54"/>
    </row>
    <row r="2" spans="1:44" ht="16.2" thickBot="1" x14ac:dyDescent="0.35">
      <c r="A2" s="5"/>
      <c r="B2" s="5"/>
      <c r="C2" s="5"/>
      <c r="D2" s="5"/>
      <c r="E2" s="5"/>
      <c r="F2" s="5"/>
      <c r="G2" s="54"/>
      <c r="H2" s="5"/>
      <c r="I2" s="5"/>
      <c r="J2" s="5"/>
      <c r="K2" s="5"/>
      <c r="L2" s="5"/>
      <c r="M2" s="5"/>
      <c r="N2" s="5"/>
      <c r="O2" s="5"/>
      <c r="P2" s="5"/>
      <c r="Q2" s="54"/>
      <c r="R2" s="54"/>
      <c r="S2" s="54"/>
      <c r="T2" s="54"/>
      <c r="U2" s="54"/>
      <c r="V2" s="54"/>
      <c r="W2" s="54"/>
      <c r="X2" s="54"/>
      <c r="Y2" s="54"/>
    </row>
    <row r="3" spans="1:44" ht="16.2" thickTop="1" x14ac:dyDescent="0.3">
      <c r="A3" s="39"/>
      <c r="B3" s="55"/>
      <c r="C3" s="55"/>
      <c r="D3" s="55"/>
      <c r="E3" s="55"/>
      <c r="F3" s="55"/>
      <c r="G3" s="56"/>
      <c r="H3" s="55"/>
      <c r="I3" s="55"/>
      <c r="J3" s="55"/>
      <c r="K3" s="55"/>
      <c r="L3" s="55"/>
      <c r="M3" s="55"/>
      <c r="N3" s="55"/>
      <c r="O3" s="55"/>
      <c r="P3" s="55"/>
      <c r="Q3" s="57"/>
      <c r="R3" s="54"/>
      <c r="S3" s="54"/>
      <c r="T3" s="54"/>
      <c r="U3" s="54"/>
      <c r="V3" s="54"/>
      <c r="W3" s="54"/>
      <c r="X3" s="54"/>
      <c r="Y3" s="54"/>
    </row>
    <row r="4" spans="1:44" ht="15.6" x14ac:dyDescent="0.3">
      <c r="A4" s="11" t="s">
        <v>55</v>
      </c>
      <c r="B4" s="16" t="s">
        <v>56</v>
      </c>
      <c r="C4" s="16" t="s">
        <v>23</v>
      </c>
      <c r="D4" s="16" t="s">
        <v>57</v>
      </c>
      <c r="E4" s="16" t="s">
        <v>58</v>
      </c>
      <c r="F4" s="16" t="s">
        <v>58</v>
      </c>
      <c r="G4" s="16" t="s">
        <v>59</v>
      </c>
      <c r="H4" s="16" t="s">
        <v>60</v>
      </c>
      <c r="I4" s="16" t="s">
        <v>61</v>
      </c>
      <c r="J4" s="16" t="s">
        <v>62</v>
      </c>
      <c r="K4" s="16" t="s">
        <v>63</v>
      </c>
      <c r="L4" s="16" t="s">
        <v>64</v>
      </c>
      <c r="M4" s="16" t="s">
        <v>59</v>
      </c>
      <c r="N4" s="16" t="s">
        <v>59</v>
      </c>
      <c r="O4" s="16" t="s">
        <v>65</v>
      </c>
      <c r="P4" s="58"/>
      <c r="Q4" s="17" t="s">
        <v>66</v>
      </c>
      <c r="R4" s="16"/>
      <c r="S4" s="16"/>
      <c r="T4" s="16"/>
      <c r="U4" s="16"/>
      <c r="V4" s="16"/>
      <c r="W4" s="16"/>
      <c r="X4" s="16"/>
      <c r="Y4" s="16"/>
    </row>
    <row r="5" spans="1:44" ht="15.6" x14ac:dyDescent="0.3">
      <c r="A5" s="15"/>
      <c r="B5" s="16" t="s">
        <v>67</v>
      </c>
      <c r="D5" s="16" t="s">
        <v>68</v>
      </c>
      <c r="E5" s="16" t="s">
        <v>69</v>
      </c>
      <c r="F5" s="16" t="s">
        <v>70</v>
      </c>
      <c r="G5" s="16" t="s">
        <v>71</v>
      </c>
      <c r="H5" s="59" t="s">
        <v>220</v>
      </c>
      <c r="I5" s="16"/>
      <c r="J5" s="16" t="s">
        <v>72</v>
      </c>
      <c r="K5" s="16"/>
      <c r="L5" s="16"/>
      <c r="M5" s="16" t="s">
        <v>73</v>
      </c>
      <c r="N5" s="16" t="s">
        <v>74</v>
      </c>
      <c r="O5" s="16" t="s">
        <v>75</v>
      </c>
      <c r="P5" s="58"/>
      <c r="Q5" s="17"/>
      <c r="R5" s="16"/>
      <c r="S5" s="16"/>
      <c r="T5" s="16"/>
      <c r="U5" s="16"/>
      <c r="V5" s="16"/>
      <c r="W5" s="16"/>
      <c r="X5" s="16"/>
      <c r="Y5" s="16"/>
      <c r="Z5" s="60"/>
      <c r="AA5" s="61"/>
    </row>
    <row r="6" spans="1:44" ht="16.2" thickBot="1" x14ac:dyDescent="0.35">
      <c r="A6" s="62"/>
      <c r="B6" s="63"/>
      <c r="C6" s="64"/>
      <c r="D6" s="64"/>
      <c r="E6" s="16"/>
      <c r="F6" s="64"/>
      <c r="G6" s="64"/>
      <c r="H6" s="64"/>
      <c r="I6" s="64"/>
      <c r="J6" s="65"/>
      <c r="K6" s="64"/>
      <c r="L6" s="64"/>
      <c r="M6" s="64"/>
      <c r="N6" s="64"/>
      <c r="O6" s="64"/>
      <c r="P6" s="64"/>
      <c r="Q6" s="66"/>
      <c r="R6" s="16"/>
      <c r="S6" s="16"/>
      <c r="T6" s="16"/>
      <c r="U6" s="16"/>
      <c r="V6" s="16"/>
      <c r="W6" s="16"/>
      <c r="X6" s="16"/>
      <c r="Y6" s="16"/>
      <c r="Z6" s="60"/>
      <c r="AA6" s="48"/>
    </row>
    <row r="7" spans="1:44" ht="16.2" thickTop="1" x14ac:dyDescent="0.3">
      <c r="A7" s="15"/>
      <c r="B7" s="67"/>
      <c r="C7" s="67"/>
      <c r="D7" s="67"/>
      <c r="E7" s="68"/>
      <c r="F7" s="67"/>
      <c r="G7" s="68"/>
      <c r="H7" s="69"/>
      <c r="I7" s="67"/>
      <c r="J7" s="67"/>
      <c r="K7" s="67"/>
      <c r="L7" s="67"/>
      <c r="M7" s="67"/>
      <c r="N7" s="67"/>
      <c r="O7" s="67"/>
      <c r="P7" s="67"/>
      <c r="Q7" s="70"/>
      <c r="R7" s="16"/>
      <c r="S7" s="71">
        <f>S11/12</f>
        <v>0.95833333333333337</v>
      </c>
      <c r="T7" s="71"/>
      <c r="U7" s="71"/>
      <c r="V7" s="71"/>
      <c r="W7" s="16"/>
      <c r="X7" s="16"/>
      <c r="Y7" s="16"/>
      <c r="Z7" s="60"/>
    </row>
    <row r="8" spans="1:44" s="84" customFormat="1" ht="15.6" x14ac:dyDescent="0.3">
      <c r="A8" s="72" t="s">
        <v>76</v>
      </c>
      <c r="B8" s="54">
        <v>1</v>
      </c>
      <c r="C8" s="21">
        <v>19204</v>
      </c>
      <c r="D8" s="73">
        <v>154526</v>
      </c>
      <c r="E8" s="74">
        <f>D8/C8</f>
        <v>8.0465528014996881</v>
      </c>
      <c r="F8" s="74">
        <f>E8/12</f>
        <v>0.67054606679164064</v>
      </c>
      <c r="G8" s="75" t="s">
        <v>219</v>
      </c>
      <c r="H8" s="76">
        <v>2.52</v>
      </c>
      <c r="I8" s="60">
        <f>H8*C8</f>
        <v>48394.080000000002</v>
      </c>
      <c r="J8" s="60">
        <f>I8+D8</f>
        <v>202920.08000000002</v>
      </c>
      <c r="K8" s="74">
        <f>IF(C8=0,0,J8/C8)</f>
        <v>10.566552801499688</v>
      </c>
      <c r="L8" s="77">
        <f>K8/12</f>
        <v>0.8805460667916406</v>
      </c>
      <c r="M8" s="78">
        <v>37653</v>
      </c>
      <c r="N8" s="78">
        <v>39600</v>
      </c>
      <c r="O8" s="293" t="s">
        <v>77</v>
      </c>
      <c r="P8" s="80"/>
      <c r="Q8" s="88" t="s">
        <v>211</v>
      </c>
      <c r="R8" s="82"/>
      <c r="S8" s="83">
        <f>E8*1.15</f>
        <v>9.2535357217246403</v>
      </c>
      <c r="T8" s="83">
        <f>S8*1.15</f>
        <v>10.641566079983335</v>
      </c>
      <c r="U8" s="83">
        <f>T8*1.15</f>
        <v>12.237800991980833</v>
      </c>
      <c r="V8" s="83">
        <f>U8*1.15</f>
        <v>14.073471140777958</v>
      </c>
      <c r="W8" s="82"/>
      <c r="X8" s="82"/>
      <c r="Y8" s="82"/>
      <c r="Z8" s="74"/>
      <c r="AD8" s="85"/>
      <c r="AE8" s="85"/>
      <c r="AG8" s="86"/>
      <c r="AH8" s="86"/>
      <c r="AI8" s="86"/>
      <c r="AJ8" s="86"/>
      <c r="AK8" s="86"/>
      <c r="AL8" s="86"/>
      <c r="AM8" s="86"/>
      <c r="AN8" s="86"/>
      <c r="AO8" s="86"/>
      <c r="AP8" s="86"/>
      <c r="AQ8" s="86"/>
      <c r="AR8" s="86"/>
    </row>
    <row r="9" spans="1:44" s="84" customFormat="1" ht="15.6" x14ac:dyDescent="0.3">
      <c r="A9" s="72" t="s">
        <v>78</v>
      </c>
      <c r="B9" s="54">
        <v>2</v>
      </c>
      <c r="C9" s="21">
        <v>12512</v>
      </c>
      <c r="D9" s="73">
        <v>64562</v>
      </c>
      <c r="E9" s="74">
        <f>D9/C9</f>
        <v>5.1600063938618925</v>
      </c>
      <c r="F9" s="74">
        <f>E9/12</f>
        <v>0.43000053282182438</v>
      </c>
      <c r="G9" s="75" t="s">
        <v>79</v>
      </c>
      <c r="H9" s="76">
        <v>2.52</v>
      </c>
      <c r="I9" s="60">
        <f>H9*C9</f>
        <v>31530.240000000002</v>
      </c>
      <c r="J9" s="60">
        <f>I9+D9</f>
        <v>96092.24</v>
      </c>
      <c r="K9" s="74">
        <f>IF(C9=0,0,J9/C9)</f>
        <v>7.680006393861893</v>
      </c>
      <c r="L9" s="77"/>
      <c r="M9" s="78">
        <v>37773</v>
      </c>
      <c r="N9" s="78">
        <v>39692</v>
      </c>
      <c r="O9" s="293" t="s">
        <v>77</v>
      </c>
      <c r="P9" s="80"/>
      <c r="Q9" s="81"/>
      <c r="R9" s="82"/>
      <c r="S9" s="83"/>
      <c r="T9" s="83"/>
      <c r="U9" s="83"/>
      <c r="V9" s="83"/>
      <c r="W9" s="82"/>
      <c r="X9" s="82"/>
      <c r="Y9" s="82"/>
      <c r="Z9" s="74"/>
      <c r="AD9" s="85"/>
      <c r="AE9" s="85"/>
      <c r="AG9" s="86"/>
      <c r="AH9" s="86"/>
      <c r="AI9" s="86"/>
      <c r="AJ9" s="86"/>
      <c r="AK9" s="86"/>
      <c r="AL9" s="86"/>
      <c r="AM9" s="86"/>
      <c r="AN9" s="86"/>
      <c r="AO9" s="86"/>
      <c r="AP9" s="86"/>
      <c r="AQ9" s="86"/>
      <c r="AR9" s="86"/>
    </row>
    <row r="10" spans="1:44" ht="15.6" x14ac:dyDescent="0.3">
      <c r="A10" s="72" t="s">
        <v>80</v>
      </c>
      <c r="B10" s="54" t="s">
        <v>81</v>
      </c>
      <c r="C10" s="21">
        <v>7488</v>
      </c>
      <c r="D10" s="73">
        <v>41334</v>
      </c>
      <c r="E10" s="74">
        <f>D10/C10</f>
        <v>5.5200320512820511</v>
      </c>
      <c r="F10" s="74">
        <f>E10/12</f>
        <v>0.46000267094017094</v>
      </c>
      <c r="G10" s="75" t="s">
        <v>79</v>
      </c>
      <c r="H10" s="76">
        <v>2.52</v>
      </c>
      <c r="I10" s="60">
        <f>H10*C10</f>
        <v>18869.759999999998</v>
      </c>
      <c r="J10" s="60">
        <f>I10+D10</f>
        <v>60203.759999999995</v>
      </c>
      <c r="K10" s="74">
        <f>IF(C10=0,0,J10/C10)</f>
        <v>8.0400320512820507</v>
      </c>
      <c r="L10" s="77">
        <f>K10/12</f>
        <v>0.67000267094017085</v>
      </c>
      <c r="M10" s="78">
        <v>38412</v>
      </c>
      <c r="N10" s="78">
        <v>39692</v>
      </c>
      <c r="O10" s="293" t="s">
        <v>77</v>
      </c>
      <c r="P10" s="80"/>
      <c r="Q10" s="81"/>
      <c r="R10" s="82"/>
      <c r="S10" s="83">
        <v>12.93</v>
      </c>
      <c r="T10" s="83">
        <v>14.22</v>
      </c>
      <c r="U10" s="83"/>
      <c r="V10" s="83"/>
      <c r="W10" s="82"/>
      <c r="X10" s="82"/>
      <c r="Y10" s="82"/>
      <c r="Z10" s="60"/>
      <c r="AD10" s="85"/>
      <c r="AE10" s="85"/>
      <c r="AF10" s="84"/>
    </row>
    <row r="11" spans="1:44" ht="15.6" x14ac:dyDescent="0.3">
      <c r="A11" s="19" t="s">
        <v>82</v>
      </c>
      <c r="B11" s="54">
        <f>B35</f>
        <v>0</v>
      </c>
      <c r="C11" s="21">
        <v>15000</v>
      </c>
      <c r="D11" s="73">
        <v>95400</v>
      </c>
      <c r="E11" s="74">
        <f>D11/C11</f>
        <v>6.36</v>
      </c>
      <c r="F11" s="74">
        <f>E11/12</f>
        <v>0.53</v>
      </c>
      <c r="G11" s="75" t="s">
        <v>79</v>
      </c>
      <c r="H11" s="76">
        <v>2.52</v>
      </c>
      <c r="I11" s="60">
        <f>H11*C11</f>
        <v>37800</v>
      </c>
      <c r="J11" s="60">
        <f>I11+D11</f>
        <v>133200</v>
      </c>
      <c r="K11" s="74">
        <f>IF(C11=0,0,J11/C11)</f>
        <v>8.8800000000000008</v>
      </c>
      <c r="L11" s="77">
        <f>K11/12</f>
        <v>0.7400000000000001</v>
      </c>
      <c r="M11" s="78">
        <v>37803</v>
      </c>
      <c r="N11" s="78">
        <v>39630</v>
      </c>
      <c r="O11" s="293" t="s">
        <v>77</v>
      </c>
      <c r="P11" s="80"/>
      <c r="Q11" s="81"/>
      <c r="R11" s="82"/>
      <c r="S11" s="83">
        <f>10*1.15</f>
        <v>11.5</v>
      </c>
      <c r="T11" s="83"/>
      <c r="U11" s="82"/>
      <c r="V11" s="82"/>
      <c r="W11" s="82"/>
      <c r="X11" s="82"/>
      <c r="Y11" s="82"/>
      <c r="Z11" s="60"/>
      <c r="AD11" s="87"/>
      <c r="AE11" s="87"/>
      <c r="AF11" s="84"/>
    </row>
    <row r="12" spans="1:44" ht="15.6" x14ac:dyDescent="0.3">
      <c r="A12" s="19" t="s">
        <v>83</v>
      </c>
      <c r="B12" s="54" t="s">
        <v>84</v>
      </c>
      <c r="C12" s="21">
        <v>24000</v>
      </c>
      <c r="D12" s="73">
        <f>C12*E12</f>
        <v>115200.00000000001</v>
      </c>
      <c r="E12" s="74">
        <f>F12*12</f>
        <v>4.8000000000000007</v>
      </c>
      <c r="F12" s="74">
        <v>0.4</v>
      </c>
      <c r="G12" s="75" t="s">
        <v>79</v>
      </c>
      <c r="H12" s="76">
        <v>2.52</v>
      </c>
      <c r="I12" s="60">
        <f>H12*C12</f>
        <v>60480</v>
      </c>
      <c r="J12" s="60">
        <f>I12+D12</f>
        <v>175680</v>
      </c>
      <c r="K12" s="74">
        <f>IF(C12=0,0,J12/C12)</f>
        <v>7.32</v>
      </c>
      <c r="L12" s="77"/>
      <c r="M12" s="78">
        <v>38443</v>
      </c>
      <c r="N12" s="78">
        <v>38596</v>
      </c>
      <c r="O12" s="293" t="s">
        <v>85</v>
      </c>
      <c r="P12" s="80"/>
      <c r="Q12" s="88" t="s">
        <v>86</v>
      </c>
      <c r="R12" s="82"/>
      <c r="S12" s="83"/>
      <c r="T12" s="83"/>
      <c r="U12" s="82"/>
      <c r="V12" s="82"/>
      <c r="W12" s="82"/>
      <c r="X12" s="82"/>
      <c r="Y12" s="82"/>
      <c r="Z12" s="60"/>
      <c r="AD12" s="87"/>
      <c r="AE12" s="87"/>
      <c r="AF12" s="84"/>
    </row>
    <row r="13" spans="1:44" ht="15.6" x14ac:dyDescent="0.3">
      <c r="A13" s="19" t="s">
        <v>87</v>
      </c>
      <c r="B13" s="54" t="s">
        <v>88</v>
      </c>
      <c r="C13" s="21">
        <v>7500</v>
      </c>
      <c r="D13" s="73"/>
      <c r="E13" s="74"/>
      <c r="F13" s="74"/>
      <c r="G13" s="75"/>
      <c r="H13" s="76"/>
      <c r="I13" s="60"/>
      <c r="J13" s="60"/>
      <c r="K13" s="74"/>
      <c r="L13" s="77"/>
      <c r="M13" s="78"/>
      <c r="N13" s="78"/>
      <c r="O13" s="89"/>
      <c r="P13" s="80"/>
      <c r="Q13" s="81"/>
      <c r="R13" s="82"/>
      <c r="S13" s="83"/>
      <c r="T13" s="83"/>
      <c r="U13" s="82"/>
      <c r="V13" s="82"/>
      <c r="W13" s="82"/>
      <c r="X13" s="82"/>
      <c r="Y13" s="82"/>
      <c r="Z13" s="60"/>
      <c r="AD13" s="87"/>
      <c r="AE13" s="87"/>
      <c r="AF13" s="84"/>
    </row>
    <row r="14" spans="1:44" ht="15.6" x14ac:dyDescent="0.3">
      <c r="A14" s="19" t="s">
        <v>89</v>
      </c>
      <c r="B14" s="54" t="s">
        <v>90</v>
      </c>
      <c r="C14" s="21">
        <v>7500</v>
      </c>
      <c r="D14" s="73"/>
      <c r="E14" s="74"/>
      <c r="F14" s="74"/>
      <c r="G14" s="75"/>
      <c r="H14" s="76"/>
      <c r="I14" s="60"/>
      <c r="J14" s="60"/>
      <c r="K14" s="74"/>
      <c r="L14" s="77"/>
      <c r="M14" s="78"/>
      <c r="N14" s="78"/>
      <c r="O14" s="89"/>
      <c r="P14" s="80"/>
      <c r="Q14" s="81"/>
      <c r="R14" s="82"/>
      <c r="S14" s="83"/>
      <c r="T14" s="83"/>
      <c r="U14" s="82"/>
      <c r="V14" s="82"/>
      <c r="W14" s="82"/>
      <c r="X14" s="82"/>
      <c r="Y14" s="82"/>
      <c r="Z14" s="60"/>
      <c r="AD14" s="87"/>
      <c r="AE14" s="87"/>
      <c r="AF14" s="84"/>
    </row>
    <row r="15" spans="1:44" ht="15.6" x14ac:dyDescent="0.3">
      <c r="A15" s="19" t="s">
        <v>91</v>
      </c>
      <c r="B15" s="54" t="s">
        <v>92</v>
      </c>
      <c r="C15" s="21">
        <v>12000</v>
      </c>
      <c r="D15" s="73"/>
      <c r="E15" s="74"/>
      <c r="F15" s="74"/>
      <c r="G15" s="75"/>
      <c r="H15" s="76"/>
      <c r="I15" s="60"/>
      <c r="J15" s="60"/>
      <c r="K15" s="74"/>
      <c r="L15" s="77"/>
      <c r="M15" s="90"/>
      <c r="N15" s="90"/>
      <c r="O15" s="79"/>
      <c r="P15" s="80"/>
      <c r="Q15" s="81"/>
      <c r="R15" s="82"/>
      <c r="S15" s="83"/>
      <c r="T15" s="83"/>
      <c r="U15" s="82"/>
      <c r="V15" s="82"/>
      <c r="W15" s="82"/>
      <c r="X15" s="82"/>
      <c r="Y15" s="82"/>
      <c r="Z15" s="60"/>
      <c r="AD15" s="87"/>
      <c r="AE15" s="87"/>
      <c r="AF15" s="84"/>
    </row>
    <row r="16" spans="1:44" ht="15.6" x14ac:dyDescent="0.3">
      <c r="A16" s="19" t="s">
        <v>93</v>
      </c>
      <c r="B16" s="54" t="s">
        <v>94</v>
      </c>
      <c r="C16" s="21">
        <v>12000</v>
      </c>
      <c r="D16" s="73"/>
      <c r="E16" s="74"/>
      <c r="F16" s="74"/>
      <c r="G16" s="75"/>
      <c r="H16" s="76"/>
      <c r="I16" s="60"/>
      <c r="J16" s="60"/>
      <c r="K16" s="74"/>
      <c r="L16" s="77"/>
      <c r="M16" s="90"/>
      <c r="N16" s="90"/>
      <c r="O16" s="79"/>
      <c r="P16" s="80"/>
      <c r="Q16" s="81"/>
      <c r="R16" s="82"/>
      <c r="S16" s="83"/>
      <c r="T16" s="83"/>
      <c r="U16" s="82"/>
      <c r="V16" s="82"/>
      <c r="W16" s="82"/>
      <c r="X16" s="82"/>
      <c r="Y16" s="82"/>
      <c r="Z16" s="60"/>
      <c r="AD16" s="87"/>
      <c r="AE16" s="87"/>
      <c r="AF16" s="84"/>
    </row>
    <row r="17" spans="1:32" ht="15.6" x14ac:dyDescent="0.3">
      <c r="A17" s="19" t="s">
        <v>95</v>
      </c>
      <c r="B17" s="54" t="s">
        <v>96</v>
      </c>
      <c r="C17" s="21">
        <v>11893</v>
      </c>
      <c r="D17" s="73"/>
      <c r="E17" s="74"/>
      <c r="F17" s="74"/>
      <c r="G17" s="75"/>
      <c r="H17" s="76"/>
      <c r="I17" s="60"/>
      <c r="J17" s="60"/>
      <c r="K17" s="74"/>
      <c r="L17" s="77"/>
      <c r="M17" s="90"/>
      <c r="N17" s="90"/>
      <c r="O17" s="79"/>
      <c r="P17" s="80"/>
      <c r="Q17" s="81"/>
      <c r="R17" s="82"/>
      <c r="S17" s="83"/>
      <c r="T17" s="83"/>
      <c r="U17" s="82"/>
      <c r="V17" s="82"/>
      <c r="W17" s="82"/>
      <c r="X17" s="82"/>
      <c r="Y17" s="82"/>
      <c r="Z17" s="60"/>
      <c r="AD17" s="87"/>
      <c r="AE17" s="87"/>
      <c r="AF17" s="84"/>
    </row>
    <row r="18" spans="1:32" ht="16.2" thickBot="1" x14ac:dyDescent="0.35">
      <c r="A18" s="91"/>
      <c r="B18" s="92"/>
      <c r="C18" s="92"/>
      <c r="D18" s="93"/>
      <c r="E18" s="94"/>
      <c r="F18" s="94"/>
      <c r="G18" s="95"/>
      <c r="H18" s="94"/>
      <c r="I18" s="94"/>
      <c r="J18" s="93"/>
      <c r="K18" s="94"/>
      <c r="L18" s="94"/>
      <c r="M18" s="50"/>
      <c r="N18" s="50"/>
      <c r="O18" s="50"/>
      <c r="P18" s="50"/>
      <c r="Q18" s="96"/>
      <c r="R18" s="97"/>
      <c r="S18" s="97"/>
      <c r="T18" s="97"/>
      <c r="U18" s="97"/>
      <c r="V18" s="97"/>
      <c r="W18" s="97"/>
      <c r="X18" s="97"/>
      <c r="Y18" s="97"/>
      <c r="Z18" s="60"/>
    </row>
    <row r="19" spans="1:32" ht="16.2" thickTop="1" x14ac:dyDescent="0.3">
      <c r="A19" s="11"/>
      <c r="B19" s="3"/>
      <c r="C19" s="3"/>
      <c r="D19" s="98"/>
      <c r="E19" s="99"/>
      <c r="F19" s="99"/>
      <c r="G19" s="100"/>
      <c r="H19" s="99"/>
      <c r="I19" s="99"/>
      <c r="J19" s="98"/>
      <c r="K19" s="99"/>
      <c r="L19" s="99"/>
      <c r="M19" s="5"/>
      <c r="N19" s="5"/>
      <c r="O19" s="5"/>
      <c r="P19" s="5"/>
      <c r="Q19" s="101"/>
      <c r="R19" s="54"/>
      <c r="S19" s="54"/>
      <c r="T19" s="54"/>
      <c r="U19" s="54"/>
      <c r="V19" s="54"/>
      <c r="W19" s="54"/>
      <c r="X19" s="54"/>
      <c r="Y19" s="54"/>
      <c r="Z19" s="60"/>
    </row>
    <row r="20" spans="1:32" ht="15.6" x14ac:dyDescent="0.3">
      <c r="A20" s="11" t="s">
        <v>97</v>
      </c>
      <c r="B20" s="3"/>
      <c r="C20" s="102">
        <f>SUM(C8:C19)</f>
        <v>129097</v>
      </c>
      <c r="D20" s="103">
        <f>SUM(D8:D12)</f>
        <v>471022</v>
      </c>
      <c r="E20" s="99">
        <f>D20/(C21)</f>
        <v>6.0229911513477568</v>
      </c>
      <c r="F20" s="104">
        <f>ROUND(E20/12,2)</f>
        <v>0.5</v>
      </c>
      <c r="G20" s="100"/>
      <c r="H20" s="100">
        <f>I20/C21</f>
        <v>2.52</v>
      </c>
      <c r="I20" s="103">
        <f>SUM(I8:I17)</f>
        <v>197074.08000000002</v>
      </c>
      <c r="J20" s="105">
        <f>I20+D20</f>
        <v>668096.08000000007</v>
      </c>
      <c r="K20" s="99">
        <f>J20/C21</f>
        <v>8.5429911513477581</v>
      </c>
      <c r="L20" s="104">
        <f>K20/12</f>
        <v>0.71191592927897984</v>
      </c>
      <c r="M20" s="5"/>
      <c r="N20" s="5"/>
      <c r="O20" s="5"/>
      <c r="P20" s="5"/>
      <c r="Q20" s="101"/>
      <c r="R20" s="54"/>
      <c r="S20" s="54"/>
      <c r="T20" s="54"/>
      <c r="U20" s="54"/>
      <c r="V20" s="54"/>
      <c r="W20" s="54"/>
      <c r="X20" s="54"/>
      <c r="Y20" s="54"/>
      <c r="Z20" s="60"/>
      <c r="AA20" s="106"/>
    </row>
    <row r="21" spans="1:32" ht="15.6" x14ac:dyDescent="0.3">
      <c r="A21" s="11" t="s">
        <v>98</v>
      </c>
      <c r="B21" s="3"/>
      <c r="C21" s="102">
        <f>SUM(C8:C12)</f>
        <v>78204</v>
      </c>
      <c r="D21" s="98"/>
      <c r="E21" s="99"/>
      <c r="F21" s="99"/>
      <c r="G21" s="100"/>
      <c r="H21" s="99"/>
      <c r="I21" s="99"/>
      <c r="J21" s="98"/>
      <c r="K21" s="99"/>
      <c r="L21" s="99"/>
      <c r="M21" s="5"/>
      <c r="N21" s="5"/>
      <c r="O21" s="5"/>
      <c r="P21" s="5"/>
      <c r="Q21" s="101"/>
      <c r="R21" s="54"/>
      <c r="S21" s="54"/>
      <c r="T21" s="54"/>
      <c r="U21" s="54"/>
      <c r="V21" s="54"/>
      <c r="W21" s="54"/>
      <c r="X21" s="54"/>
      <c r="Y21" s="54"/>
      <c r="Z21" s="60"/>
    </row>
    <row r="22" spans="1:32" ht="15.6" x14ac:dyDescent="0.3">
      <c r="A22" s="11" t="s">
        <v>99</v>
      </c>
      <c r="B22" s="3"/>
      <c r="C22" s="107">
        <f>(C21-C12)/C20</f>
        <v>0.41987033006189145</v>
      </c>
      <c r="D22" s="108" t="s">
        <v>100</v>
      </c>
      <c r="E22" s="3"/>
      <c r="F22" s="3"/>
      <c r="G22" s="16"/>
      <c r="H22" s="3"/>
      <c r="I22" s="3"/>
      <c r="J22" s="3"/>
      <c r="K22" s="3"/>
      <c r="L22" s="3"/>
      <c r="M22" s="5"/>
      <c r="N22" s="5"/>
      <c r="O22" s="5"/>
      <c r="P22" s="5"/>
      <c r="Q22" s="101"/>
      <c r="R22" s="54"/>
      <c r="S22" s="54"/>
      <c r="T22" s="54"/>
      <c r="U22" s="54"/>
      <c r="V22" s="54"/>
      <c r="W22" s="54"/>
      <c r="X22" s="54"/>
      <c r="Y22" s="54"/>
      <c r="Z22" s="60"/>
    </row>
    <row r="23" spans="1:32" ht="15.6" x14ac:dyDescent="0.3">
      <c r="A23" s="11" t="s">
        <v>101</v>
      </c>
      <c r="B23" s="3"/>
      <c r="C23" s="99">
        <f>(D20-D12)/(C21-C12)</f>
        <v>6.5644970850859714</v>
      </c>
      <c r="D23" s="109" t="s">
        <v>165</v>
      </c>
      <c r="E23" s="3"/>
      <c r="F23" s="104"/>
      <c r="G23" s="16"/>
      <c r="H23" s="3"/>
      <c r="I23" s="3"/>
      <c r="J23" s="3"/>
      <c r="K23" s="3"/>
      <c r="L23" s="3"/>
      <c r="M23" s="5"/>
      <c r="N23" s="5"/>
      <c r="O23" s="5"/>
      <c r="P23" s="5"/>
      <c r="Q23" s="101"/>
      <c r="R23" s="54"/>
      <c r="S23" s="54"/>
      <c r="T23" s="54"/>
      <c r="U23" s="54"/>
      <c r="V23" s="54"/>
      <c r="W23" s="54"/>
      <c r="X23" s="54"/>
      <c r="Y23" s="54"/>
      <c r="Z23" s="60"/>
    </row>
    <row r="24" spans="1:32" ht="15.6" x14ac:dyDescent="0.3">
      <c r="A24" s="11"/>
      <c r="B24" s="3"/>
      <c r="C24" s="99"/>
      <c r="D24" s="109"/>
      <c r="E24" s="3"/>
      <c r="F24" s="104"/>
      <c r="G24" s="16"/>
      <c r="H24" s="3"/>
      <c r="I24" s="3"/>
      <c r="J24" s="3"/>
      <c r="K24" s="3"/>
      <c r="L24" s="3"/>
      <c r="M24" s="5"/>
      <c r="N24" s="5"/>
      <c r="O24" s="5"/>
      <c r="P24" s="5"/>
      <c r="Q24" s="101"/>
      <c r="R24" s="54"/>
      <c r="S24" s="54"/>
      <c r="T24" s="54"/>
      <c r="U24" s="54"/>
      <c r="V24" s="54"/>
      <c r="W24" s="54"/>
      <c r="X24" s="54"/>
      <c r="Y24" s="54"/>
      <c r="Z24" s="60"/>
    </row>
    <row r="25" spans="1:32" ht="15.6" x14ac:dyDescent="0.3">
      <c r="A25" s="110" t="s">
        <v>166</v>
      </c>
      <c r="B25" s="3"/>
      <c r="C25" s="99"/>
      <c r="D25" s="109"/>
      <c r="E25" s="3"/>
      <c r="F25" s="104"/>
      <c r="G25" s="16"/>
      <c r="H25" s="3"/>
      <c r="I25" s="3"/>
      <c r="J25" s="3"/>
      <c r="K25" s="3"/>
      <c r="L25" s="3"/>
      <c r="M25" s="5"/>
      <c r="N25" s="5"/>
      <c r="O25" s="5"/>
      <c r="P25" s="5"/>
      <c r="Q25" s="101"/>
      <c r="R25" s="54"/>
      <c r="S25" s="54"/>
      <c r="T25" s="54"/>
      <c r="U25" s="54"/>
      <c r="V25" s="54"/>
      <c r="W25" s="54"/>
      <c r="X25" s="54"/>
      <c r="Y25" s="54"/>
      <c r="Z25" s="60"/>
    </row>
    <row r="26" spans="1:32" ht="15.6" x14ac:dyDescent="0.3">
      <c r="A26" s="110" t="s">
        <v>167</v>
      </c>
      <c r="B26" s="3"/>
      <c r="C26" s="99"/>
      <c r="D26" s="109"/>
      <c r="E26" s="3"/>
      <c r="F26" s="104"/>
      <c r="G26" s="16"/>
      <c r="H26" s="3"/>
      <c r="I26" s="3"/>
      <c r="J26" s="3"/>
      <c r="K26" s="3"/>
      <c r="L26" s="3"/>
      <c r="M26" s="5"/>
      <c r="N26" s="5"/>
      <c r="O26" s="5"/>
      <c r="P26" s="5"/>
      <c r="Q26" s="101"/>
      <c r="R26" s="54"/>
      <c r="S26" s="54"/>
      <c r="T26" s="54"/>
      <c r="U26" s="54"/>
      <c r="V26" s="54"/>
      <c r="W26" s="54"/>
      <c r="X26" s="54"/>
      <c r="Y26" s="54"/>
      <c r="Z26" s="60"/>
    </row>
    <row r="27" spans="1:32" ht="16.2" thickBot="1" x14ac:dyDescent="0.3">
      <c r="A27" s="200" t="s">
        <v>212</v>
      </c>
      <c r="B27" s="111"/>
      <c r="C27" s="111"/>
      <c r="D27" s="111"/>
      <c r="E27" s="111"/>
      <c r="F27" s="111"/>
      <c r="G27" s="112"/>
      <c r="H27" s="111"/>
      <c r="I27" s="111"/>
      <c r="J27" s="111"/>
      <c r="K27" s="111"/>
      <c r="L27" s="111"/>
      <c r="M27" s="111"/>
      <c r="N27" s="111"/>
      <c r="O27" s="111"/>
      <c r="P27" s="111"/>
      <c r="Q27" s="113"/>
      <c r="Z27" s="60"/>
    </row>
    <row r="28" spans="1:32" ht="16.2" thickTop="1" x14ac:dyDescent="0.25">
      <c r="B28" s="49"/>
      <c r="C28" s="49"/>
      <c r="D28" s="115"/>
      <c r="E28" s="116"/>
      <c r="J28" s="49"/>
      <c r="K28" s="117"/>
      <c r="M28" s="118"/>
      <c r="N28" s="119"/>
      <c r="O28" s="119"/>
      <c r="P28" s="119"/>
      <c r="Q28" s="21"/>
      <c r="R28" s="21"/>
      <c r="S28" s="21"/>
      <c r="T28" s="21"/>
      <c r="U28" s="21"/>
      <c r="V28" s="21"/>
      <c r="W28" s="21"/>
      <c r="X28" s="21"/>
      <c r="Y28" s="21"/>
      <c r="Z28" s="60"/>
    </row>
    <row r="29" spans="1:32" ht="15.6" x14ac:dyDescent="0.3">
      <c r="A29" s="5"/>
      <c r="B29" s="49"/>
      <c r="C29" s="49"/>
      <c r="D29" s="115"/>
      <c r="E29" s="116"/>
      <c r="I29" s="49"/>
      <c r="M29" s="118"/>
      <c r="N29" s="119"/>
      <c r="O29" s="119"/>
      <c r="P29" s="119"/>
      <c r="Q29" s="21"/>
      <c r="R29" s="21"/>
      <c r="S29" s="21"/>
      <c r="T29" s="21"/>
      <c r="U29" s="21"/>
      <c r="V29" s="21"/>
      <c r="W29" s="21"/>
      <c r="X29" s="21"/>
      <c r="Y29" s="21"/>
      <c r="Z29" s="60"/>
    </row>
    <row r="30" spans="1:32" ht="15.6" x14ac:dyDescent="0.3">
      <c r="A30" s="5"/>
      <c r="B30" s="49"/>
      <c r="C30" s="49"/>
      <c r="D30" s="115"/>
      <c r="E30" s="116"/>
      <c r="I30" s="49"/>
      <c r="M30" s="118"/>
      <c r="N30" s="119"/>
      <c r="O30" s="119"/>
      <c r="P30" s="119"/>
      <c r="Q30" s="21"/>
      <c r="R30" s="21"/>
      <c r="S30" s="21"/>
      <c r="T30" s="21"/>
      <c r="U30" s="21"/>
      <c r="V30" s="21"/>
      <c r="W30" s="21"/>
      <c r="X30" s="21"/>
      <c r="Y30" s="21"/>
      <c r="Z30" s="60"/>
    </row>
    <row r="31" spans="1:32" ht="15.6" x14ac:dyDescent="0.3">
      <c r="A31" s="5"/>
      <c r="B31" s="49"/>
      <c r="C31" s="49"/>
      <c r="D31" s="115"/>
      <c r="E31" s="116"/>
      <c r="I31" s="49"/>
      <c r="M31" s="118"/>
      <c r="N31" s="119"/>
      <c r="O31" s="119"/>
      <c r="P31" s="119"/>
      <c r="Q31" s="21"/>
      <c r="R31" s="21"/>
      <c r="S31" s="21"/>
      <c r="T31" s="21"/>
      <c r="U31" s="21"/>
      <c r="V31" s="21"/>
      <c r="W31" s="21"/>
      <c r="X31" s="21"/>
      <c r="Y31" s="21"/>
      <c r="Z31" s="60"/>
    </row>
    <row r="32" spans="1:32" ht="15.6" outlineLevel="1" x14ac:dyDescent="0.25">
      <c r="J32" s="49"/>
      <c r="K32" s="117"/>
      <c r="M32" s="118"/>
      <c r="N32" s="119"/>
      <c r="O32" s="119"/>
      <c r="P32" s="119"/>
      <c r="Q32" s="21"/>
      <c r="R32" s="21"/>
      <c r="S32" s="21"/>
      <c r="T32" s="21"/>
      <c r="U32" s="21"/>
      <c r="V32" s="21"/>
      <c r="W32" s="21"/>
      <c r="X32" s="21"/>
      <c r="Y32" s="21"/>
      <c r="Z32" s="60"/>
      <c r="AA32" s="120"/>
    </row>
    <row r="33" spans="1:27" ht="15.6" outlineLevel="1" x14ac:dyDescent="0.25">
      <c r="A33" s="120"/>
      <c r="B33" s="114"/>
      <c r="C33" s="49"/>
      <c r="D33" s="49"/>
      <c r="J33" s="49"/>
      <c r="K33" s="117"/>
      <c r="M33" s="118"/>
      <c r="N33" s="119"/>
      <c r="O33" s="119"/>
      <c r="P33" s="119"/>
      <c r="Q33" s="21"/>
      <c r="R33" s="21"/>
      <c r="S33" s="21"/>
      <c r="T33" s="21"/>
      <c r="U33" s="21"/>
      <c r="V33" s="21"/>
      <c r="W33" s="21"/>
      <c r="X33" s="21"/>
      <c r="Y33" s="21"/>
      <c r="Z33" s="60"/>
      <c r="AA33" s="120"/>
    </row>
    <row r="34" spans="1:27" ht="15.6" outlineLevel="1" x14ac:dyDescent="0.25">
      <c r="A34" s="120"/>
      <c r="B34" s="114"/>
      <c r="C34" s="121"/>
      <c r="D34" s="121"/>
      <c r="J34" s="49"/>
      <c r="K34" s="117"/>
      <c r="M34" s="118"/>
      <c r="N34" s="119"/>
      <c r="O34" s="119"/>
      <c r="P34" s="119"/>
      <c r="Q34" s="21"/>
      <c r="R34" s="21"/>
      <c r="S34" s="21"/>
      <c r="T34" s="21"/>
      <c r="U34" s="21"/>
      <c r="V34" s="21"/>
      <c r="W34" s="21"/>
      <c r="X34" s="21"/>
      <c r="Y34" s="21"/>
      <c r="Z34" s="60"/>
      <c r="AA34" s="120"/>
    </row>
    <row r="35" spans="1:27" ht="15.6" outlineLevel="1" x14ac:dyDescent="0.25">
      <c r="A35" s="120"/>
      <c r="B35" s="114"/>
      <c r="C35" s="49"/>
      <c r="D35" s="49"/>
      <c r="M35" s="118"/>
      <c r="N35" s="119"/>
      <c r="O35" s="119"/>
      <c r="P35" s="119"/>
      <c r="Q35" s="21"/>
      <c r="R35" s="21"/>
      <c r="S35" s="21"/>
      <c r="T35" s="21"/>
      <c r="U35" s="21"/>
      <c r="V35" s="21"/>
      <c r="W35" s="21"/>
      <c r="X35" s="21"/>
      <c r="Y35" s="21"/>
      <c r="Z35" s="60"/>
      <c r="AA35" s="120"/>
    </row>
    <row r="36" spans="1:27" ht="15.6" outlineLevel="1" x14ac:dyDescent="0.25">
      <c r="A36" s="120"/>
      <c r="B36" s="114"/>
      <c r="C36" s="49"/>
      <c r="J36" s="49"/>
      <c r="K36" s="117"/>
      <c r="M36" s="118"/>
      <c r="N36" s="119"/>
      <c r="O36" s="119"/>
      <c r="P36" s="119"/>
      <c r="Q36" s="21"/>
      <c r="R36" s="21"/>
      <c r="S36" s="21"/>
      <c r="T36" s="21"/>
      <c r="U36" s="21"/>
      <c r="V36" s="21"/>
      <c r="W36" s="21"/>
      <c r="X36" s="21"/>
      <c r="Y36" s="21"/>
      <c r="Z36" s="60"/>
      <c r="AA36" s="120"/>
    </row>
    <row r="37" spans="1:27" ht="15.6" outlineLevel="1" x14ac:dyDescent="0.25">
      <c r="A37" s="120"/>
      <c r="B37" s="114"/>
      <c r="C37" s="121"/>
      <c r="D37" s="84"/>
      <c r="J37" s="49"/>
      <c r="K37" s="117"/>
      <c r="M37" s="118"/>
      <c r="N37" s="119"/>
      <c r="O37" s="119"/>
      <c r="P37" s="119"/>
      <c r="Q37" s="21"/>
      <c r="R37" s="21"/>
      <c r="S37" s="21"/>
      <c r="T37" s="21"/>
      <c r="U37" s="21"/>
      <c r="V37" s="21"/>
      <c r="W37" s="21"/>
      <c r="X37" s="21"/>
      <c r="Y37" s="21"/>
      <c r="Z37" s="60"/>
      <c r="AA37" s="120"/>
    </row>
    <row r="38" spans="1:27" ht="15.6" outlineLevel="1" x14ac:dyDescent="0.25">
      <c r="A38" s="120"/>
      <c r="B38" s="114"/>
      <c r="C38" s="49"/>
      <c r="J38" s="49"/>
      <c r="K38" s="117"/>
      <c r="M38" s="118"/>
      <c r="N38" s="119"/>
      <c r="O38" s="119"/>
      <c r="P38" s="119"/>
      <c r="Q38" s="21"/>
      <c r="R38" s="21"/>
      <c r="S38" s="21"/>
      <c r="T38" s="21"/>
      <c r="U38" s="21"/>
      <c r="V38" s="21"/>
      <c r="W38" s="21"/>
      <c r="X38" s="21"/>
      <c r="Y38" s="21"/>
      <c r="Z38" s="60"/>
      <c r="AA38" s="120"/>
    </row>
    <row r="39" spans="1:27" ht="15.6" outlineLevel="1" x14ac:dyDescent="0.25">
      <c r="A39" s="120"/>
      <c r="B39" s="114"/>
      <c r="C39" s="49"/>
      <c r="D39" s="122"/>
      <c r="M39" s="118"/>
      <c r="N39" s="119"/>
      <c r="O39" s="119"/>
      <c r="P39" s="119"/>
      <c r="Q39" s="21"/>
      <c r="R39" s="21"/>
      <c r="S39" s="21"/>
      <c r="T39" s="21"/>
      <c r="U39" s="21"/>
      <c r="V39" s="21"/>
      <c r="W39" s="21"/>
      <c r="X39" s="21"/>
      <c r="Y39" s="21"/>
      <c r="Z39" s="60"/>
      <c r="AA39" s="120"/>
    </row>
    <row r="40" spans="1:27" ht="15.6" outlineLevel="1" x14ac:dyDescent="0.25">
      <c r="A40" s="120"/>
      <c r="B40" s="114"/>
      <c r="C40" s="49"/>
      <c r="D40" s="49"/>
      <c r="M40" s="118"/>
      <c r="N40" s="119"/>
      <c r="O40" s="119"/>
      <c r="P40" s="119"/>
      <c r="Q40" s="21"/>
      <c r="R40" s="21"/>
      <c r="S40" s="21"/>
      <c r="T40" s="21"/>
      <c r="U40" s="21"/>
      <c r="V40" s="21"/>
      <c r="W40" s="21"/>
      <c r="X40" s="21"/>
      <c r="Y40" s="21"/>
      <c r="Z40" s="60"/>
      <c r="AA40" s="120"/>
    </row>
    <row r="41" spans="1:27" ht="15.6" outlineLevel="1" x14ac:dyDescent="0.25">
      <c r="A41" s="120"/>
      <c r="B41" s="114"/>
      <c r="C41" s="49"/>
      <c r="D41" s="122"/>
      <c r="J41" s="49"/>
      <c r="K41" s="117"/>
      <c r="M41" s="119"/>
      <c r="N41" s="119"/>
      <c r="O41" s="119"/>
      <c r="P41" s="119"/>
      <c r="Q41" s="21"/>
      <c r="R41" s="21"/>
      <c r="S41" s="21"/>
      <c r="T41" s="21"/>
      <c r="U41" s="21"/>
      <c r="V41" s="21"/>
      <c r="W41" s="21"/>
      <c r="X41" s="21"/>
      <c r="Y41" s="21"/>
      <c r="Z41" s="60"/>
      <c r="AA41" s="120"/>
    </row>
    <row r="42" spans="1:27" ht="15.6" outlineLevel="1" x14ac:dyDescent="0.25">
      <c r="A42" s="120"/>
      <c r="B42" s="114"/>
      <c r="C42" s="49"/>
      <c r="D42" s="122"/>
      <c r="M42" s="119"/>
      <c r="N42" s="119"/>
      <c r="O42" s="119"/>
      <c r="P42" s="119"/>
      <c r="Q42" s="21"/>
      <c r="R42" s="21"/>
      <c r="S42" s="21"/>
      <c r="T42" s="21"/>
      <c r="U42" s="21"/>
      <c r="V42" s="21"/>
      <c r="W42" s="21"/>
      <c r="X42" s="21"/>
      <c r="Y42" s="21"/>
      <c r="Z42" s="60"/>
      <c r="AA42" s="120"/>
    </row>
    <row r="43" spans="1:27" ht="15.6" outlineLevel="1" x14ac:dyDescent="0.25">
      <c r="A43" s="120"/>
      <c r="B43" s="114"/>
      <c r="C43" s="49"/>
      <c r="J43" s="49"/>
      <c r="K43" s="117"/>
      <c r="M43" s="119"/>
      <c r="N43" s="119"/>
      <c r="O43" s="119"/>
      <c r="P43" s="119"/>
      <c r="Q43" s="21"/>
      <c r="R43" s="21"/>
      <c r="S43" s="21"/>
      <c r="T43" s="21"/>
      <c r="U43" s="21"/>
      <c r="V43" s="21"/>
      <c r="W43" s="21"/>
      <c r="X43" s="21"/>
      <c r="Y43" s="21"/>
      <c r="Z43" s="60"/>
      <c r="AA43" s="120"/>
    </row>
    <row r="44" spans="1:27" ht="15.6" outlineLevel="1" x14ac:dyDescent="0.25">
      <c r="A44" s="120"/>
      <c r="B44" s="114"/>
      <c r="C44" s="49"/>
      <c r="J44" s="49"/>
      <c r="K44" s="117"/>
      <c r="M44" s="119"/>
      <c r="N44" s="119"/>
      <c r="O44" s="119"/>
      <c r="P44" s="119"/>
      <c r="Q44" s="21"/>
      <c r="R44" s="21"/>
      <c r="S44" s="21"/>
      <c r="T44" s="21"/>
      <c r="U44" s="21"/>
      <c r="V44" s="21"/>
      <c r="W44" s="21"/>
      <c r="X44" s="21"/>
      <c r="Y44" s="21"/>
      <c r="Z44" s="60"/>
      <c r="AA44" s="120"/>
    </row>
    <row r="45" spans="1:27" ht="15.6" outlineLevel="1" x14ac:dyDescent="0.25">
      <c r="A45" s="120"/>
      <c r="B45" s="114"/>
      <c r="C45" s="49"/>
      <c r="J45" s="49"/>
      <c r="K45" s="117"/>
      <c r="M45" s="119"/>
      <c r="N45" s="119"/>
      <c r="O45" s="119"/>
      <c r="P45" s="119"/>
      <c r="Q45" s="21"/>
      <c r="R45" s="21"/>
      <c r="S45" s="21"/>
      <c r="T45" s="21"/>
      <c r="U45" s="21"/>
      <c r="V45" s="21"/>
      <c r="W45" s="21"/>
      <c r="X45" s="21"/>
      <c r="Y45" s="21"/>
      <c r="Z45" s="60"/>
      <c r="AA45" s="120"/>
    </row>
    <row r="46" spans="1:27" ht="15.6" outlineLevel="1" x14ac:dyDescent="0.25">
      <c r="A46" s="120"/>
      <c r="B46" s="114"/>
      <c r="C46" s="49"/>
      <c r="J46" s="49"/>
      <c r="K46" s="117"/>
      <c r="M46" s="119"/>
      <c r="N46" s="119"/>
      <c r="O46" s="119"/>
      <c r="P46" s="119"/>
      <c r="Q46" s="21"/>
      <c r="R46" s="21"/>
      <c r="S46" s="21"/>
      <c r="T46" s="21"/>
      <c r="U46" s="21"/>
      <c r="V46" s="21"/>
      <c r="W46" s="21"/>
      <c r="X46" s="21"/>
      <c r="Y46" s="21"/>
      <c r="Z46" s="60"/>
      <c r="AA46" s="120"/>
    </row>
    <row r="47" spans="1:27" ht="15.6" outlineLevel="1" x14ac:dyDescent="0.25">
      <c r="A47" s="120"/>
      <c r="B47" s="114"/>
      <c r="C47" s="49"/>
      <c r="J47" s="49"/>
      <c r="K47" s="117"/>
      <c r="M47" s="119"/>
      <c r="N47" s="119"/>
      <c r="O47" s="119"/>
      <c r="P47" s="119"/>
      <c r="Q47" s="21"/>
      <c r="R47" s="21"/>
      <c r="S47" s="21"/>
      <c r="T47" s="21"/>
      <c r="U47" s="21"/>
      <c r="V47" s="21"/>
      <c r="W47" s="21"/>
      <c r="X47" s="21"/>
      <c r="Y47" s="21"/>
      <c r="Z47" s="60"/>
      <c r="AA47" s="120"/>
    </row>
    <row r="48" spans="1:27" ht="15.6" outlineLevel="1" x14ac:dyDescent="0.25">
      <c r="A48" s="120"/>
      <c r="C48" s="49"/>
      <c r="J48" s="49"/>
      <c r="K48" s="117"/>
      <c r="M48" s="119"/>
      <c r="N48" s="119"/>
      <c r="O48" s="119"/>
      <c r="P48" s="119"/>
      <c r="Q48" s="21"/>
      <c r="R48" s="21"/>
      <c r="S48" s="21"/>
      <c r="T48" s="21"/>
      <c r="U48" s="21"/>
      <c r="V48" s="21"/>
      <c r="W48" s="21"/>
      <c r="X48" s="21"/>
      <c r="Y48" s="21"/>
      <c r="Z48" s="60"/>
      <c r="AA48" s="120"/>
    </row>
    <row r="49" spans="1:27" ht="15.6" outlineLevel="1" x14ac:dyDescent="0.25">
      <c r="B49" s="114"/>
      <c r="C49" s="49"/>
      <c r="J49" s="49"/>
      <c r="K49" s="117"/>
      <c r="M49" s="119"/>
      <c r="N49" s="119"/>
      <c r="O49" s="119"/>
      <c r="P49" s="119"/>
      <c r="Q49" s="21"/>
      <c r="R49" s="21"/>
      <c r="S49" s="21"/>
      <c r="T49" s="21"/>
      <c r="U49" s="21"/>
      <c r="V49" s="21"/>
      <c r="W49" s="21"/>
      <c r="X49" s="21"/>
      <c r="Y49" s="21"/>
      <c r="Z49" s="60"/>
      <c r="AA49" s="120"/>
    </row>
    <row r="50" spans="1:27" ht="15.6" outlineLevel="1" x14ac:dyDescent="0.25">
      <c r="B50" s="114"/>
      <c r="C50" s="49"/>
      <c r="J50" s="49"/>
      <c r="K50" s="117"/>
      <c r="M50" s="119"/>
      <c r="N50" s="119"/>
      <c r="O50" s="119"/>
      <c r="P50" s="119"/>
      <c r="Q50" s="21"/>
      <c r="R50" s="21"/>
      <c r="S50" s="21"/>
      <c r="T50" s="21"/>
      <c r="U50" s="21"/>
      <c r="V50" s="21"/>
      <c r="W50" s="21"/>
      <c r="X50" s="21"/>
      <c r="Y50" s="21"/>
      <c r="Z50" s="60"/>
      <c r="AA50" s="120"/>
    </row>
    <row r="51" spans="1:27" outlineLevel="1" x14ac:dyDescent="0.25">
      <c r="C51" s="49"/>
      <c r="D51" s="49"/>
    </row>
    <row r="53" spans="1:27" x14ac:dyDescent="0.25">
      <c r="A53" s="120"/>
    </row>
    <row r="54" spans="1:27" x14ac:dyDescent="0.25">
      <c r="A54" s="120">
        <f t="shared" ref="A54:A64" si="0">A33</f>
        <v>0</v>
      </c>
      <c r="B54" s="114">
        <v>1</v>
      </c>
      <c r="C54" s="49">
        <v>3600</v>
      </c>
    </row>
    <row r="55" spans="1:27" x14ac:dyDescent="0.25">
      <c r="A55" s="120">
        <f t="shared" si="0"/>
        <v>0</v>
      </c>
      <c r="B55" s="114">
        <v>2</v>
      </c>
      <c r="C55" s="49">
        <v>1200</v>
      </c>
    </row>
    <row r="56" spans="1:27" x14ac:dyDescent="0.25">
      <c r="A56" s="120">
        <f t="shared" si="0"/>
        <v>0</v>
      </c>
      <c r="B56" s="114">
        <v>3</v>
      </c>
      <c r="C56" s="49">
        <v>1200</v>
      </c>
    </row>
    <row r="57" spans="1:27" x14ac:dyDescent="0.25">
      <c r="A57" s="120">
        <f t="shared" si="0"/>
        <v>0</v>
      </c>
      <c r="B57" s="114">
        <v>4</v>
      </c>
      <c r="C57" s="49">
        <v>1500</v>
      </c>
    </row>
    <row r="58" spans="1:27" x14ac:dyDescent="0.25">
      <c r="A58" s="120">
        <f t="shared" si="0"/>
        <v>0</v>
      </c>
      <c r="B58" s="114">
        <v>5</v>
      </c>
      <c r="C58" s="49">
        <v>1500</v>
      </c>
    </row>
    <row r="59" spans="1:27" x14ac:dyDescent="0.25">
      <c r="A59" s="120">
        <f t="shared" si="0"/>
        <v>0</v>
      </c>
      <c r="B59" s="114">
        <v>6</v>
      </c>
      <c r="C59" s="49">
        <v>1500</v>
      </c>
    </row>
    <row r="60" spans="1:27" x14ac:dyDescent="0.25">
      <c r="A60" s="120">
        <f t="shared" si="0"/>
        <v>0</v>
      </c>
      <c r="B60" s="114">
        <v>7</v>
      </c>
      <c r="C60" s="49">
        <v>1500</v>
      </c>
    </row>
    <row r="61" spans="1:27" x14ac:dyDescent="0.25">
      <c r="A61" s="120">
        <f t="shared" si="0"/>
        <v>0</v>
      </c>
      <c r="B61" s="114">
        <v>8</v>
      </c>
      <c r="C61" s="49">
        <v>1200</v>
      </c>
    </row>
    <row r="62" spans="1:27" x14ac:dyDescent="0.25">
      <c r="A62" s="120">
        <f t="shared" si="0"/>
        <v>0</v>
      </c>
      <c r="B62" s="114">
        <v>9</v>
      </c>
      <c r="C62" s="49">
        <v>1200</v>
      </c>
    </row>
    <row r="63" spans="1:27" x14ac:dyDescent="0.25">
      <c r="A63" s="120">
        <f t="shared" si="0"/>
        <v>0</v>
      </c>
      <c r="B63" s="114">
        <v>10</v>
      </c>
      <c r="C63" s="49">
        <v>1200</v>
      </c>
    </row>
    <row r="64" spans="1:27" x14ac:dyDescent="0.25">
      <c r="A64" s="120">
        <f t="shared" si="0"/>
        <v>0</v>
      </c>
      <c r="B64" s="114">
        <v>11</v>
      </c>
      <c r="C64" s="49">
        <v>1200</v>
      </c>
    </row>
    <row r="65" spans="1:3" x14ac:dyDescent="0.25">
      <c r="A65" s="120"/>
      <c r="B65" s="114"/>
      <c r="C65" s="49"/>
    </row>
    <row r="66" spans="1:3" x14ac:dyDescent="0.25">
      <c r="A66" s="120"/>
      <c r="B66" s="114"/>
      <c r="C66" s="49">
        <f>SUM(C54:C64)</f>
        <v>16800</v>
      </c>
    </row>
    <row r="67" spans="1:3" x14ac:dyDescent="0.25">
      <c r="A67" s="120"/>
      <c r="B67" s="114"/>
      <c r="C67" s="49"/>
    </row>
    <row r="68" spans="1:3" x14ac:dyDescent="0.25">
      <c r="A68" s="120"/>
      <c r="B68" s="114"/>
      <c r="C68" s="49"/>
    </row>
    <row r="69" spans="1:3" x14ac:dyDescent="0.25">
      <c r="B69" s="114"/>
      <c r="C69" s="49"/>
    </row>
    <row r="70" spans="1:3" x14ac:dyDescent="0.25">
      <c r="B70" s="114"/>
      <c r="C70" s="49"/>
    </row>
    <row r="71" spans="1:3" x14ac:dyDescent="0.25">
      <c r="A71" s="120"/>
    </row>
  </sheetData>
  <phoneticPr fontId="0" type="noConversion"/>
  <pageMargins left="0.75" right="0.75" top="1" bottom="0.75" header="0.25" footer="0.25"/>
  <pageSetup scale="62" orientation="landscape" horizontalDpi="4294967292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pageSetUpPr fitToPage="1"/>
  </sheetPr>
  <dimension ref="A1:AV53"/>
  <sheetViews>
    <sheetView workbookViewId="0"/>
  </sheetViews>
  <sheetFormatPr defaultColWidth="9.109375" defaultRowHeight="13.2" outlineLevelCol="1" x14ac:dyDescent="0.25"/>
  <cols>
    <col min="1" max="1" width="30.21875" style="4" customWidth="1"/>
    <col min="2" max="2" width="9.44140625" style="4" customWidth="1"/>
    <col min="3" max="3" width="11.77734375" style="4" customWidth="1"/>
    <col min="4" max="12" width="14.21875" style="4" customWidth="1"/>
    <col min="13" max="13" width="9.109375" style="4"/>
    <col min="14" max="14" width="30.21875" style="4" customWidth="1" outlineLevel="1"/>
    <col min="15" max="15" width="9.109375" style="4" outlineLevel="1"/>
    <col min="16" max="17" width="11.21875" style="4" customWidth="1" outlineLevel="1"/>
    <col min="18" max="24" width="12.88671875" style="4" customWidth="1" outlineLevel="1"/>
    <col min="25" max="25" width="12.88671875" style="4" customWidth="1"/>
    <col min="26" max="16384" width="9.109375" style="4"/>
  </cols>
  <sheetData>
    <row r="1" spans="1:25" ht="16.2" x14ac:dyDescent="0.35">
      <c r="A1" s="3" t="s">
        <v>102</v>
      </c>
      <c r="B1" s="3"/>
      <c r="C1" s="3"/>
      <c r="D1" s="123"/>
      <c r="E1" s="123"/>
      <c r="F1" s="123"/>
      <c r="G1" s="123"/>
      <c r="H1" s="123"/>
      <c r="I1" s="123"/>
      <c r="J1" s="123"/>
      <c r="K1" s="124"/>
      <c r="L1" s="123"/>
      <c r="M1" s="5"/>
      <c r="N1" s="5"/>
      <c r="O1" s="5"/>
    </row>
    <row r="2" spans="1:25" ht="16.2" x14ac:dyDescent="0.35">
      <c r="A2" s="3"/>
      <c r="B2" s="3"/>
      <c r="C2" s="3"/>
      <c r="D2" s="123"/>
      <c r="E2" s="123"/>
      <c r="F2" s="123"/>
      <c r="G2" s="123"/>
      <c r="H2" s="123"/>
      <c r="I2" s="123"/>
      <c r="J2" s="123"/>
      <c r="K2" s="124"/>
      <c r="L2" s="123"/>
      <c r="M2" s="5"/>
      <c r="N2" s="5"/>
      <c r="O2" s="5"/>
    </row>
    <row r="3" spans="1:25" ht="15.6" x14ac:dyDescent="0.3">
      <c r="A3" s="3"/>
      <c r="B3" s="3"/>
      <c r="C3" s="125" t="s">
        <v>103</v>
      </c>
      <c r="D3" s="16" t="s">
        <v>13</v>
      </c>
      <c r="E3" s="16" t="s">
        <v>14</v>
      </c>
      <c r="F3" s="16" t="s">
        <v>15</v>
      </c>
      <c r="G3" s="16" t="s">
        <v>16</v>
      </c>
      <c r="H3" s="16" t="s">
        <v>17</v>
      </c>
      <c r="I3" s="16" t="s">
        <v>18</v>
      </c>
      <c r="J3" s="16" t="s">
        <v>19</v>
      </c>
      <c r="K3" s="16" t="s">
        <v>20</v>
      </c>
      <c r="L3" s="16" t="s">
        <v>21</v>
      </c>
      <c r="M3" s="5"/>
      <c r="N3" s="5"/>
      <c r="O3" s="5"/>
    </row>
    <row r="4" spans="1:25" ht="15.6" x14ac:dyDescent="0.3">
      <c r="A4" s="3"/>
      <c r="C4" s="125" t="s">
        <v>104</v>
      </c>
      <c r="D4" s="126">
        <f>0.55*12</f>
        <v>6.6000000000000005</v>
      </c>
      <c r="E4" s="126">
        <f t="shared" ref="E4:L4" si="0">D4*1.03</f>
        <v>6.7980000000000009</v>
      </c>
      <c r="F4" s="126">
        <f t="shared" si="0"/>
        <v>7.0019400000000012</v>
      </c>
      <c r="G4" s="126">
        <f t="shared" si="0"/>
        <v>7.2119982000000018</v>
      </c>
      <c r="H4" s="126">
        <f t="shared" si="0"/>
        <v>7.4283581460000017</v>
      </c>
      <c r="I4" s="126">
        <f t="shared" si="0"/>
        <v>7.6512088903800022</v>
      </c>
      <c r="J4" s="126">
        <f t="shared" si="0"/>
        <v>7.8807451570914022</v>
      </c>
      <c r="K4" s="126">
        <f t="shared" si="0"/>
        <v>8.1171675118041442</v>
      </c>
      <c r="L4" s="126">
        <f t="shared" si="0"/>
        <v>8.3606825371582687</v>
      </c>
      <c r="M4" s="126"/>
      <c r="N4" s="5"/>
      <c r="O4" s="5"/>
    </row>
    <row r="5" spans="1:25" ht="16.2" thickBot="1" x14ac:dyDescent="0.35">
      <c r="A5" s="3"/>
      <c r="B5" s="3"/>
      <c r="C5" s="3" t="s">
        <v>241</v>
      </c>
      <c r="D5" s="126">
        <f>0.4*12</f>
        <v>4.8000000000000007</v>
      </c>
      <c r="E5" s="126">
        <f>D5*1.03</f>
        <v>4.9440000000000008</v>
      </c>
      <c r="F5" s="126">
        <f t="shared" ref="F5:L5" si="1">E5*1.03</f>
        <v>5.0923200000000008</v>
      </c>
      <c r="G5" s="126">
        <f t="shared" si="1"/>
        <v>5.2450896000000009</v>
      </c>
      <c r="H5" s="126">
        <f t="shared" si="1"/>
        <v>5.4024422880000014</v>
      </c>
      <c r="I5" s="126">
        <f t="shared" si="1"/>
        <v>5.5645155566400017</v>
      </c>
      <c r="J5" s="126">
        <f t="shared" si="1"/>
        <v>5.7314510233392015</v>
      </c>
      <c r="K5" s="126">
        <f t="shared" si="1"/>
        <v>5.9033945540393775</v>
      </c>
      <c r="L5" s="126">
        <f t="shared" si="1"/>
        <v>6.0804963906605591</v>
      </c>
      <c r="M5" s="5"/>
    </row>
    <row r="6" spans="1:25" ht="16.8" thickTop="1" thickBot="1" x14ac:dyDescent="0.35">
      <c r="A6" s="6"/>
      <c r="B6" s="7"/>
      <c r="C6" s="8" t="s">
        <v>11</v>
      </c>
      <c r="D6" s="9">
        <v>38869</v>
      </c>
      <c r="E6" s="9">
        <v>39234</v>
      </c>
      <c r="F6" s="9">
        <v>39600</v>
      </c>
      <c r="G6" s="9">
        <v>39965</v>
      </c>
      <c r="H6" s="9">
        <v>40330</v>
      </c>
      <c r="I6" s="9">
        <v>40695</v>
      </c>
      <c r="J6" s="9">
        <v>41061</v>
      </c>
      <c r="K6" s="9">
        <v>41426</v>
      </c>
      <c r="L6" s="10">
        <v>41791</v>
      </c>
      <c r="M6" s="5"/>
    </row>
    <row r="7" spans="1:25" ht="16.8" thickTop="1" thickBot="1" x14ac:dyDescent="0.35">
      <c r="A7" s="11" t="s">
        <v>105</v>
      </c>
      <c r="B7" s="16" t="s">
        <v>22</v>
      </c>
      <c r="C7" s="16" t="s">
        <v>23</v>
      </c>
      <c r="D7" s="12" t="s">
        <v>13</v>
      </c>
      <c r="E7" s="13" t="s">
        <v>14</v>
      </c>
      <c r="F7" s="13" t="s">
        <v>15</v>
      </c>
      <c r="G7" s="13" t="s">
        <v>16</v>
      </c>
      <c r="H7" s="13" t="s">
        <v>17</v>
      </c>
      <c r="I7" s="13" t="s">
        <v>18</v>
      </c>
      <c r="J7" s="13" t="s">
        <v>19</v>
      </c>
      <c r="K7" s="13" t="s">
        <v>20</v>
      </c>
      <c r="L7" s="14" t="s">
        <v>21</v>
      </c>
      <c r="M7" s="5"/>
      <c r="N7" s="72" t="s">
        <v>106</v>
      </c>
      <c r="O7" s="54" t="s">
        <v>107</v>
      </c>
      <c r="P7" s="127" t="s">
        <v>1</v>
      </c>
      <c r="Q7" s="127" t="s">
        <v>1</v>
      </c>
      <c r="R7" s="127" t="s">
        <v>1</v>
      </c>
      <c r="S7" s="127" t="s">
        <v>1</v>
      </c>
      <c r="T7" s="127" t="s">
        <v>1</v>
      </c>
      <c r="U7" s="127" t="s">
        <v>1</v>
      </c>
      <c r="V7" s="127" t="s">
        <v>1</v>
      </c>
      <c r="W7" s="127" t="s">
        <v>1</v>
      </c>
      <c r="X7" s="127" t="s">
        <v>1</v>
      </c>
      <c r="Y7" s="127" t="s">
        <v>1</v>
      </c>
    </row>
    <row r="8" spans="1:25" ht="16.2" thickTop="1" x14ac:dyDescent="0.3">
      <c r="A8" s="15"/>
      <c r="B8" s="128"/>
      <c r="C8" s="129"/>
      <c r="D8" s="130"/>
      <c r="E8" s="130"/>
      <c r="F8" s="130"/>
      <c r="G8" s="130"/>
      <c r="H8" s="130"/>
      <c r="I8" s="130"/>
      <c r="J8" s="130"/>
      <c r="K8" s="130"/>
      <c r="L8" s="131"/>
      <c r="M8" s="5"/>
      <c r="N8" s="72" t="s">
        <v>30</v>
      </c>
      <c r="O8" s="54">
        <v>2801</v>
      </c>
      <c r="P8" s="127">
        <v>203370</v>
      </c>
      <c r="Q8" s="127">
        <v>210092</v>
      </c>
      <c r="R8" s="127">
        <v>214317</v>
      </c>
      <c r="S8" s="127">
        <v>138500</v>
      </c>
      <c r="T8" s="127">
        <v>142308</v>
      </c>
      <c r="U8" s="127">
        <v>146577</v>
      </c>
      <c r="V8" s="127">
        <v>150974</v>
      </c>
      <c r="W8" s="127">
        <v>155504</v>
      </c>
      <c r="X8" s="127">
        <v>160169</v>
      </c>
      <c r="Y8" s="127">
        <v>164573</v>
      </c>
    </row>
    <row r="9" spans="1:25" ht="15.6" x14ac:dyDescent="0.3">
      <c r="A9" s="19" t="str">
        <f>'Table 1.0'!A8</f>
        <v>Qantas Airways</v>
      </c>
      <c r="B9" s="20">
        <f>'Table 1.0'!B8</f>
        <v>1</v>
      </c>
      <c r="C9" s="21">
        <f>'Table 1.0'!C8</f>
        <v>19204</v>
      </c>
      <c r="D9" s="132">
        <f>IF($C9,P8/$C9,0)-P23</f>
        <v>8.0736330816008905</v>
      </c>
      <c r="E9" s="132">
        <f>IF($C9,Q8/$C9,0)-Q23</f>
        <v>8.2478972662136218</v>
      </c>
      <c r="F9" s="132">
        <f>IF($C9,R8/$C9,0)-R23</f>
        <v>8.3551510884417901</v>
      </c>
      <c r="G9" s="132">
        <f t="shared" ref="G9:G18" si="2">IF($C9,S8/$C9,0)</f>
        <v>7.2120391585086443</v>
      </c>
      <c r="H9" s="132">
        <f t="shared" ref="H9:H18" si="3">IF($C9,T8/$C9,0)</f>
        <v>7.4103311810039578</v>
      </c>
      <c r="I9" s="132">
        <f t="shared" ref="I9:I18" si="4">IF($C9,U8/$C9,0)</f>
        <v>7.6326286190377006</v>
      </c>
      <c r="J9" s="132">
        <f t="shared" ref="J9:J18" si="5">IF($C9,V8/$C9,0)</f>
        <v>7.8615913351385132</v>
      </c>
      <c r="K9" s="132">
        <f t="shared" ref="K9:K18" si="6">IF($C9,W8/$C9,0)</f>
        <v>8.0974796917308893</v>
      </c>
      <c r="L9" s="133">
        <f t="shared" ref="L9:L18" si="7">IF($C9,X8/$C9,0)</f>
        <v>8.3403978337846283</v>
      </c>
      <c r="M9" s="5"/>
      <c r="N9" s="72" t="s">
        <v>31</v>
      </c>
      <c r="O9" s="54" t="s">
        <v>32</v>
      </c>
      <c r="P9" s="127">
        <v>69692</v>
      </c>
      <c r="Q9" s="127">
        <v>71193</v>
      </c>
      <c r="R9" s="127">
        <v>73320</v>
      </c>
      <c r="S9" s="127">
        <v>86446</v>
      </c>
      <c r="T9" s="127">
        <v>92041</v>
      </c>
      <c r="U9" s="127">
        <v>94802</v>
      </c>
      <c r="V9" s="127">
        <v>97647</v>
      </c>
      <c r="W9" s="127">
        <v>100576</v>
      </c>
      <c r="X9" s="127">
        <v>103593</v>
      </c>
      <c r="Y9" s="127">
        <v>106440</v>
      </c>
    </row>
    <row r="10" spans="1:25" ht="15.6" x14ac:dyDescent="0.3">
      <c r="A10" s="19" t="str">
        <f>'Table 1.0'!A9</f>
        <v>Davis Select</v>
      </c>
      <c r="B10" s="20">
        <f>'Table 1.0'!B9</f>
        <v>2</v>
      </c>
      <c r="C10" s="21">
        <f>'Table 1.0'!C9</f>
        <v>12512</v>
      </c>
      <c r="D10" s="132">
        <f t="shared" ref="D10:D18" si="8">IF($C10,P9/$C10,0)</f>
        <v>5.5700127877237851</v>
      </c>
      <c r="E10" s="132">
        <f t="shared" ref="E10:E18" si="9">IF($C10,Q9/$C10,0)</f>
        <v>5.6899776214833757</v>
      </c>
      <c r="F10" s="132">
        <f t="shared" ref="F10:F18" si="10">IF($C10,R9/$C10,0)</f>
        <v>5.8599744245524299</v>
      </c>
      <c r="G10" s="132">
        <f t="shared" si="2"/>
        <v>6.9090473145780047</v>
      </c>
      <c r="H10" s="132">
        <f t="shared" si="3"/>
        <v>7.3562180306905374</v>
      </c>
      <c r="I10" s="132">
        <f t="shared" si="4"/>
        <v>7.5768861892583121</v>
      </c>
      <c r="J10" s="132">
        <f t="shared" si="5"/>
        <v>7.8042679028132991</v>
      </c>
      <c r="K10" s="132">
        <f t="shared" si="6"/>
        <v>8.038363171355499</v>
      </c>
      <c r="L10" s="133">
        <f t="shared" si="7"/>
        <v>8.2794916879795402</v>
      </c>
      <c r="M10" s="5"/>
      <c r="N10" s="72" t="s">
        <v>33</v>
      </c>
      <c r="O10" s="54" t="s">
        <v>34</v>
      </c>
      <c r="P10" s="127">
        <v>41708</v>
      </c>
      <c r="Q10" s="127">
        <v>42607</v>
      </c>
      <c r="R10" s="127">
        <v>43880</v>
      </c>
      <c r="S10" s="127">
        <v>51734</v>
      </c>
      <c r="T10" s="127">
        <v>55084</v>
      </c>
      <c r="U10" s="127">
        <v>56736</v>
      </c>
      <c r="V10" s="127">
        <v>58438</v>
      </c>
      <c r="W10" s="127">
        <v>60191</v>
      </c>
      <c r="X10" s="127">
        <v>61997</v>
      </c>
      <c r="Y10" s="127">
        <v>63700</v>
      </c>
    </row>
    <row r="11" spans="1:25" ht="15.6" x14ac:dyDescent="0.3">
      <c r="A11" s="19" t="str">
        <f>'Table 1.0'!A10</f>
        <v>Davis Select (Expansion Space)</v>
      </c>
      <c r="B11" s="20" t="str">
        <f>'Table 1.0'!B10</f>
        <v>2a</v>
      </c>
      <c r="C11" s="21">
        <f>'Table 1.0'!C10</f>
        <v>7488</v>
      </c>
      <c r="D11" s="132">
        <f t="shared" si="8"/>
        <v>5.5699786324786329</v>
      </c>
      <c r="E11" s="132">
        <f t="shared" si="9"/>
        <v>5.6900373931623935</v>
      </c>
      <c r="F11" s="132">
        <f t="shared" si="10"/>
        <v>5.8600427350427351</v>
      </c>
      <c r="G11" s="132">
        <f t="shared" si="2"/>
        <v>6.9089209401709404</v>
      </c>
      <c r="H11" s="132">
        <f t="shared" si="3"/>
        <v>7.3563034188034191</v>
      </c>
      <c r="I11" s="132">
        <f t="shared" si="4"/>
        <v>7.5769230769230766</v>
      </c>
      <c r="J11" s="132">
        <f t="shared" si="5"/>
        <v>7.8042200854700852</v>
      </c>
      <c r="K11" s="132">
        <f t="shared" si="6"/>
        <v>8.0383279914529915</v>
      </c>
      <c r="L11" s="133">
        <f t="shared" si="7"/>
        <v>8.2795138888888893</v>
      </c>
      <c r="M11" s="5"/>
      <c r="N11" s="72" t="s">
        <v>35</v>
      </c>
      <c r="O11" s="54">
        <v>15000</v>
      </c>
      <c r="P11" s="127">
        <v>95400</v>
      </c>
      <c r="Q11" s="127">
        <v>99000</v>
      </c>
      <c r="R11" s="127">
        <v>100800</v>
      </c>
      <c r="S11" s="127">
        <v>107565</v>
      </c>
      <c r="T11" s="127">
        <v>110884</v>
      </c>
      <c r="U11" s="127">
        <v>114211</v>
      </c>
      <c r="V11" s="127">
        <v>117637</v>
      </c>
      <c r="W11" s="127">
        <v>121166</v>
      </c>
      <c r="X11" s="127">
        <v>124802</v>
      </c>
      <c r="Y11" s="127">
        <v>128232</v>
      </c>
    </row>
    <row r="12" spans="1:25" ht="15.6" x14ac:dyDescent="0.3">
      <c r="A12" s="19" t="str">
        <f>'Table 1.0'!A11</f>
        <v>APEX</v>
      </c>
      <c r="B12" s="20">
        <f>'Table 1.0'!B11</f>
        <v>0</v>
      </c>
      <c r="C12" s="21">
        <f>'Table 1.0'!C11</f>
        <v>15000</v>
      </c>
      <c r="D12" s="132">
        <f t="shared" si="8"/>
        <v>6.36</v>
      </c>
      <c r="E12" s="132">
        <f t="shared" si="9"/>
        <v>6.6</v>
      </c>
      <c r="F12" s="132">
        <f t="shared" si="10"/>
        <v>6.72</v>
      </c>
      <c r="G12" s="132">
        <f t="shared" si="2"/>
        <v>7.1710000000000003</v>
      </c>
      <c r="H12" s="132">
        <f t="shared" si="3"/>
        <v>7.392266666666667</v>
      </c>
      <c r="I12" s="132">
        <f t="shared" si="4"/>
        <v>7.614066666666667</v>
      </c>
      <c r="J12" s="132">
        <f t="shared" si="5"/>
        <v>7.8424666666666667</v>
      </c>
      <c r="K12" s="132">
        <f t="shared" si="6"/>
        <v>8.0777333333333328</v>
      </c>
      <c r="L12" s="133">
        <f t="shared" si="7"/>
        <v>8.3201333333333327</v>
      </c>
      <c r="M12" s="5"/>
      <c r="N12" s="72" t="s">
        <v>36</v>
      </c>
      <c r="O12" s="54" t="s">
        <v>37</v>
      </c>
      <c r="P12" s="127">
        <v>115200</v>
      </c>
      <c r="Q12" s="127">
        <v>118656</v>
      </c>
      <c r="R12" s="127">
        <v>122216</v>
      </c>
      <c r="S12" s="127">
        <v>125882</v>
      </c>
      <c r="T12" s="127">
        <v>129659</v>
      </c>
      <c r="U12" s="127">
        <v>133548</v>
      </c>
      <c r="V12" s="127">
        <v>137555</v>
      </c>
      <c r="W12" s="127">
        <v>140994</v>
      </c>
      <c r="X12" s="127">
        <v>145224</v>
      </c>
      <c r="Y12" s="127">
        <v>149580</v>
      </c>
    </row>
    <row r="13" spans="1:25" ht="15.6" x14ac:dyDescent="0.3">
      <c r="A13" s="19" t="s">
        <v>242</v>
      </c>
      <c r="B13" s="20" t="str">
        <f>'Table 1.0'!B12</f>
        <v>2B</v>
      </c>
      <c r="C13" s="21">
        <f>'Table 1.0'!C12</f>
        <v>24000</v>
      </c>
      <c r="D13" s="132">
        <f t="shared" si="8"/>
        <v>4.8</v>
      </c>
      <c r="E13" s="132">
        <f t="shared" si="9"/>
        <v>4.944</v>
      </c>
      <c r="F13" s="132">
        <f t="shared" si="10"/>
        <v>5.0923333333333334</v>
      </c>
      <c r="G13" s="132">
        <f t="shared" si="2"/>
        <v>5.2450833333333335</v>
      </c>
      <c r="H13" s="132">
        <f t="shared" si="3"/>
        <v>5.4024583333333336</v>
      </c>
      <c r="I13" s="132">
        <f t="shared" si="4"/>
        <v>5.5644999999999998</v>
      </c>
      <c r="J13" s="132">
        <f t="shared" si="5"/>
        <v>5.7314583333333333</v>
      </c>
      <c r="K13" s="132">
        <f t="shared" si="6"/>
        <v>5.8747499999999997</v>
      </c>
      <c r="L13" s="133">
        <f t="shared" si="7"/>
        <v>6.0510000000000002</v>
      </c>
      <c r="M13" s="5"/>
      <c r="N13" s="72" t="s">
        <v>38</v>
      </c>
      <c r="O13" s="54" t="s">
        <v>108</v>
      </c>
      <c r="P13" s="127">
        <v>49500</v>
      </c>
      <c r="Q13" s="127">
        <v>49624</v>
      </c>
      <c r="R13" s="127">
        <v>51112</v>
      </c>
      <c r="S13" s="127">
        <v>52646</v>
      </c>
      <c r="T13" s="127">
        <v>54225</v>
      </c>
      <c r="U13" s="127">
        <v>55852</v>
      </c>
      <c r="V13" s="127">
        <v>59106</v>
      </c>
      <c r="W13" s="127">
        <v>60879</v>
      </c>
      <c r="X13" s="127">
        <v>62705</v>
      </c>
      <c r="Y13" s="127">
        <v>64586</v>
      </c>
    </row>
    <row r="14" spans="1:25" ht="15.6" x14ac:dyDescent="0.3">
      <c r="A14" s="19" t="str">
        <f>'Table 1.0'!A13</f>
        <v>Building C Ste 1 (VACANT)</v>
      </c>
      <c r="B14" s="20" t="str">
        <f>'Table 1.0'!B13</f>
        <v>C1</v>
      </c>
      <c r="C14" s="21">
        <f>'Table 1.0'!C13</f>
        <v>7500</v>
      </c>
      <c r="D14" s="132">
        <f t="shared" si="8"/>
        <v>6.6</v>
      </c>
      <c r="E14" s="132">
        <f t="shared" si="9"/>
        <v>6.6165333333333329</v>
      </c>
      <c r="F14" s="132">
        <f t="shared" si="10"/>
        <v>6.8149333333333333</v>
      </c>
      <c r="G14" s="132">
        <f t="shared" si="2"/>
        <v>7.0194666666666663</v>
      </c>
      <c r="H14" s="132">
        <f t="shared" si="3"/>
        <v>7.23</v>
      </c>
      <c r="I14" s="132">
        <f t="shared" si="4"/>
        <v>7.446933333333333</v>
      </c>
      <c r="J14" s="132">
        <f t="shared" si="5"/>
        <v>7.8807999999999998</v>
      </c>
      <c r="K14" s="132">
        <f t="shared" si="6"/>
        <v>8.1172000000000004</v>
      </c>
      <c r="L14" s="133">
        <f t="shared" si="7"/>
        <v>8.3606666666666669</v>
      </c>
      <c r="M14" s="5"/>
      <c r="N14" s="72" t="s">
        <v>40</v>
      </c>
      <c r="O14" s="54" t="s">
        <v>109</v>
      </c>
      <c r="P14" s="127">
        <v>49500</v>
      </c>
      <c r="Q14" s="127">
        <v>50119</v>
      </c>
      <c r="R14" s="127">
        <v>50366</v>
      </c>
      <c r="S14" s="127">
        <v>51877</v>
      </c>
      <c r="T14" s="127">
        <v>53434</v>
      </c>
      <c r="U14" s="127">
        <v>55037</v>
      </c>
      <c r="V14" s="127">
        <v>57691</v>
      </c>
      <c r="W14" s="127">
        <v>59992</v>
      </c>
      <c r="X14" s="127">
        <v>61792</v>
      </c>
      <c r="Y14" s="127">
        <v>63646</v>
      </c>
    </row>
    <row r="15" spans="1:25" ht="15.6" x14ac:dyDescent="0.3">
      <c r="A15" s="19" t="str">
        <f>'Table 1.0'!A14</f>
        <v>Building C Ste 2 (VACANT)</v>
      </c>
      <c r="B15" s="20" t="str">
        <f>'Table 1.0'!B14</f>
        <v>C2</v>
      </c>
      <c r="C15" s="21">
        <f>'Table 1.0'!C14</f>
        <v>7500</v>
      </c>
      <c r="D15" s="132">
        <f t="shared" si="8"/>
        <v>6.6</v>
      </c>
      <c r="E15" s="132">
        <f t="shared" si="9"/>
        <v>6.6825333333333337</v>
      </c>
      <c r="F15" s="132">
        <f t="shared" si="10"/>
        <v>6.7154666666666669</v>
      </c>
      <c r="G15" s="132">
        <f t="shared" si="2"/>
        <v>6.9169333333333336</v>
      </c>
      <c r="H15" s="132">
        <f t="shared" si="3"/>
        <v>7.1245333333333329</v>
      </c>
      <c r="I15" s="132">
        <f t="shared" si="4"/>
        <v>7.3382666666666667</v>
      </c>
      <c r="J15" s="132">
        <f t="shared" si="5"/>
        <v>7.6921333333333335</v>
      </c>
      <c r="K15" s="132">
        <f t="shared" si="6"/>
        <v>7.9989333333333335</v>
      </c>
      <c r="L15" s="133">
        <f t="shared" si="7"/>
        <v>8.2389333333333337</v>
      </c>
      <c r="M15" s="5"/>
      <c r="N15" s="72" t="s">
        <v>42</v>
      </c>
      <c r="O15" s="54" t="s">
        <v>110</v>
      </c>
      <c r="P15" s="127">
        <v>64800</v>
      </c>
      <c r="Q15" s="127">
        <v>65772</v>
      </c>
      <c r="R15" s="127">
        <v>67745</v>
      </c>
      <c r="S15" s="127">
        <v>69778</v>
      </c>
      <c r="T15" s="127">
        <v>71871</v>
      </c>
      <c r="U15" s="127">
        <v>74027</v>
      </c>
      <c r="V15" s="127">
        <v>75872</v>
      </c>
      <c r="W15" s="127">
        <v>78148</v>
      </c>
      <c r="X15" s="127">
        <v>80493</v>
      </c>
      <c r="Y15" s="127">
        <v>82908</v>
      </c>
    </row>
    <row r="16" spans="1:25" ht="15.6" x14ac:dyDescent="0.3">
      <c r="A16" s="19" t="str">
        <f>'Table 1.0'!A15</f>
        <v>Building A Ste 1 (VACANT)</v>
      </c>
      <c r="B16" s="20" t="str">
        <f>'Table 1.0'!B15</f>
        <v>A1</v>
      </c>
      <c r="C16" s="21">
        <f>'Table 1.0'!C15</f>
        <v>12000</v>
      </c>
      <c r="D16" s="132">
        <f t="shared" si="8"/>
        <v>5.4</v>
      </c>
      <c r="E16" s="132">
        <f t="shared" si="9"/>
        <v>5.4809999999999999</v>
      </c>
      <c r="F16" s="132">
        <f t="shared" si="10"/>
        <v>5.6454166666666667</v>
      </c>
      <c r="G16" s="132">
        <f t="shared" si="2"/>
        <v>5.8148333333333335</v>
      </c>
      <c r="H16" s="132">
        <f t="shared" si="3"/>
        <v>5.9892500000000002</v>
      </c>
      <c r="I16" s="132">
        <f t="shared" si="4"/>
        <v>6.168916666666667</v>
      </c>
      <c r="J16" s="132">
        <f t="shared" si="5"/>
        <v>6.3226666666666667</v>
      </c>
      <c r="K16" s="132">
        <f t="shared" si="6"/>
        <v>6.5123333333333333</v>
      </c>
      <c r="L16" s="133">
        <f t="shared" si="7"/>
        <v>6.7077499999999999</v>
      </c>
      <c r="M16" s="5"/>
      <c r="N16" s="72" t="s">
        <v>44</v>
      </c>
      <c r="O16" s="4" t="s">
        <v>39</v>
      </c>
      <c r="P16" s="49">
        <v>79200</v>
      </c>
      <c r="Q16" s="49">
        <v>80982</v>
      </c>
      <c r="R16" s="49">
        <v>79794</v>
      </c>
      <c r="S16" s="49">
        <v>82188</v>
      </c>
      <c r="T16" s="49">
        <v>84653</v>
      </c>
      <c r="U16" s="49">
        <v>87193</v>
      </c>
      <c r="V16" s="49">
        <v>90498</v>
      </c>
      <c r="W16" s="49">
        <v>95042</v>
      </c>
      <c r="X16" s="49">
        <v>97893</v>
      </c>
      <c r="Y16" s="127">
        <v>100830</v>
      </c>
    </row>
    <row r="17" spans="1:48" ht="15.6" x14ac:dyDescent="0.3">
      <c r="A17" s="19" t="str">
        <f>'Table 1.0'!A16</f>
        <v>Building A Ste 2 (VACANT)</v>
      </c>
      <c r="B17" s="20" t="str">
        <f>'Table 1.0'!B16</f>
        <v>A2</v>
      </c>
      <c r="C17" s="21">
        <f>'Table 1.0'!C16</f>
        <v>12000</v>
      </c>
      <c r="D17" s="132">
        <f t="shared" si="8"/>
        <v>6.6</v>
      </c>
      <c r="E17" s="132">
        <f t="shared" si="9"/>
        <v>6.7484999999999999</v>
      </c>
      <c r="F17" s="132">
        <f t="shared" si="10"/>
        <v>6.6494999999999997</v>
      </c>
      <c r="G17" s="132">
        <f t="shared" si="2"/>
        <v>6.8490000000000002</v>
      </c>
      <c r="H17" s="132">
        <f t="shared" si="3"/>
        <v>7.0544166666666666</v>
      </c>
      <c r="I17" s="132">
        <f t="shared" si="4"/>
        <v>7.2660833333333334</v>
      </c>
      <c r="J17" s="132">
        <f t="shared" si="5"/>
        <v>7.5415000000000001</v>
      </c>
      <c r="K17" s="132">
        <f t="shared" si="6"/>
        <v>7.9201666666666668</v>
      </c>
      <c r="L17" s="133">
        <f t="shared" si="7"/>
        <v>8.1577500000000001</v>
      </c>
      <c r="M17" s="5"/>
      <c r="N17" s="72" t="s">
        <v>46</v>
      </c>
      <c r="O17" s="4" t="s">
        <v>111</v>
      </c>
      <c r="P17" s="49">
        <v>78494</v>
      </c>
      <c r="Q17" s="49">
        <v>80849</v>
      </c>
      <c r="R17" s="49">
        <v>79291</v>
      </c>
      <c r="S17" s="49">
        <v>80456</v>
      </c>
      <c r="T17" s="49">
        <v>82870</v>
      </c>
      <c r="U17" s="49">
        <v>85356</v>
      </c>
      <c r="V17" s="49">
        <v>87917</v>
      </c>
      <c r="W17" s="49">
        <v>95172</v>
      </c>
      <c r="X17" s="49">
        <v>98710</v>
      </c>
      <c r="Y17" s="49">
        <v>101671</v>
      </c>
      <c r="Z17" s="49"/>
    </row>
    <row r="18" spans="1:48" ht="15.6" x14ac:dyDescent="0.3">
      <c r="A18" s="19" t="str">
        <f>'Table 1.0'!A17</f>
        <v>Building A Ste 3 (VACANT)</v>
      </c>
      <c r="B18" s="20" t="str">
        <f>'Table 1.0'!B17</f>
        <v>A3</v>
      </c>
      <c r="C18" s="21">
        <f>'Table 1.0'!C17</f>
        <v>11893</v>
      </c>
      <c r="D18" s="132">
        <f t="shared" si="8"/>
        <v>6.6000168166148159</v>
      </c>
      <c r="E18" s="132">
        <f t="shared" si="9"/>
        <v>6.7980324560665935</v>
      </c>
      <c r="F18" s="132">
        <f t="shared" si="10"/>
        <v>6.6670310266543344</v>
      </c>
      <c r="G18" s="132">
        <f t="shared" si="2"/>
        <v>6.7649878079542587</v>
      </c>
      <c r="H18" s="132">
        <f t="shared" si="3"/>
        <v>6.967964348776591</v>
      </c>
      <c r="I18" s="132">
        <f t="shared" si="4"/>
        <v>7.1769948709324813</v>
      </c>
      <c r="J18" s="132">
        <f t="shared" si="5"/>
        <v>7.3923316236441607</v>
      </c>
      <c r="K18" s="132">
        <f t="shared" si="6"/>
        <v>8.0023543260741619</v>
      </c>
      <c r="L18" s="133">
        <f t="shared" si="7"/>
        <v>8.2998402421592541</v>
      </c>
      <c r="M18" s="5"/>
      <c r="N18" s="72"/>
      <c r="P18" s="49"/>
      <c r="Q18" s="49"/>
      <c r="R18" s="49"/>
      <c r="S18" s="49"/>
      <c r="T18" s="49"/>
      <c r="U18" s="49"/>
      <c r="V18" s="49"/>
      <c r="W18" s="49"/>
      <c r="X18" s="49"/>
      <c r="Y18" s="49"/>
      <c r="Z18" s="49"/>
    </row>
    <row r="19" spans="1:48" ht="15.6" x14ac:dyDescent="0.3">
      <c r="A19" s="19"/>
      <c r="B19" s="5"/>
      <c r="C19" s="129">
        <f>SUM(C9:C18)</f>
        <v>129097</v>
      </c>
      <c r="D19" s="134"/>
      <c r="E19" s="54"/>
      <c r="F19" s="54"/>
      <c r="G19" s="54"/>
      <c r="H19" s="54"/>
      <c r="I19" s="54"/>
      <c r="J19" s="54"/>
      <c r="K19" s="54"/>
      <c r="L19" s="101"/>
      <c r="M19" s="5"/>
      <c r="N19" s="72"/>
      <c r="P19" s="49"/>
      <c r="Q19" s="49"/>
      <c r="R19" s="49"/>
      <c r="S19" s="49"/>
      <c r="T19" s="49"/>
      <c r="U19" s="49"/>
      <c r="V19" s="49"/>
      <c r="W19" s="49"/>
      <c r="X19" s="49"/>
      <c r="Y19" s="49"/>
      <c r="Z19" s="49"/>
    </row>
    <row r="20" spans="1:48" ht="15.6" x14ac:dyDescent="0.3">
      <c r="A20" s="135"/>
      <c r="B20" s="5"/>
      <c r="C20" s="32" t="s">
        <v>168</v>
      </c>
      <c r="D20" s="134">
        <f>($C$9*D9+$C$10*D10+$C$11*D11+$C$12*D12+$C$13*D13+$C$14*D14+$C$15*D15+$C$16*D16+$C$17*D17+$C$18*D18)/$C$19</f>
        <v>6.1855817695148883</v>
      </c>
      <c r="E20" s="134">
        <f t="shared" ref="E20:L20" si="11">($C$9*E9+$C$10*E10+$C$11*E11+$C$12*E12+$C$13*E13+$C$14*E14+$C$15*E15+$C$16*E16+$C$17*E17+$C$18*E18)/$C$19</f>
        <v>6.3300821792943784</v>
      </c>
      <c r="F20" s="134">
        <f t="shared" si="11"/>
        <v>6.421344581999862</v>
      </c>
      <c r="G20" s="134">
        <f t="shared" si="11"/>
        <v>6.5615157594676869</v>
      </c>
      <c r="H20" s="134">
        <f t="shared" si="11"/>
        <v>6.7935660782202527</v>
      </c>
      <c r="I20" s="134">
        <f t="shared" si="11"/>
        <v>6.9973663214482134</v>
      </c>
      <c r="J20" s="134">
        <f t="shared" si="11"/>
        <v>7.2297187386228963</v>
      </c>
      <c r="K20" s="134">
        <f t="shared" si="11"/>
        <v>7.4956350651060832</v>
      </c>
      <c r="L20" s="136">
        <f t="shared" si="11"/>
        <v>7.7258030783054599</v>
      </c>
      <c r="M20" s="5"/>
      <c r="N20" s="72"/>
      <c r="O20" s="54"/>
      <c r="P20" s="137"/>
      <c r="Q20" s="137"/>
      <c r="R20" s="137"/>
      <c r="S20" s="137"/>
      <c r="T20" s="137"/>
      <c r="U20" s="137"/>
      <c r="V20" s="137"/>
      <c r="W20" s="137"/>
      <c r="X20" s="137"/>
      <c r="Y20" s="137"/>
    </row>
    <row r="21" spans="1:48" ht="16.2" thickBot="1" x14ac:dyDescent="0.35">
      <c r="A21" s="35"/>
      <c r="B21" s="50"/>
      <c r="C21" s="36"/>
      <c r="D21" s="138">
        <f>(D20-'Table 1.0'!C23)/'Table 1.0'!C23</f>
        <v>-5.7721910857718162E-2</v>
      </c>
      <c r="E21" s="138">
        <f t="shared" ref="E21:L21" si="12">(E20-D20)/D20</f>
        <v>2.3360843840372156E-2</v>
      </c>
      <c r="F21" s="138">
        <f t="shared" si="12"/>
        <v>1.441725401354216E-2</v>
      </c>
      <c r="G21" s="138">
        <f t="shared" si="12"/>
        <v>2.1828944962827404E-2</v>
      </c>
      <c r="H21" s="138">
        <f t="shared" si="12"/>
        <v>3.5365352650069869E-2</v>
      </c>
      <c r="I21" s="138">
        <f t="shared" si="12"/>
        <v>2.9999008014558282E-2</v>
      </c>
      <c r="J21" s="138">
        <f t="shared" si="12"/>
        <v>3.3205695757628134E-2</v>
      </c>
      <c r="K21" s="138">
        <f t="shared" si="12"/>
        <v>3.6781005748204004E-2</v>
      </c>
      <c r="L21" s="139">
        <f t="shared" si="12"/>
        <v>3.070693959886895E-2</v>
      </c>
      <c r="M21" s="5"/>
      <c r="N21" s="72">
        <v>129097</v>
      </c>
      <c r="P21" s="140" t="s">
        <v>13</v>
      </c>
      <c r="Q21" s="140" t="s">
        <v>14</v>
      </c>
      <c r="R21" s="140" t="s">
        <v>214</v>
      </c>
      <c r="S21" s="140"/>
      <c r="T21" s="140"/>
      <c r="U21" s="140"/>
      <c r="V21" s="140"/>
      <c r="W21" s="140"/>
      <c r="X21" s="140"/>
      <c r="Z21" s="137"/>
    </row>
    <row r="22" spans="1:48" ht="16.2" thickTop="1" x14ac:dyDescent="0.3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5"/>
      <c r="N22" s="4" t="s">
        <v>213</v>
      </c>
      <c r="P22" s="2">
        <v>324853</v>
      </c>
      <c r="Q22" s="2">
        <v>347544</v>
      </c>
      <c r="R22" s="2">
        <v>362100</v>
      </c>
      <c r="S22" s="2">
        <v>372239</v>
      </c>
      <c r="T22" s="2">
        <v>384197</v>
      </c>
      <c r="U22" s="2">
        <v>395387</v>
      </c>
      <c r="V22" s="2">
        <v>406751</v>
      </c>
      <c r="W22" s="2">
        <v>419841</v>
      </c>
      <c r="X22" s="2">
        <v>431662</v>
      </c>
    </row>
    <row r="23" spans="1:48" ht="15.6" x14ac:dyDescent="0.3">
      <c r="A23" s="295" t="s">
        <v>217</v>
      </c>
      <c r="B23" s="5"/>
      <c r="C23" s="5"/>
      <c r="D23" s="42"/>
      <c r="E23" s="42"/>
      <c r="F23" s="42"/>
      <c r="G23" s="42"/>
      <c r="H23" s="42"/>
      <c r="I23" s="42"/>
      <c r="J23" s="42"/>
      <c r="K23" s="42"/>
      <c r="L23" s="42"/>
      <c r="M23" s="5"/>
      <c r="N23" s="4" t="s">
        <v>215</v>
      </c>
      <c r="P23" s="294">
        <f>P22/$N$21</f>
        <v>2.516348172304546</v>
      </c>
      <c r="Q23" s="294">
        <f t="shared" ref="Q23:Y23" si="13">Q22/$N$21</f>
        <v>2.6921152311827541</v>
      </c>
      <c r="R23" s="294">
        <f t="shared" si="13"/>
        <v>2.8048676576527729</v>
      </c>
      <c r="S23" s="294">
        <f t="shared" si="13"/>
        <v>2.8834055012897277</v>
      </c>
      <c r="T23" s="294">
        <f t="shared" si="13"/>
        <v>2.9760335251787415</v>
      </c>
      <c r="U23" s="294">
        <f t="shared" si="13"/>
        <v>3.0627125339860726</v>
      </c>
      <c r="V23" s="294">
        <f t="shared" si="13"/>
        <v>3.1507393665228474</v>
      </c>
      <c r="W23" s="294">
        <f t="shared" si="13"/>
        <v>3.2521359907666327</v>
      </c>
      <c r="X23" s="294">
        <f t="shared" si="13"/>
        <v>3.3437027971215443</v>
      </c>
      <c r="Y23" s="294">
        <f t="shared" si="13"/>
        <v>0</v>
      </c>
    </row>
    <row r="24" spans="1:48" ht="15.6" x14ac:dyDescent="0.3">
      <c r="A24" s="5" t="s">
        <v>216</v>
      </c>
      <c r="B24" s="141"/>
      <c r="C24" s="49"/>
      <c r="D24" s="48"/>
      <c r="M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</row>
    <row r="25" spans="1:48" ht="6.75" customHeight="1" x14ac:dyDescent="0.3">
      <c r="H25" s="106"/>
      <c r="M25" s="5"/>
    </row>
    <row r="26" spans="1:48" ht="15.6" x14ac:dyDescent="0.3">
      <c r="A26" s="322" t="s">
        <v>243</v>
      </c>
      <c r="B26" s="5"/>
      <c r="M26" s="5"/>
    </row>
    <row r="27" spans="1:48" ht="15.6" x14ac:dyDescent="0.3">
      <c r="A27" s="119"/>
      <c r="B27" s="5"/>
      <c r="C27" s="49"/>
      <c r="D27" s="142"/>
      <c r="M27" s="5"/>
    </row>
    <row r="28" spans="1:48" ht="15.6" x14ac:dyDescent="0.3">
      <c r="A28" s="119"/>
      <c r="B28" s="5"/>
      <c r="C28" s="49"/>
      <c r="D28" s="143"/>
      <c r="M28" s="5"/>
    </row>
    <row r="29" spans="1:48" s="5" customFormat="1" ht="15.6" x14ac:dyDescent="0.3">
      <c r="A29" s="119"/>
      <c r="C29" s="21"/>
      <c r="D29" s="4"/>
      <c r="E29" s="4"/>
      <c r="F29" s="4"/>
      <c r="G29" s="4"/>
      <c r="H29" s="4"/>
      <c r="I29" s="4"/>
      <c r="J29" s="4"/>
      <c r="K29" s="4"/>
      <c r="L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ht="15.6" x14ac:dyDescent="0.3">
      <c r="A30" s="119"/>
      <c r="B30" s="5"/>
      <c r="C30" s="21"/>
    </row>
    <row r="31" spans="1:48" ht="15.6" x14ac:dyDescent="0.3">
      <c r="A31" s="119"/>
      <c r="B31" s="5"/>
      <c r="C31" s="21"/>
    </row>
    <row r="32" spans="1:48" ht="15.6" x14ac:dyDescent="0.3">
      <c r="A32" s="119"/>
      <c r="B32" s="5"/>
      <c r="C32" s="21"/>
    </row>
    <row r="33" spans="1:3" ht="15.6" x14ac:dyDescent="0.3">
      <c r="A33" s="119"/>
      <c r="B33" s="5"/>
      <c r="C33" s="144"/>
    </row>
    <row r="34" spans="1:3" ht="15.6" x14ac:dyDescent="0.3">
      <c r="A34" s="119"/>
      <c r="B34" s="5"/>
      <c r="C34" s="21"/>
    </row>
    <row r="35" spans="1:3" ht="15.6" x14ac:dyDescent="0.3">
      <c r="A35" s="119"/>
      <c r="B35" s="5"/>
      <c r="C35" s="21"/>
    </row>
    <row r="36" spans="1:3" ht="15.6" x14ac:dyDescent="0.3">
      <c r="A36" s="119"/>
      <c r="B36" s="5"/>
      <c r="C36" s="21"/>
    </row>
    <row r="37" spans="1:3" ht="15.6" x14ac:dyDescent="0.3">
      <c r="A37" s="119"/>
      <c r="B37" s="5"/>
      <c r="C37" s="21"/>
    </row>
    <row r="38" spans="1:3" ht="15.6" x14ac:dyDescent="0.3">
      <c r="A38" s="119"/>
      <c r="B38" s="32"/>
      <c r="C38" s="21"/>
    </row>
    <row r="39" spans="1:3" ht="15.6" x14ac:dyDescent="0.3">
      <c r="A39" s="119"/>
      <c r="B39" s="5"/>
      <c r="C39" s="21"/>
    </row>
    <row r="40" spans="1:3" ht="15.6" x14ac:dyDescent="0.3">
      <c r="A40" s="119"/>
      <c r="B40" s="5"/>
      <c r="C40" s="21"/>
    </row>
    <row r="41" spans="1:3" ht="15.6" x14ac:dyDescent="0.3">
      <c r="A41" s="119"/>
      <c r="B41" s="5"/>
      <c r="C41" s="21"/>
    </row>
    <row r="42" spans="1:3" ht="15.6" x14ac:dyDescent="0.3">
      <c r="A42" s="119"/>
      <c r="B42" s="5"/>
      <c r="C42" s="21"/>
    </row>
    <row r="43" spans="1:3" ht="15.6" x14ac:dyDescent="0.3">
      <c r="A43" s="119"/>
      <c r="B43" s="5"/>
      <c r="C43" s="21"/>
    </row>
    <row r="44" spans="1:3" ht="15.6" x14ac:dyDescent="0.3">
      <c r="B44" s="5"/>
      <c r="C44" s="21"/>
    </row>
    <row r="45" spans="1:3" ht="15.6" x14ac:dyDescent="0.3">
      <c r="B45" s="5"/>
      <c r="C45" s="21"/>
    </row>
    <row r="46" spans="1:3" ht="15.6" x14ac:dyDescent="0.3">
      <c r="A46" s="72"/>
      <c r="B46" s="5"/>
      <c r="C46" s="21"/>
    </row>
    <row r="47" spans="1:3" ht="15.6" x14ac:dyDescent="0.3">
      <c r="A47" s="72"/>
      <c r="B47" s="5"/>
      <c r="C47" s="21"/>
    </row>
    <row r="48" spans="1:3" ht="15.6" x14ac:dyDescent="0.3">
      <c r="A48" s="72"/>
      <c r="B48" s="5"/>
      <c r="C48" s="21"/>
    </row>
    <row r="49" spans="1:3" ht="15.6" x14ac:dyDescent="0.3">
      <c r="A49" s="72"/>
      <c r="B49" s="5"/>
      <c r="C49" s="21"/>
    </row>
    <row r="50" spans="1:3" ht="15.6" x14ac:dyDescent="0.3">
      <c r="A50" s="72"/>
      <c r="B50" s="5"/>
      <c r="C50" s="21"/>
    </row>
    <row r="51" spans="1:3" ht="15.6" x14ac:dyDescent="0.3">
      <c r="A51" s="72"/>
      <c r="B51" s="5"/>
      <c r="C51" s="21"/>
    </row>
    <row r="52" spans="1:3" ht="15.6" x14ac:dyDescent="0.3">
      <c r="A52" s="72"/>
      <c r="B52" s="5"/>
      <c r="C52" s="21"/>
    </row>
    <row r="53" spans="1:3" ht="15.6" x14ac:dyDescent="0.3">
      <c r="A53" s="72"/>
      <c r="B53" s="5"/>
      <c r="C53" s="21"/>
    </row>
  </sheetData>
  <phoneticPr fontId="0" type="noConversion"/>
  <pageMargins left="0.75" right="0.75" top="1" bottom="0.75" header="0.5" footer="0.5"/>
  <pageSetup scale="68" orientation="landscape" horizontalDpi="4294967292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>
    <pageSetUpPr fitToPage="1"/>
  </sheetPr>
  <dimension ref="A1:AI32"/>
  <sheetViews>
    <sheetView workbookViewId="0"/>
  </sheetViews>
  <sheetFormatPr defaultColWidth="9.109375" defaultRowHeight="13.2" outlineLevelCol="1" x14ac:dyDescent="0.25"/>
  <cols>
    <col min="1" max="1" width="30.21875" style="4" customWidth="1"/>
    <col min="2" max="2" width="10.77734375" style="4" customWidth="1"/>
    <col min="3" max="3" width="10.44140625" style="4" customWidth="1"/>
    <col min="4" max="12" width="14.21875" style="4" customWidth="1"/>
    <col min="13" max="13" width="7.44140625" style="4" customWidth="1"/>
    <col min="14" max="14" width="14.77734375" style="4" customWidth="1"/>
    <col min="15" max="15" width="18.109375" style="4" customWidth="1"/>
    <col min="16" max="16" width="9.88671875" style="4" customWidth="1"/>
    <col min="17" max="25" width="10" style="4" customWidth="1" outlineLevel="1"/>
    <col min="26" max="26" width="9.109375" style="4" outlineLevel="1"/>
    <col min="27" max="27" width="12.44140625" style="4" customWidth="1"/>
    <col min="28" max="16384" width="9.109375" style="4"/>
  </cols>
  <sheetData>
    <row r="1" spans="1:35" ht="15.6" x14ac:dyDescent="0.3">
      <c r="A1" s="3" t="s">
        <v>112</v>
      </c>
      <c r="B1" s="16"/>
      <c r="C1" s="16"/>
      <c r="D1" s="16"/>
      <c r="E1" s="16"/>
      <c r="F1" s="16"/>
      <c r="G1" s="16"/>
      <c r="H1" s="16"/>
      <c r="I1" s="16"/>
      <c r="J1" s="16"/>
      <c r="K1" s="145"/>
      <c r="L1" s="16"/>
      <c r="M1" s="5"/>
      <c r="N1" s="5"/>
      <c r="O1" s="5"/>
      <c r="P1" s="5"/>
      <c r="Q1" s="5"/>
      <c r="R1" s="5"/>
    </row>
    <row r="2" spans="1:35" ht="16.2" thickBot="1" x14ac:dyDescent="0.35">
      <c r="A2" s="3"/>
      <c r="B2" s="16"/>
      <c r="C2" s="16"/>
      <c r="D2" s="16"/>
      <c r="E2" s="16"/>
      <c r="F2" s="16"/>
      <c r="G2" s="16"/>
      <c r="H2" s="16"/>
      <c r="I2" s="16"/>
      <c r="J2" s="16"/>
      <c r="K2" s="145"/>
      <c r="L2" s="16"/>
      <c r="M2" s="5"/>
      <c r="N2" s="5"/>
      <c r="O2" s="5"/>
      <c r="P2" s="5"/>
      <c r="Q2" s="5"/>
      <c r="R2" s="5"/>
    </row>
    <row r="3" spans="1:35" ht="16.8" thickTop="1" thickBot="1" x14ac:dyDescent="0.35">
      <c r="A3" s="6"/>
      <c r="B3" s="146"/>
      <c r="C3" s="8" t="s">
        <v>11</v>
      </c>
      <c r="D3" s="9">
        <f>'Table 1.1'!D6</f>
        <v>38869</v>
      </c>
      <c r="E3" s="9">
        <f>'Table 1.1'!E6</f>
        <v>39234</v>
      </c>
      <c r="F3" s="9">
        <f>'Table 1.1'!F6</f>
        <v>39600</v>
      </c>
      <c r="G3" s="9">
        <f>'Table 1.1'!G6</f>
        <v>39965</v>
      </c>
      <c r="H3" s="9">
        <f>'Table 1.1'!H6</f>
        <v>40330</v>
      </c>
      <c r="I3" s="9">
        <f>'Table 1.1'!I6</f>
        <v>40695</v>
      </c>
      <c r="J3" s="9">
        <f>'Table 1.1'!J6</f>
        <v>41061</v>
      </c>
      <c r="K3" s="9">
        <f>'Table 1.1'!K6</f>
        <v>41426</v>
      </c>
      <c r="L3" s="9">
        <f>'Table 1.1'!L6</f>
        <v>41791</v>
      </c>
      <c r="M3" s="147"/>
      <c r="N3" s="5"/>
      <c r="O3" s="5"/>
      <c r="P3" s="5"/>
      <c r="Q3" s="5"/>
      <c r="R3" s="5"/>
    </row>
    <row r="4" spans="1:35" ht="16.8" thickTop="1" thickBot="1" x14ac:dyDescent="0.35">
      <c r="A4" s="11"/>
      <c r="B4" s="16"/>
      <c r="C4" s="16"/>
      <c r="D4" s="12" t="s">
        <v>13</v>
      </c>
      <c r="E4" s="13" t="s">
        <v>14</v>
      </c>
      <c r="F4" s="13" t="s">
        <v>15</v>
      </c>
      <c r="G4" s="13" t="s">
        <v>16</v>
      </c>
      <c r="H4" s="13" t="s">
        <v>17</v>
      </c>
      <c r="I4" s="13" t="s">
        <v>18</v>
      </c>
      <c r="J4" s="13" t="s">
        <v>19</v>
      </c>
      <c r="K4" s="13" t="s">
        <v>20</v>
      </c>
      <c r="L4" s="13" t="s">
        <v>21</v>
      </c>
      <c r="M4" s="148"/>
      <c r="N4" s="5"/>
      <c r="O4" s="5"/>
      <c r="P4" s="5"/>
      <c r="Q4" s="5"/>
      <c r="R4" s="5"/>
      <c r="AA4" s="12" t="s">
        <v>13</v>
      </c>
      <c r="AB4" s="13" t="s">
        <v>14</v>
      </c>
      <c r="AC4" s="13" t="s">
        <v>15</v>
      </c>
      <c r="AD4" s="13" t="s">
        <v>16</v>
      </c>
      <c r="AE4" s="13" t="s">
        <v>17</v>
      </c>
      <c r="AF4" s="13" t="s">
        <v>18</v>
      </c>
      <c r="AG4" s="13" t="s">
        <v>19</v>
      </c>
      <c r="AH4" s="13" t="s">
        <v>20</v>
      </c>
      <c r="AI4" s="14" t="s">
        <v>21</v>
      </c>
    </row>
    <row r="5" spans="1:35" ht="16.2" thickTop="1" x14ac:dyDescent="0.3">
      <c r="A5" s="11"/>
      <c r="B5" s="149" t="s">
        <v>23</v>
      </c>
      <c r="C5" s="150" t="s">
        <v>113</v>
      </c>
      <c r="D5" s="151"/>
      <c r="E5" s="16"/>
      <c r="F5" s="16"/>
      <c r="G5" s="16"/>
      <c r="H5" s="16"/>
      <c r="I5" s="16"/>
      <c r="J5" s="16"/>
      <c r="K5" s="16"/>
      <c r="L5" s="16"/>
      <c r="M5" s="18"/>
      <c r="N5" s="5"/>
      <c r="O5" s="5"/>
      <c r="P5" s="5"/>
      <c r="Q5" s="5"/>
      <c r="R5" s="5"/>
    </row>
    <row r="6" spans="1:35" ht="18" x14ac:dyDescent="0.3">
      <c r="A6" s="11"/>
      <c r="B6" s="16"/>
      <c r="C6" s="152" t="s">
        <v>114</v>
      </c>
      <c r="D6" s="3" t="s">
        <v>169</v>
      </c>
      <c r="E6" s="3"/>
      <c r="F6" s="3"/>
      <c r="G6" s="3"/>
      <c r="H6" s="3"/>
      <c r="I6" s="3"/>
      <c r="J6" s="153"/>
      <c r="K6" s="3"/>
      <c r="L6" s="3"/>
      <c r="M6" s="18"/>
      <c r="N6" s="5"/>
      <c r="O6" s="5"/>
      <c r="P6" s="5"/>
      <c r="Q6" s="5"/>
      <c r="R6" s="5"/>
    </row>
    <row r="7" spans="1:35" ht="15.6" x14ac:dyDescent="0.3">
      <c r="A7" s="19" t="str">
        <f>'Table 1.0'!A8</f>
        <v>Qantas Airways</v>
      </c>
      <c r="B7" s="21">
        <f>'Table 1.0'!C8</f>
        <v>19204</v>
      </c>
      <c r="C7" s="20">
        <v>5</v>
      </c>
      <c r="D7" s="154"/>
      <c r="E7" s="154"/>
      <c r="F7" s="154"/>
      <c r="G7" s="154">
        <f>AD7</f>
        <v>1.9999855594625231</v>
      </c>
      <c r="H7" s="154"/>
      <c r="I7" s="154"/>
      <c r="J7" s="154"/>
      <c r="K7" s="154"/>
      <c r="L7" s="154">
        <f>AI7</f>
        <v>2.0097760031042888</v>
      </c>
      <c r="M7" s="155"/>
      <c r="N7" s="156"/>
      <c r="O7" s="19" t="s">
        <v>30</v>
      </c>
      <c r="P7" s="156">
        <v>2801</v>
      </c>
      <c r="Q7" s="129">
        <v>203370</v>
      </c>
      <c r="R7" s="129">
        <v>210092</v>
      </c>
      <c r="S7" s="49">
        <v>214317</v>
      </c>
      <c r="T7" s="49">
        <v>115416</v>
      </c>
      <c r="U7" s="49">
        <v>141962</v>
      </c>
      <c r="V7" s="49">
        <v>146221</v>
      </c>
      <c r="W7" s="49">
        <v>150607</v>
      </c>
      <c r="X7" s="49">
        <v>155125</v>
      </c>
      <c r="Y7" s="49">
        <v>133019</v>
      </c>
      <c r="Z7" s="49">
        <v>163770</v>
      </c>
      <c r="AA7" s="141">
        <f>12-((Q7/'Table 1.3'!O9)*12)</f>
        <v>0</v>
      </c>
      <c r="AB7" s="141">
        <f>12-((R7/'Table 1.3'!P9)*12)</f>
        <v>0</v>
      </c>
      <c r="AC7" s="141">
        <f>12-((S7/'Table 1.3'!Q9)*12)</f>
        <v>0</v>
      </c>
      <c r="AD7" s="141">
        <f>12-((T7/'Table 1.3'!R9)*12)</f>
        <v>1.9999855594625231</v>
      </c>
      <c r="AE7" s="141">
        <f>12-((U7/'Table 1.3'!S9)*12)</f>
        <v>0</v>
      </c>
      <c r="AF7" s="141">
        <f>12-((V7/'Table 1.3'!T9)*12)</f>
        <v>0</v>
      </c>
      <c r="AG7" s="141">
        <f>12-((W7/'Table 1.3'!U9)*12)</f>
        <v>0</v>
      </c>
      <c r="AH7" s="141">
        <f>12-((X7/'Table 1.3'!V9)*12)</f>
        <v>0</v>
      </c>
      <c r="AI7" s="141">
        <f>12-((Y7/'Table 1.3'!W9)*12)</f>
        <v>2.0097760031042888</v>
      </c>
    </row>
    <row r="8" spans="1:35" ht="15.6" x14ac:dyDescent="0.3">
      <c r="A8" s="19" t="str">
        <f>'Table 1.0'!A9</f>
        <v>Davis Select</v>
      </c>
      <c r="B8" s="21">
        <f>'Table 1.0'!C9</f>
        <v>12512</v>
      </c>
      <c r="C8" s="20">
        <v>5</v>
      </c>
      <c r="D8" s="154"/>
      <c r="E8" s="154"/>
      <c r="F8" s="154"/>
      <c r="G8" s="154">
        <f>AD8</f>
        <v>2.0876626756897458</v>
      </c>
      <c r="H8" s="154"/>
      <c r="I8" s="154"/>
      <c r="J8" s="154"/>
      <c r="K8" s="154"/>
      <c r="L8" s="154">
        <f>AI8</f>
        <v>2.0245790594155206</v>
      </c>
      <c r="M8" s="155"/>
      <c r="N8" s="156"/>
      <c r="O8" s="19" t="s">
        <v>31</v>
      </c>
      <c r="P8" s="156" t="s">
        <v>32</v>
      </c>
      <c r="Q8" s="129">
        <v>69692</v>
      </c>
      <c r="R8" s="129">
        <v>71193</v>
      </c>
      <c r="S8" s="49">
        <v>73320</v>
      </c>
      <c r="T8" s="49">
        <v>71406</v>
      </c>
      <c r="U8" s="49">
        <v>91816</v>
      </c>
      <c r="V8" s="49">
        <v>94570</v>
      </c>
      <c r="W8" s="49">
        <v>97407</v>
      </c>
      <c r="X8" s="49">
        <v>100329</v>
      </c>
      <c r="Y8" s="49">
        <v>85905</v>
      </c>
      <c r="Z8" s="49">
        <v>105916</v>
      </c>
      <c r="AA8" s="141">
        <f>12-((Q8/'Table 1.3'!O10)*12)</f>
        <v>0</v>
      </c>
      <c r="AB8" s="141">
        <f>12-((R8/'Table 1.3'!P10)*12)</f>
        <v>0</v>
      </c>
      <c r="AC8" s="141">
        <f>12-((S8/'Table 1.3'!Q10)*12)</f>
        <v>0</v>
      </c>
      <c r="AD8" s="141">
        <f>12-((T8/'Table 1.3'!R10)*12)</f>
        <v>2.0876626756897458</v>
      </c>
      <c r="AE8" s="141">
        <f>12-((U8/'Table 1.3'!S10)*12)</f>
        <v>0</v>
      </c>
      <c r="AF8" s="141">
        <f>12-((V8/'Table 1.3'!T10)*12)</f>
        <v>0</v>
      </c>
      <c r="AG8" s="141">
        <f>12-((W8/'Table 1.3'!U10)*12)</f>
        <v>0</v>
      </c>
      <c r="AH8" s="141">
        <f>12-((X8/'Table 1.3'!V10)*12)</f>
        <v>0</v>
      </c>
      <c r="AI8" s="141">
        <f>12-((Y8/'Table 1.3'!W10)*12)</f>
        <v>2.0245790594155206</v>
      </c>
    </row>
    <row r="9" spans="1:35" ht="15.6" x14ac:dyDescent="0.3">
      <c r="A9" s="19" t="str">
        <f>'Table 1.0'!A10</f>
        <v>Davis Select (Expansion Space)</v>
      </c>
      <c r="B9" s="21">
        <f>'Table 1.0'!C10</f>
        <v>7488</v>
      </c>
      <c r="C9" s="20">
        <v>5</v>
      </c>
      <c r="D9" s="154"/>
      <c r="E9" s="154"/>
      <c r="F9" s="154"/>
      <c r="G9" s="154">
        <f>AD9</f>
        <v>2.0877935633516955</v>
      </c>
      <c r="H9" s="154"/>
      <c r="I9" s="154"/>
      <c r="J9" s="154"/>
      <c r="K9" s="154"/>
      <c r="L9" s="154">
        <f>AI9</f>
        <v>2.0245452340528747</v>
      </c>
      <c r="M9" s="155"/>
      <c r="N9" s="156"/>
      <c r="O9" s="19" t="s">
        <v>33</v>
      </c>
      <c r="P9" s="156" t="s">
        <v>34</v>
      </c>
      <c r="Q9" s="129">
        <v>41708</v>
      </c>
      <c r="R9" s="129">
        <v>42607</v>
      </c>
      <c r="S9" s="49">
        <v>43880</v>
      </c>
      <c r="T9" s="49">
        <v>42734</v>
      </c>
      <c r="U9" s="49">
        <v>54949</v>
      </c>
      <c r="V9" s="49">
        <v>56597</v>
      </c>
      <c r="W9" s="49">
        <v>58295</v>
      </c>
      <c r="X9" s="49">
        <v>60044</v>
      </c>
      <c r="Y9" s="49">
        <v>51411</v>
      </c>
      <c r="Z9" s="49">
        <v>63387</v>
      </c>
      <c r="AA9" s="141">
        <f>12-((Q9/'Table 1.3'!O11)*12)</f>
        <v>0</v>
      </c>
      <c r="AB9" s="141">
        <f>12-((R9/'Table 1.3'!P11)*12)</f>
        <v>0</v>
      </c>
      <c r="AC9" s="141">
        <f>12-((S9/'Table 1.3'!Q11)*12)</f>
        <v>0</v>
      </c>
      <c r="AD9" s="141">
        <f>12-((T9/'Table 1.3'!R11)*12)</f>
        <v>2.0877935633516955</v>
      </c>
      <c r="AE9" s="141">
        <f>12-((U9/'Table 1.3'!S11)*12)</f>
        <v>0</v>
      </c>
      <c r="AF9" s="141">
        <f>12-((V9/'Table 1.3'!T11)*12)</f>
        <v>0</v>
      </c>
      <c r="AG9" s="141">
        <f>12-((W9/'Table 1.3'!U11)*12)</f>
        <v>0</v>
      </c>
      <c r="AH9" s="141">
        <f>12-((X9/'Table 1.3'!V11)*12)</f>
        <v>0</v>
      </c>
      <c r="AI9" s="141">
        <f>12-((Y9/'Table 1.3'!W11)*12)</f>
        <v>2.0245452340528747</v>
      </c>
    </row>
    <row r="10" spans="1:35" ht="15.6" x14ac:dyDescent="0.3">
      <c r="A10" s="19" t="str">
        <f>'Table 1.0'!A11</f>
        <v>APEX</v>
      </c>
      <c r="B10" s="21">
        <f>'Table 1.0'!C11</f>
        <v>15000</v>
      </c>
      <c r="C10" s="20">
        <v>5</v>
      </c>
      <c r="D10" s="154"/>
      <c r="E10" s="154"/>
      <c r="F10" s="154"/>
      <c r="G10" s="154">
        <f>AD10</f>
        <v>2.0114349463115317</v>
      </c>
      <c r="H10" s="154"/>
      <c r="I10" s="154"/>
      <c r="J10" s="154"/>
      <c r="K10" s="154"/>
      <c r="L10" s="154">
        <f>AI10</f>
        <v>2.014699149377094</v>
      </c>
      <c r="M10" s="155"/>
      <c r="N10" s="156"/>
      <c r="O10" s="19" t="s">
        <v>35</v>
      </c>
      <c r="P10" s="156">
        <v>15000</v>
      </c>
      <c r="Q10" s="129">
        <v>95400</v>
      </c>
      <c r="R10" s="129">
        <v>99000</v>
      </c>
      <c r="S10" s="49">
        <v>100800</v>
      </c>
      <c r="T10" s="49">
        <v>89535</v>
      </c>
      <c r="U10" s="49">
        <v>110614</v>
      </c>
      <c r="V10" s="49">
        <v>113932</v>
      </c>
      <c r="W10" s="49">
        <v>117350</v>
      </c>
      <c r="X10" s="49">
        <v>120871</v>
      </c>
      <c r="Y10" s="49">
        <v>103595</v>
      </c>
      <c r="Z10" s="49">
        <v>127605</v>
      </c>
      <c r="AA10" s="141">
        <f>12-((Q10/'Table 1.3'!O12)*12)</f>
        <v>0</v>
      </c>
      <c r="AB10" s="141">
        <f>12-((R10/'Table 1.3'!P12)*12)</f>
        <v>0</v>
      </c>
      <c r="AC10" s="141">
        <f>12-((S10/'Table 1.3'!Q12)*12)</f>
        <v>0</v>
      </c>
      <c r="AD10" s="141">
        <f>12-((T10/'Table 1.3'!R12)*12)</f>
        <v>2.0114349463115317</v>
      </c>
      <c r="AE10" s="141">
        <f>12-((U10/'Table 1.3'!S12)*12)</f>
        <v>0</v>
      </c>
      <c r="AF10" s="141">
        <f>12-((V10/'Table 1.3'!T12)*12)</f>
        <v>0</v>
      </c>
      <c r="AG10" s="141">
        <f>12-((W10/'Table 1.3'!U12)*12)</f>
        <v>0</v>
      </c>
      <c r="AH10" s="141">
        <f>12-((X10/'Table 1.3'!V12)*12)</f>
        <v>0</v>
      </c>
      <c r="AI10" s="141">
        <f>12-((Y10/'Table 1.3'!W12)*12)</f>
        <v>2.014699149377094</v>
      </c>
    </row>
    <row r="11" spans="1:35" ht="15.6" x14ac:dyDescent="0.3">
      <c r="A11" s="19" t="str">
        <f>'Table 1.0'!A12</f>
        <v>Iron Mountain Temp. Space</v>
      </c>
      <c r="B11" s="21">
        <f>'Table 1.0'!C12</f>
        <v>24000</v>
      </c>
      <c r="C11" s="20">
        <v>5</v>
      </c>
      <c r="D11" s="154">
        <f t="shared" ref="D11:D16" si="0">AA11</f>
        <v>9</v>
      </c>
      <c r="E11" s="154"/>
      <c r="F11" s="154"/>
      <c r="G11" s="154"/>
      <c r="H11" s="154"/>
      <c r="I11" s="154"/>
      <c r="J11" s="154">
        <f>AG11</f>
        <v>2.0000145396386895</v>
      </c>
      <c r="K11" s="154"/>
      <c r="L11" s="154"/>
      <c r="M11" s="155"/>
      <c r="N11" s="156"/>
      <c r="O11" s="19" t="s">
        <v>36</v>
      </c>
      <c r="P11" s="156" t="s">
        <v>37</v>
      </c>
      <c r="Q11" s="129">
        <v>28800</v>
      </c>
      <c r="R11" s="129">
        <v>118656</v>
      </c>
      <c r="S11" s="49">
        <v>122216</v>
      </c>
      <c r="T11" s="49">
        <v>125882</v>
      </c>
      <c r="U11" s="49">
        <v>129659</v>
      </c>
      <c r="V11" s="49">
        <v>133548</v>
      </c>
      <c r="W11" s="49">
        <v>114629</v>
      </c>
      <c r="X11" s="49">
        <v>140994</v>
      </c>
      <c r="Y11" s="49">
        <v>145224</v>
      </c>
      <c r="Z11" s="49">
        <v>149580</v>
      </c>
      <c r="AA11" s="141">
        <f>12-((Q11/'Table 1.3'!O13)*12)</f>
        <v>9</v>
      </c>
      <c r="AB11" s="141">
        <f>12-((R11/'Table 1.3'!P13)*12)</f>
        <v>0</v>
      </c>
      <c r="AC11" s="141">
        <f>12-((S11/'Table 1.3'!Q13)*12)</f>
        <v>0</v>
      </c>
      <c r="AD11" s="141">
        <f>12-((T11/'Table 1.3'!R13)*12)</f>
        <v>0</v>
      </c>
      <c r="AE11" s="141">
        <f>12-((U11/'Table 1.3'!S13)*12)</f>
        <v>0</v>
      </c>
      <c r="AF11" s="141">
        <f>12-((V11/'Table 1.3'!T13)*12)</f>
        <v>0</v>
      </c>
      <c r="AG11" s="141">
        <f>12-((W11/'Table 1.3'!U13)*12)</f>
        <v>2.0000145396386895</v>
      </c>
      <c r="AH11" s="141">
        <f>12-((X11/'Table 1.3'!V13)*12)</f>
        <v>0</v>
      </c>
      <c r="AI11" s="141">
        <f>12-((Y11/'Table 1.3'!W13)*12)</f>
        <v>0</v>
      </c>
    </row>
    <row r="12" spans="1:35" ht="15.6" x14ac:dyDescent="0.3">
      <c r="A12" s="19" t="str">
        <f>'Table 1.0'!A13</f>
        <v>Building C Ste 1 (VACANT)</v>
      </c>
      <c r="B12" s="21">
        <f>'Table 1.0'!C13</f>
        <v>7500</v>
      </c>
      <c r="C12" s="20">
        <v>5</v>
      </c>
      <c r="D12" s="154">
        <f t="shared" si="0"/>
        <v>11</v>
      </c>
      <c r="E12" s="154"/>
      <c r="F12" s="154"/>
      <c r="G12" s="154"/>
      <c r="H12" s="154"/>
      <c r="I12" s="154">
        <f>AF12</f>
        <v>1.0274296354651575</v>
      </c>
      <c r="J12" s="154">
        <f>AG12</f>
        <v>0.99991540478808894</v>
      </c>
      <c r="K12" s="154"/>
      <c r="L12" s="154"/>
      <c r="M12" s="155"/>
      <c r="N12" s="156"/>
      <c r="O12" s="19" t="s">
        <v>38</v>
      </c>
      <c r="P12" s="156" t="s">
        <v>108</v>
      </c>
      <c r="Q12" s="129">
        <v>4125</v>
      </c>
      <c r="R12" s="129">
        <v>49624</v>
      </c>
      <c r="S12" s="49">
        <v>51112</v>
      </c>
      <c r="T12" s="49">
        <v>52646</v>
      </c>
      <c r="U12" s="49">
        <v>54225</v>
      </c>
      <c r="V12" s="49">
        <v>51070</v>
      </c>
      <c r="W12" s="49">
        <v>54180</v>
      </c>
      <c r="X12" s="49">
        <v>60731</v>
      </c>
      <c r="Y12" s="49">
        <v>62553</v>
      </c>
      <c r="Z12" s="49">
        <v>64430</v>
      </c>
      <c r="AA12" s="141">
        <f>12-((Q12/'Table 1.3'!O14)*12)</f>
        <v>11</v>
      </c>
      <c r="AB12" s="141">
        <f>12-((R12/'Table 1.3'!P14)*12)</f>
        <v>0</v>
      </c>
      <c r="AC12" s="141">
        <f>12-((S12/'Table 1.3'!Q14)*12)</f>
        <v>0</v>
      </c>
      <c r="AD12" s="141">
        <f>12-((T12/'Table 1.3'!R14)*12)</f>
        <v>0</v>
      </c>
      <c r="AE12" s="141">
        <f>12-((U12/'Table 1.3'!S14)*12)</f>
        <v>0</v>
      </c>
      <c r="AF12" s="141">
        <f>12-((V12/'Table 1.3'!T14)*12)</f>
        <v>1.0274296354651575</v>
      </c>
      <c r="AG12" s="141">
        <f>12-((W12/'Table 1.3'!U14)*12)</f>
        <v>0.99991540478808894</v>
      </c>
      <c r="AH12" s="141">
        <f>12-((X12/'Table 1.3'!V14)*12)</f>
        <v>0</v>
      </c>
      <c r="AI12" s="141">
        <f>12-((Y12/'Table 1.3'!W14)*12)</f>
        <v>0</v>
      </c>
    </row>
    <row r="13" spans="1:35" ht="15.6" x14ac:dyDescent="0.3">
      <c r="A13" s="19" t="str">
        <f>'Table 1.0'!A14</f>
        <v>Building C Ste 2 (VACANT)</v>
      </c>
      <c r="B13" s="21">
        <f>'Table 1.0'!C14</f>
        <v>7500</v>
      </c>
      <c r="C13" s="20">
        <v>5</v>
      </c>
      <c r="D13" s="154">
        <f t="shared" si="0"/>
        <v>12</v>
      </c>
      <c r="E13" s="154">
        <f>AB13</f>
        <v>5.0864542389113909</v>
      </c>
      <c r="F13" s="154"/>
      <c r="G13" s="154"/>
      <c r="H13" s="154"/>
      <c r="I13" s="154"/>
      <c r="J13" s="154">
        <f>AG13</f>
        <v>2.0490189281009492</v>
      </c>
      <c r="K13" s="154"/>
      <c r="L13" s="154"/>
      <c r="M13" s="155"/>
      <c r="N13" s="156"/>
      <c r="O13" s="19" t="s">
        <v>40</v>
      </c>
      <c r="P13" s="156" t="s">
        <v>109</v>
      </c>
      <c r="Q13" s="129">
        <v>0</v>
      </c>
      <c r="R13" s="129">
        <v>28875</v>
      </c>
      <c r="S13" s="49">
        <v>50366</v>
      </c>
      <c r="T13" s="49">
        <v>51877</v>
      </c>
      <c r="U13" s="49">
        <v>53434</v>
      </c>
      <c r="V13" s="49">
        <v>55037</v>
      </c>
      <c r="W13" s="49">
        <v>47841</v>
      </c>
      <c r="X13" s="49">
        <v>59844</v>
      </c>
      <c r="Y13" s="49">
        <v>61640</v>
      </c>
      <c r="Z13" s="49">
        <v>63489</v>
      </c>
      <c r="AA13" s="141">
        <f>12-((Q13/'Table 1.3'!O15)*12)</f>
        <v>12</v>
      </c>
      <c r="AB13" s="141">
        <f>12-((R13/'Table 1.3'!P15)*12)</f>
        <v>5.0864542389113909</v>
      </c>
      <c r="AC13" s="141">
        <f>12-((S13/'Table 1.3'!Q15)*12)</f>
        <v>0</v>
      </c>
      <c r="AD13" s="141">
        <f>12-((T13/'Table 1.3'!R15)*12)</f>
        <v>0</v>
      </c>
      <c r="AE13" s="141">
        <f>12-((U13/'Table 1.3'!S15)*12)</f>
        <v>0</v>
      </c>
      <c r="AF13" s="141">
        <f>12-((V13/'Table 1.3'!T15)*12)</f>
        <v>0</v>
      </c>
      <c r="AG13" s="141">
        <f>12-((W13/'Table 1.3'!U15)*12)</f>
        <v>2.0490189281009492</v>
      </c>
      <c r="AH13" s="141">
        <f>12-((X13/'Table 1.3'!V15)*12)</f>
        <v>0</v>
      </c>
      <c r="AI13" s="141">
        <f>12-((Y13/'Table 1.3'!W15)*12)</f>
        <v>0</v>
      </c>
    </row>
    <row r="14" spans="1:35" ht="15.6" x14ac:dyDescent="0.3">
      <c r="A14" s="19" t="str">
        <f>'Table 1.0'!A15</f>
        <v>Building A Ste 1 (VACANT)</v>
      </c>
      <c r="B14" s="21">
        <f>'Table 1.0'!C15</f>
        <v>12000</v>
      </c>
      <c r="C14" s="20">
        <v>5</v>
      </c>
      <c r="D14" s="154">
        <f t="shared" si="0"/>
        <v>6</v>
      </c>
      <c r="E14" s="154"/>
      <c r="F14" s="154"/>
      <c r="G14" s="154"/>
      <c r="H14" s="154"/>
      <c r="I14" s="154">
        <f>AF14</f>
        <v>2.0295297661663998</v>
      </c>
      <c r="J14" s="154"/>
      <c r="K14" s="154"/>
      <c r="L14" s="154"/>
      <c r="M14" s="155"/>
      <c r="N14" s="156"/>
      <c r="O14" s="19" t="s">
        <v>42</v>
      </c>
      <c r="P14" s="156" t="s">
        <v>110</v>
      </c>
      <c r="Q14" s="129">
        <v>32400</v>
      </c>
      <c r="R14" s="129">
        <v>65772</v>
      </c>
      <c r="S14" s="49">
        <v>67745</v>
      </c>
      <c r="T14" s="49">
        <v>69778</v>
      </c>
      <c r="U14" s="49">
        <v>71871</v>
      </c>
      <c r="V14" s="49">
        <v>61507</v>
      </c>
      <c r="W14" s="49">
        <v>75872</v>
      </c>
      <c r="X14" s="49">
        <v>78148</v>
      </c>
      <c r="Y14" s="49">
        <v>80493</v>
      </c>
      <c r="Z14" s="49">
        <v>82908</v>
      </c>
      <c r="AA14" s="141">
        <f>12-((Q14/'Table 1.3'!O16)*12)</f>
        <v>6</v>
      </c>
      <c r="AB14" s="141">
        <f>12-((R14/'Table 1.3'!P16)*12)</f>
        <v>0</v>
      </c>
      <c r="AC14" s="141">
        <f>12-((S14/'Table 1.3'!Q16)*12)</f>
        <v>0</v>
      </c>
      <c r="AD14" s="141">
        <f>12-((T14/'Table 1.3'!R16)*12)</f>
        <v>0</v>
      </c>
      <c r="AE14" s="141">
        <f>12-((U14/'Table 1.3'!S16)*12)</f>
        <v>0</v>
      </c>
      <c r="AF14" s="141">
        <f>12-((V14/'Table 1.3'!T16)*12)</f>
        <v>2.0295297661663998</v>
      </c>
      <c r="AG14" s="141">
        <f>12-((W14/'Table 1.3'!U16)*12)</f>
        <v>0</v>
      </c>
      <c r="AH14" s="141">
        <f>12-((X14/'Table 1.3'!V16)*12)</f>
        <v>0</v>
      </c>
      <c r="AI14" s="141">
        <f>12-((Y14/'Table 1.3'!W16)*12)</f>
        <v>0</v>
      </c>
    </row>
    <row r="15" spans="1:35" ht="15.6" x14ac:dyDescent="0.3">
      <c r="A15" s="19" t="str">
        <f>'Table 1.0'!A16</f>
        <v>Building A Ste 2 (VACANT)</v>
      </c>
      <c r="B15" s="21">
        <f>'Table 1.0'!C16</f>
        <v>12000</v>
      </c>
      <c r="C15" s="20">
        <v>5</v>
      </c>
      <c r="D15" s="154">
        <f t="shared" si="0"/>
        <v>12</v>
      </c>
      <c r="E15" s="154">
        <f>AB15</f>
        <v>9.0660146699266502</v>
      </c>
      <c r="F15" s="154"/>
      <c r="G15" s="154"/>
      <c r="H15" s="154"/>
      <c r="I15" s="154"/>
      <c r="J15" s="154">
        <f>AG15</f>
        <v>2.0899256328939089</v>
      </c>
      <c r="K15" s="154"/>
      <c r="L15" s="154"/>
      <c r="M15" s="155"/>
      <c r="N15" s="156"/>
      <c r="O15" s="72" t="s">
        <v>44</v>
      </c>
      <c r="P15" s="156" t="s">
        <v>39</v>
      </c>
      <c r="Q15" s="49">
        <v>0</v>
      </c>
      <c r="R15" s="49">
        <v>19800</v>
      </c>
      <c r="S15" s="49">
        <v>79794</v>
      </c>
      <c r="T15" s="49">
        <v>82188</v>
      </c>
      <c r="U15" s="49">
        <v>84653</v>
      </c>
      <c r="V15" s="49">
        <v>87193</v>
      </c>
      <c r="W15" s="49">
        <v>74736</v>
      </c>
      <c r="X15" s="49">
        <v>94805</v>
      </c>
      <c r="Y15" s="49">
        <v>97650</v>
      </c>
      <c r="Z15" s="49">
        <v>100579</v>
      </c>
      <c r="AA15" s="141">
        <f>12-((Q15/'Table 1.3'!O17)*12)</f>
        <v>12</v>
      </c>
      <c r="AB15" s="141">
        <f>12-((R15/'Table 1.3'!P17)*12)</f>
        <v>9.0660146699266502</v>
      </c>
      <c r="AC15" s="141">
        <f>12-((S15/'Table 1.3'!Q17)*12)</f>
        <v>0</v>
      </c>
      <c r="AD15" s="141">
        <f>12-((T15/'Table 1.3'!R17)*12)</f>
        <v>0</v>
      </c>
      <c r="AE15" s="141">
        <f>12-((U15/'Table 1.3'!S17)*12)</f>
        <v>0</v>
      </c>
      <c r="AF15" s="141">
        <f>12-((V15/'Table 1.3'!T17)*12)</f>
        <v>0</v>
      </c>
      <c r="AG15" s="141">
        <f>12-((W15/'Table 1.3'!U17)*12)</f>
        <v>2.0899256328939089</v>
      </c>
      <c r="AH15" s="141">
        <f>12-((X15/'Table 1.3'!V17)*12)</f>
        <v>0</v>
      </c>
      <c r="AI15" s="141">
        <f>12-((Y15/'Table 1.3'!W17)*12)</f>
        <v>0</v>
      </c>
    </row>
    <row r="16" spans="1:35" ht="15.6" x14ac:dyDescent="0.3">
      <c r="A16" s="19" t="str">
        <f>'Table 1.0'!A17</f>
        <v>Building A Ste 3 (VACANT)</v>
      </c>
      <c r="B16" s="24">
        <f>'Table 1.0'!C17</f>
        <v>11893</v>
      </c>
      <c r="C16" s="20">
        <v>5</v>
      </c>
      <c r="D16" s="154">
        <f t="shared" si="0"/>
        <v>12</v>
      </c>
      <c r="E16" s="154">
        <f>AB16</f>
        <v>12</v>
      </c>
      <c r="F16" s="154">
        <f>AC16</f>
        <v>2.1004653743804464</v>
      </c>
      <c r="G16" s="154"/>
      <c r="H16" s="154"/>
      <c r="I16" s="154"/>
      <c r="J16" s="154"/>
      <c r="K16" s="154">
        <f>AH16</f>
        <v>2.0287266346547863</v>
      </c>
      <c r="L16" s="154"/>
      <c r="M16" s="155"/>
      <c r="N16" s="156"/>
      <c r="O16" s="72" t="s">
        <v>46</v>
      </c>
      <c r="P16" s="156" t="s">
        <v>111</v>
      </c>
      <c r="Q16" s="49">
        <v>0</v>
      </c>
      <c r="R16" s="49">
        <v>0</v>
      </c>
      <c r="S16" s="49">
        <v>65412</v>
      </c>
      <c r="T16" s="49">
        <v>80456</v>
      </c>
      <c r="U16" s="49">
        <v>82870</v>
      </c>
      <c r="V16" s="49">
        <v>85356</v>
      </c>
      <c r="W16" s="49">
        <v>87917</v>
      </c>
      <c r="X16" s="49">
        <v>79083</v>
      </c>
      <c r="Y16" s="49">
        <v>98468</v>
      </c>
      <c r="Z16" s="49">
        <v>101422</v>
      </c>
      <c r="AA16" s="141">
        <f>12-((Q16/'Table 1.3'!O18)*12)</f>
        <v>12</v>
      </c>
      <c r="AB16" s="141">
        <f>12-((R16/'Table 1.3'!P18)*12)</f>
        <v>12</v>
      </c>
      <c r="AC16" s="141">
        <f>12-((S16/'Table 1.3'!Q18)*12)</f>
        <v>2.1004653743804464</v>
      </c>
      <c r="AD16" s="141">
        <f>12-((T16/'Table 1.3'!R18)*12)</f>
        <v>0</v>
      </c>
      <c r="AE16" s="141">
        <f>12-((U16/'Table 1.3'!S18)*12)</f>
        <v>0</v>
      </c>
      <c r="AF16" s="141">
        <f>12-((V16/'Table 1.3'!T18)*12)</f>
        <v>0</v>
      </c>
      <c r="AG16" s="141">
        <f>12-((W16/'Table 1.3'!U18)*12)</f>
        <v>0</v>
      </c>
      <c r="AH16" s="141">
        <f>12-((X16/'Table 1.3'!V18)*12)</f>
        <v>2.0287266346547863</v>
      </c>
      <c r="AI16" s="141">
        <f>12-((Y16/'Table 1.3'!W18)*12)</f>
        <v>0</v>
      </c>
    </row>
    <row r="17" spans="1:35" ht="15.6" x14ac:dyDescent="0.3">
      <c r="A17" s="19"/>
      <c r="B17" s="21">
        <f>SUM(B7:B16)</f>
        <v>129097</v>
      </c>
      <c r="C17" s="20"/>
      <c r="D17" s="153"/>
      <c r="E17" s="153"/>
      <c r="F17" s="153"/>
      <c r="G17" s="153"/>
      <c r="H17" s="153"/>
      <c r="I17" s="153"/>
      <c r="J17" s="153"/>
      <c r="K17" s="153"/>
      <c r="L17" s="153"/>
      <c r="M17" s="155"/>
      <c r="N17" s="156"/>
      <c r="O17" s="72"/>
      <c r="P17" s="156"/>
      <c r="Q17" s="49"/>
      <c r="R17" s="49"/>
      <c r="S17" s="49"/>
      <c r="T17" s="49"/>
      <c r="U17" s="49"/>
      <c r="V17" s="49"/>
      <c r="W17" s="49"/>
      <c r="X17" s="49"/>
      <c r="Y17" s="49"/>
      <c r="AA17" s="141"/>
      <c r="AB17" s="141"/>
      <c r="AC17" s="141"/>
      <c r="AD17" s="141"/>
      <c r="AE17" s="141"/>
      <c r="AF17" s="141"/>
      <c r="AG17" s="141"/>
      <c r="AH17" s="141"/>
      <c r="AI17" s="141"/>
    </row>
    <row r="18" spans="1:35" ht="15.6" x14ac:dyDescent="0.3">
      <c r="A18" s="19"/>
      <c r="B18" s="21"/>
      <c r="C18" s="20"/>
      <c r="D18" s="153"/>
      <c r="E18" s="153"/>
      <c r="F18" s="153"/>
      <c r="G18" s="153"/>
      <c r="H18" s="153"/>
      <c r="I18" s="153"/>
      <c r="J18" s="153"/>
      <c r="K18" s="153"/>
      <c r="L18" s="153"/>
      <c r="M18" s="155"/>
      <c r="N18" s="156"/>
      <c r="O18" s="72"/>
      <c r="P18" s="156"/>
      <c r="Q18" s="49"/>
      <c r="R18" s="49"/>
      <c r="S18" s="49"/>
      <c r="T18" s="49"/>
      <c r="U18" s="49"/>
      <c r="V18" s="49"/>
      <c r="W18" s="49"/>
      <c r="X18" s="49"/>
      <c r="Y18" s="49"/>
      <c r="AA18" s="141"/>
      <c r="AB18" s="141"/>
      <c r="AC18" s="141"/>
      <c r="AD18" s="141"/>
      <c r="AE18" s="141"/>
      <c r="AF18" s="141"/>
      <c r="AG18" s="141"/>
      <c r="AH18" s="141"/>
      <c r="AI18" s="141"/>
    </row>
    <row r="19" spans="1:35" ht="15.6" x14ac:dyDescent="0.3">
      <c r="A19" s="15"/>
      <c r="B19" s="129"/>
      <c r="C19" s="129"/>
      <c r="D19" s="5"/>
      <c r="E19" s="5"/>
      <c r="F19" s="5"/>
      <c r="G19" s="5"/>
      <c r="H19" s="5"/>
      <c r="I19" s="5"/>
      <c r="J19" s="5"/>
      <c r="K19" s="5"/>
      <c r="L19" s="5"/>
      <c r="M19" s="155"/>
      <c r="N19" s="156"/>
      <c r="O19" s="72"/>
      <c r="P19" s="156"/>
      <c r="Q19" s="49"/>
      <c r="R19" s="49"/>
      <c r="S19" s="49"/>
      <c r="T19" s="49"/>
      <c r="U19" s="49"/>
      <c r="V19" s="49"/>
      <c r="W19" s="49"/>
      <c r="X19" s="49"/>
      <c r="Y19" s="49"/>
      <c r="AA19" s="141"/>
      <c r="AB19" s="141"/>
      <c r="AC19" s="141"/>
      <c r="AD19" s="141"/>
      <c r="AE19" s="141"/>
      <c r="AF19" s="141"/>
      <c r="AG19" s="141"/>
      <c r="AH19" s="141"/>
      <c r="AI19" s="141"/>
    </row>
    <row r="20" spans="1:35" ht="15.6" x14ac:dyDescent="0.3">
      <c r="A20" s="15" t="s">
        <v>115</v>
      </c>
      <c r="B20" s="129"/>
      <c r="C20" s="5"/>
      <c r="D20" s="129">
        <v>24000</v>
      </c>
      <c r="E20" s="129">
        <v>0</v>
      </c>
      <c r="F20" s="129">
        <v>19204</v>
      </c>
      <c r="G20" s="129">
        <v>35000</v>
      </c>
      <c r="H20" s="129">
        <v>0</v>
      </c>
      <c r="I20" s="129">
        <v>19500</v>
      </c>
      <c r="J20" s="129">
        <v>19500</v>
      </c>
      <c r="K20" s="129">
        <v>11893</v>
      </c>
      <c r="L20" s="129">
        <v>0</v>
      </c>
      <c r="M20" s="155"/>
      <c r="N20" s="156"/>
      <c r="O20" s="72"/>
      <c r="P20" s="156"/>
      <c r="Q20" s="49"/>
      <c r="R20" s="49"/>
      <c r="S20" s="49"/>
      <c r="T20" s="49"/>
      <c r="U20" s="49"/>
      <c r="V20" s="49"/>
      <c r="W20" s="49"/>
      <c r="X20" s="49"/>
      <c r="Y20" s="49"/>
      <c r="AA20" s="141"/>
      <c r="AB20" s="141"/>
      <c r="AC20" s="141"/>
      <c r="AD20" s="141"/>
      <c r="AE20" s="141"/>
      <c r="AF20" s="141"/>
      <c r="AG20" s="141"/>
      <c r="AH20" s="141"/>
      <c r="AI20" s="141"/>
    </row>
    <row r="21" spans="1:35" ht="15.6" x14ac:dyDescent="0.3">
      <c r="A21" s="15" t="s">
        <v>116</v>
      </c>
      <c r="B21" s="5"/>
      <c r="C21" s="5"/>
      <c r="D21" s="157">
        <v>0</v>
      </c>
      <c r="E21" s="157">
        <f>E22-E20</f>
        <v>0</v>
      </c>
      <c r="F21" s="157">
        <v>0</v>
      </c>
      <c r="G21" s="157">
        <v>0</v>
      </c>
      <c r="H21" s="157">
        <f>H22-H20</f>
        <v>0</v>
      </c>
      <c r="I21" s="157">
        <v>24000</v>
      </c>
      <c r="J21" s="157">
        <v>0</v>
      </c>
      <c r="K21" s="157">
        <v>0</v>
      </c>
      <c r="L21" s="157">
        <v>54204</v>
      </c>
      <c r="M21" s="155"/>
      <c r="N21" s="156"/>
      <c r="O21" s="72"/>
      <c r="P21" s="156"/>
      <c r="Q21" s="49"/>
      <c r="R21" s="49"/>
      <c r="S21" s="49"/>
      <c r="T21" s="49"/>
      <c r="U21" s="49"/>
      <c r="V21" s="49"/>
      <c r="W21" s="49"/>
      <c r="X21" s="49"/>
      <c r="Y21" s="49"/>
      <c r="AA21" s="141"/>
      <c r="AB21" s="141"/>
      <c r="AC21" s="141"/>
      <c r="AD21" s="141"/>
      <c r="AE21" s="141"/>
      <c r="AF21" s="141"/>
      <c r="AG21" s="141"/>
      <c r="AH21" s="141"/>
      <c r="AI21" s="141"/>
    </row>
    <row r="22" spans="1:35" ht="15.6" x14ac:dyDescent="0.3">
      <c r="A22" s="15" t="s">
        <v>117</v>
      </c>
      <c r="B22" s="5"/>
      <c r="C22" s="5"/>
      <c r="D22" s="129">
        <f>D20+D21</f>
        <v>24000</v>
      </c>
      <c r="E22" s="129">
        <v>0</v>
      </c>
      <c r="F22" s="129">
        <f>F20+F21</f>
        <v>19204</v>
      </c>
      <c r="G22" s="129">
        <f>G20+G21</f>
        <v>35000</v>
      </c>
      <c r="H22" s="129">
        <v>0</v>
      </c>
      <c r="I22" s="129">
        <f>I20+I21</f>
        <v>43500</v>
      </c>
      <c r="J22" s="129">
        <f>J20+J21</f>
        <v>19500</v>
      </c>
      <c r="K22" s="129">
        <f>K20+K21</f>
        <v>11893</v>
      </c>
      <c r="L22" s="129">
        <v>54204</v>
      </c>
      <c r="M22" s="155" t="s">
        <v>1</v>
      </c>
      <c r="N22" s="158"/>
      <c r="O22" s="72"/>
      <c r="P22" s="156"/>
      <c r="Q22" s="49"/>
      <c r="R22" s="49"/>
      <c r="S22" s="49"/>
      <c r="T22" s="49"/>
      <c r="U22" s="49"/>
      <c r="V22" s="49"/>
      <c r="W22" s="49"/>
      <c r="X22" s="49"/>
      <c r="Y22" s="49"/>
      <c r="AA22" s="141"/>
      <c r="AB22" s="141"/>
      <c r="AC22" s="141"/>
      <c r="AD22" s="141"/>
      <c r="AE22" s="141"/>
      <c r="AF22" s="141"/>
      <c r="AG22" s="141"/>
      <c r="AH22" s="141"/>
      <c r="AI22" s="141"/>
    </row>
    <row r="23" spans="1:35" ht="16.2" thickBot="1" x14ac:dyDescent="0.35">
      <c r="A23" s="35" t="s">
        <v>118</v>
      </c>
      <c r="B23" s="50"/>
      <c r="C23" s="50"/>
      <c r="D23" s="159">
        <f t="shared" ref="D23:L23" si="1">D22/$B$17</f>
        <v>0.18590672130258643</v>
      </c>
      <c r="E23" s="159">
        <f t="shared" si="1"/>
        <v>0</v>
      </c>
      <c r="F23" s="159">
        <f t="shared" si="1"/>
        <v>0.14875636149561958</v>
      </c>
      <c r="G23" s="159">
        <f t="shared" si="1"/>
        <v>0.27111396856627185</v>
      </c>
      <c r="H23" s="159">
        <f t="shared" si="1"/>
        <v>0</v>
      </c>
      <c r="I23" s="159">
        <f t="shared" si="1"/>
        <v>0.3369559323609379</v>
      </c>
      <c r="J23" s="159">
        <f t="shared" si="1"/>
        <v>0.15104921105835148</v>
      </c>
      <c r="K23" s="159">
        <f t="shared" si="1"/>
        <v>9.212452651881918E-2</v>
      </c>
      <c r="L23" s="159">
        <f t="shared" si="1"/>
        <v>0.41987033006189145</v>
      </c>
      <c r="M23" s="53"/>
      <c r="N23" s="156"/>
      <c r="O23" s="72"/>
      <c r="P23" s="156"/>
      <c r="Q23" s="49"/>
      <c r="R23" s="49"/>
      <c r="S23" s="49"/>
      <c r="T23" s="49"/>
      <c r="U23" s="49"/>
      <c r="V23" s="49"/>
      <c r="W23" s="49"/>
      <c r="X23" s="49"/>
      <c r="Y23" s="49"/>
      <c r="AA23" s="141"/>
      <c r="AB23" s="141"/>
      <c r="AC23" s="141"/>
      <c r="AD23" s="141"/>
      <c r="AE23" s="141"/>
      <c r="AF23" s="141"/>
      <c r="AG23" s="141"/>
      <c r="AH23" s="141"/>
      <c r="AI23" s="141"/>
    </row>
    <row r="24" spans="1:35" ht="16.2" thickTop="1" x14ac:dyDescent="0.3">
      <c r="E24" s="160"/>
      <c r="L24" s="161"/>
      <c r="M24" s="156"/>
      <c r="N24" s="156"/>
      <c r="O24" s="72"/>
      <c r="P24" s="156"/>
      <c r="Q24" s="129"/>
      <c r="R24" s="129"/>
      <c r="S24" s="49"/>
      <c r="T24" s="49"/>
      <c r="U24" s="49"/>
      <c r="V24" s="49"/>
      <c r="W24" s="49"/>
      <c r="X24" s="49"/>
      <c r="Y24" s="49"/>
      <c r="Z24" s="49"/>
      <c r="AA24" s="141"/>
      <c r="AB24" s="141"/>
      <c r="AC24" s="141"/>
      <c r="AD24" s="141"/>
      <c r="AE24" s="141"/>
      <c r="AF24" s="141"/>
      <c r="AG24" s="141"/>
      <c r="AH24" s="141"/>
      <c r="AI24" s="141"/>
    </row>
    <row r="25" spans="1:35" ht="15.6" x14ac:dyDescent="0.3">
      <c r="A25" s="5" t="s">
        <v>119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129"/>
      <c r="M25" s="5"/>
      <c r="N25" s="5"/>
      <c r="O25" s="5"/>
      <c r="P25" s="129"/>
      <c r="Q25" s="129"/>
      <c r="R25" s="129"/>
      <c r="S25" s="129"/>
      <c r="T25" s="129"/>
      <c r="U25" s="129"/>
      <c r="V25" s="129"/>
      <c r="W25" s="129"/>
      <c r="X25" s="129"/>
      <c r="Y25" s="129"/>
      <c r="Z25" s="49"/>
      <c r="AA25" s="141"/>
      <c r="AB25" s="141"/>
      <c r="AC25" s="141"/>
      <c r="AD25" s="141"/>
      <c r="AE25" s="141"/>
      <c r="AF25" s="141"/>
      <c r="AG25" s="141"/>
      <c r="AH25" s="141"/>
      <c r="AI25" s="141"/>
    </row>
    <row r="26" spans="1:35" ht="15.6" x14ac:dyDescent="0.3">
      <c r="A26" s="162" t="s">
        <v>218</v>
      </c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129"/>
      <c r="N26" s="129"/>
      <c r="O26" s="129"/>
      <c r="P26" s="129"/>
      <c r="Q26" s="129"/>
      <c r="R26" s="129"/>
      <c r="S26" s="49"/>
      <c r="T26" s="49"/>
      <c r="U26" s="49"/>
      <c r="V26" s="49"/>
      <c r="W26" s="49"/>
      <c r="X26" s="49"/>
      <c r="Y26" s="49"/>
      <c r="Z26" s="49"/>
      <c r="AA26" s="141"/>
      <c r="AB26" s="141"/>
      <c r="AC26" s="141"/>
      <c r="AD26" s="141"/>
      <c r="AE26" s="141"/>
      <c r="AF26" s="141"/>
      <c r="AG26" s="141"/>
      <c r="AH26" s="141"/>
      <c r="AI26" s="141"/>
    </row>
    <row r="27" spans="1:35" ht="15.6" x14ac:dyDescent="0.3">
      <c r="A27" s="5"/>
      <c r="M27" s="5"/>
      <c r="N27" s="5"/>
      <c r="O27" s="5"/>
      <c r="P27" s="5"/>
      <c r="Q27" s="129"/>
      <c r="R27" s="129"/>
      <c r="S27" s="49"/>
      <c r="T27" s="49"/>
      <c r="U27" s="49"/>
      <c r="V27" s="49"/>
      <c r="W27" s="49"/>
      <c r="X27" s="49"/>
      <c r="Y27" s="49"/>
      <c r="AA27" s="49"/>
      <c r="AB27" s="49"/>
      <c r="AC27" s="49"/>
      <c r="AD27" s="49"/>
      <c r="AE27" s="49"/>
      <c r="AF27" s="49"/>
      <c r="AG27" s="49"/>
      <c r="AH27" s="49"/>
      <c r="AI27" s="49"/>
    </row>
    <row r="28" spans="1:35" ht="15.6" x14ac:dyDescent="0.3">
      <c r="A28" s="5"/>
      <c r="M28" s="5"/>
      <c r="N28" s="5"/>
    </row>
    <row r="29" spans="1:35" ht="15.6" x14ac:dyDescent="0.3">
      <c r="A29" s="5"/>
      <c r="M29" s="5"/>
      <c r="N29" s="5"/>
      <c r="O29" s="5"/>
      <c r="P29" s="5"/>
      <c r="Q29" s="5"/>
      <c r="R29" s="5"/>
    </row>
    <row r="30" spans="1:35" ht="15.6" x14ac:dyDescent="0.3">
      <c r="Q30" s="5"/>
      <c r="R30" s="5"/>
    </row>
    <row r="31" spans="1:35" s="5" customFormat="1" ht="15.6" x14ac:dyDescent="0.3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R31" s="129"/>
    </row>
    <row r="32" spans="1:35" s="5" customFormat="1" ht="15.6" x14ac:dyDescent="0.3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</row>
  </sheetData>
  <phoneticPr fontId="0" type="noConversion"/>
  <conditionalFormatting sqref="D7:L16">
    <cfRule type="cellIs" dxfId="2" priority="1" stopIfTrue="1" operator="lessThan">
      <formula>0.75</formula>
    </cfRule>
    <cfRule type="cellIs" dxfId="1" priority="2" stopIfTrue="1" operator="greaterThan">
      <formula>0.75</formula>
    </cfRule>
  </conditionalFormatting>
  <pageMargins left="0.75" right="0.75" top="1" bottom="0.75" header="0.5" footer="0.5"/>
  <pageSetup scale="65" orientation="landscape" horizontalDpi="4294967292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>
    <pageSetUpPr fitToPage="1"/>
  </sheetPr>
  <dimension ref="A1:AG34"/>
  <sheetViews>
    <sheetView workbookViewId="0"/>
  </sheetViews>
  <sheetFormatPr defaultColWidth="9.109375" defaultRowHeight="13.2" outlineLevelRow="1" x14ac:dyDescent="0.25"/>
  <cols>
    <col min="1" max="1" width="24.88671875" style="4" customWidth="1"/>
    <col min="2" max="2" width="4.109375" style="4" customWidth="1"/>
    <col min="3" max="3" width="5.88671875" style="4" bestFit="1" customWidth="1"/>
    <col min="4" max="4" width="14.44140625" style="4" customWidth="1"/>
    <col min="5" max="13" width="14.21875" style="4" customWidth="1"/>
    <col min="14" max="22" width="9.109375" style="4"/>
    <col min="23" max="23" width="10.109375" style="4" bestFit="1" customWidth="1"/>
    <col min="24" max="16384" width="9.109375" style="4"/>
  </cols>
  <sheetData>
    <row r="1" spans="1:33" ht="15.6" x14ac:dyDescent="0.3">
      <c r="A1" s="3" t="s">
        <v>120</v>
      </c>
      <c r="B1" s="3"/>
      <c r="C1" s="3"/>
      <c r="D1" s="3"/>
      <c r="N1" s="5"/>
      <c r="O1" s="5"/>
      <c r="P1" s="5"/>
    </row>
    <row r="2" spans="1:33" ht="16.2" thickBot="1" x14ac:dyDescent="0.35">
      <c r="A2" s="3"/>
      <c r="B2" s="3"/>
      <c r="C2" s="3"/>
      <c r="D2" s="3"/>
      <c r="N2" s="5"/>
      <c r="O2" s="5"/>
      <c r="P2" s="5"/>
    </row>
    <row r="3" spans="1:33" ht="16.8" thickTop="1" thickBot="1" x14ac:dyDescent="0.35">
      <c r="A3" s="6"/>
      <c r="B3" s="7"/>
      <c r="C3" s="7"/>
      <c r="D3" s="8" t="s">
        <v>11</v>
      </c>
      <c r="E3" s="9">
        <f>'Table 1.1'!D6</f>
        <v>38869</v>
      </c>
      <c r="F3" s="9">
        <f>'Table 1.1'!E6</f>
        <v>39234</v>
      </c>
      <c r="G3" s="9">
        <f>'Table 1.1'!F6</f>
        <v>39600</v>
      </c>
      <c r="H3" s="9">
        <f>'Table 1.1'!G6</f>
        <v>39965</v>
      </c>
      <c r="I3" s="9">
        <f>'Table 1.1'!H6</f>
        <v>40330</v>
      </c>
      <c r="J3" s="9">
        <f>'Table 1.1'!I6</f>
        <v>40695</v>
      </c>
      <c r="K3" s="9">
        <f>'Table 1.1'!J6</f>
        <v>41061</v>
      </c>
      <c r="L3" s="9">
        <f>'Table 1.1'!K6</f>
        <v>41426</v>
      </c>
      <c r="M3" s="10">
        <f>'Table 1.1'!L6</f>
        <v>41791</v>
      </c>
      <c r="N3" s="5"/>
      <c r="O3" s="5"/>
      <c r="P3" s="5"/>
    </row>
    <row r="4" spans="1:33" ht="16.8" thickTop="1" thickBot="1" x14ac:dyDescent="0.35">
      <c r="A4" s="6"/>
      <c r="B4" s="7"/>
      <c r="C4" s="7"/>
      <c r="D4" s="7"/>
      <c r="E4" s="163" t="s">
        <v>13</v>
      </c>
      <c r="F4" s="164" t="s">
        <v>14</v>
      </c>
      <c r="G4" s="164" t="s">
        <v>15</v>
      </c>
      <c r="H4" s="164" t="s">
        <v>16</v>
      </c>
      <c r="I4" s="164" t="s">
        <v>17</v>
      </c>
      <c r="J4" s="164" t="s">
        <v>18</v>
      </c>
      <c r="K4" s="164" t="s">
        <v>19</v>
      </c>
      <c r="L4" s="164" t="s">
        <v>20</v>
      </c>
      <c r="M4" s="165" t="s">
        <v>21</v>
      </c>
      <c r="N4" s="5"/>
      <c r="O4" s="5"/>
      <c r="P4" s="5"/>
    </row>
    <row r="5" spans="1:33" ht="16.2" thickTop="1" x14ac:dyDescent="0.3">
      <c r="A5" s="11"/>
      <c r="B5" s="3"/>
      <c r="C5" s="3"/>
      <c r="D5" s="3"/>
      <c r="E5" s="16"/>
      <c r="F5" s="16"/>
      <c r="G5" s="16"/>
      <c r="H5" s="16"/>
      <c r="I5" s="16"/>
      <c r="J5" s="16"/>
      <c r="K5" s="16"/>
      <c r="L5" s="16"/>
      <c r="M5" s="17"/>
      <c r="N5" s="5"/>
      <c r="O5" s="5"/>
      <c r="P5" s="5"/>
    </row>
    <row r="6" spans="1:33" ht="15.6" outlineLevel="1" x14ac:dyDescent="0.3">
      <c r="A6" s="11"/>
      <c r="B6" s="3"/>
      <c r="C6" s="3"/>
      <c r="D6" s="125" t="s">
        <v>121</v>
      </c>
      <c r="E6" s="166" t="e">
        <f t="shared" ref="E6:M6" si="0">E22/(E20)</f>
        <v>#REF!</v>
      </c>
      <c r="F6" s="166" t="e">
        <f t="shared" si="0"/>
        <v>#REF!</v>
      </c>
      <c r="G6" s="166" t="e">
        <f t="shared" si="0"/>
        <v>#REF!</v>
      </c>
      <c r="H6" s="166" t="e">
        <f t="shared" si="0"/>
        <v>#REF!</v>
      </c>
      <c r="I6" s="166" t="e">
        <f t="shared" si="0"/>
        <v>#REF!</v>
      </c>
      <c r="J6" s="166" t="e">
        <f t="shared" si="0"/>
        <v>#REF!</v>
      </c>
      <c r="K6" s="166" t="e">
        <f t="shared" si="0"/>
        <v>#REF!</v>
      </c>
      <c r="L6" s="166" t="e">
        <f t="shared" si="0"/>
        <v>#REF!</v>
      </c>
      <c r="M6" s="167" t="e">
        <f t="shared" si="0"/>
        <v>#REF!</v>
      </c>
      <c r="N6" s="5"/>
      <c r="O6" s="5"/>
      <c r="P6" s="5"/>
    </row>
    <row r="7" spans="1:33" ht="15.6" x14ac:dyDescent="0.3">
      <c r="A7" s="11"/>
      <c r="B7" s="3"/>
      <c r="C7" s="3"/>
      <c r="D7" s="125" t="s">
        <v>122</v>
      </c>
      <c r="E7" s="166" t="e">
        <f>IF(E6&lt;0.92,E6,0.92)</f>
        <v>#REF!</v>
      </c>
      <c r="F7" s="166" t="e">
        <f>IF(F6&lt;0.92,F6,0.92)</f>
        <v>#REF!</v>
      </c>
      <c r="G7" s="166" t="e">
        <f t="shared" ref="G7:M7" si="1">IF(G6&lt;0.9,G6,0.9)</f>
        <v>#REF!</v>
      </c>
      <c r="H7" s="166" t="e">
        <f t="shared" si="1"/>
        <v>#REF!</v>
      </c>
      <c r="I7" s="166" t="e">
        <f t="shared" si="1"/>
        <v>#REF!</v>
      </c>
      <c r="J7" s="166" t="e">
        <f t="shared" si="1"/>
        <v>#REF!</v>
      </c>
      <c r="K7" s="166" t="e">
        <f t="shared" si="1"/>
        <v>#REF!</v>
      </c>
      <c r="L7" s="166" t="e">
        <f t="shared" si="1"/>
        <v>#REF!</v>
      </c>
      <c r="M7" s="167" t="e">
        <f t="shared" si="1"/>
        <v>#REF!</v>
      </c>
      <c r="N7" s="5"/>
      <c r="O7" s="5"/>
      <c r="P7" s="5"/>
    </row>
    <row r="8" spans="1:33" ht="15.6" x14ac:dyDescent="0.3">
      <c r="A8" s="11"/>
      <c r="B8" s="3"/>
      <c r="C8" s="149" t="s">
        <v>22</v>
      </c>
      <c r="D8" s="149" t="s">
        <v>23</v>
      </c>
      <c r="E8" s="3"/>
      <c r="F8" s="3"/>
      <c r="G8" s="3"/>
      <c r="H8" s="3"/>
      <c r="I8" s="3"/>
      <c r="J8" s="3"/>
      <c r="K8" s="3"/>
      <c r="L8" s="3"/>
      <c r="M8" s="168"/>
      <c r="N8" s="5"/>
      <c r="O8" s="5"/>
      <c r="P8" s="5"/>
    </row>
    <row r="9" spans="1:33" ht="15.6" x14ac:dyDescent="0.3">
      <c r="A9" s="19" t="str">
        <f>'Table 1.0'!A8</f>
        <v>Qantas Airways</v>
      </c>
      <c r="B9" s="119"/>
      <c r="C9" s="41">
        <f>'Table 1.0'!B8</f>
        <v>1</v>
      </c>
      <c r="D9" s="169">
        <f>'Table 1.0'!C8</f>
        <v>19204</v>
      </c>
      <c r="E9" s="170">
        <f t="shared" ref="E9:E18" si="2">O9</f>
        <v>203370</v>
      </c>
      <c r="F9" s="170">
        <f t="shared" ref="F9:F18" si="3">P9</f>
        <v>210092</v>
      </c>
      <c r="G9" s="170">
        <f t="shared" ref="G9:G18" si="4">Q9</f>
        <v>214317</v>
      </c>
      <c r="H9" s="170">
        <f t="shared" ref="H9:H18" si="5">R9</f>
        <v>138499</v>
      </c>
      <c r="I9" s="170">
        <f t="shared" ref="I9:I18" si="6">S9</f>
        <v>141962</v>
      </c>
      <c r="J9" s="170">
        <f t="shared" ref="J9:J18" si="7">T9</f>
        <v>146221</v>
      </c>
      <c r="K9" s="170">
        <f t="shared" ref="K9:K18" si="8">U9</f>
        <v>150607</v>
      </c>
      <c r="L9" s="170">
        <f t="shared" ref="L9:L18" si="9">V9</f>
        <v>155125</v>
      </c>
      <c r="M9" s="171">
        <f t="shared" ref="M9:M18" si="10">W9</f>
        <v>159779</v>
      </c>
      <c r="N9" s="129"/>
      <c r="O9" s="127">
        <v>203370</v>
      </c>
      <c r="P9" s="127">
        <v>210092</v>
      </c>
      <c r="Q9" s="127">
        <v>214317</v>
      </c>
      <c r="R9" s="127">
        <v>138499</v>
      </c>
      <c r="S9" s="127">
        <v>141962</v>
      </c>
      <c r="T9" s="127">
        <v>146221</v>
      </c>
      <c r="U9" s="127">
        <v>150607</v>
      </c>
      <c r="V9" s="127">
        <v>155125</v>
      </c>
      <c r="W9" s="127">
        <v>159779</v>
      </c>
      <c r="X9" s="127">
        <v>163770</v>
      </c>
      <c r="Y9" s="49"/>
      <c r="Z9" s="49"/>
      <c r="AA9" s="49"/>
      <c r="AB9" s="49"/>
      <c r="AC9" s="49"/>
      <c r="AD9" s="49"/>
      <c r="AE9" s="49"/>
      <c r="AF9" s="49"/>
      <c r="AG9" s="49"/>
    </row>
    <row r="10" spans="1:33" ht="15.6" x14ac:dyDescent="0.3">
      <c r="A10" s="19" t="str">
        <f>'Table 1.0'!A9</f>
        <v>Davis Select</v>
      </c>
      <c r="B10" s="119"/>
      <c r="C10" s="41">
        <f>'Table 1.0'!B9</f>
        <v>2</v>
      </c>
      <c r="D10" s="169">
        <f>'Table 1.0'!C9</f>
        <v>12512</v>
      </c>
      <c r="E10" s="170">
        <f t="shared" si="2"/>
        <v>69692</v>
      </c>
      <c r="F10" s="170">
        <f t="shared" si="3"/>
        <v>71193</v>
      </c>
      <c r="G10" s="170">
        <f t="shared" si="4"/>
        <v>73320</v>
      </c>
      <c r="H10" s="170">
        <f t="shared" si="5"/>
        <v>86445</v>
      </c>
      <c r="I10" s="170">
        <f t="shared" si="6"/>
        <v>91816</v>
      </c>
      <c r="J10" s="170">
        <f t="shared" si="7"/>
        <v>94570</v>
      </c>
      <c r="K10" s="170">
        <f t="shared" si="8"/>
        <v>97407</v>
      </c>
      <c r="L10" s="170">
        <f t="shared" si="9"/>
        <v>100329</v>
      </c>
      <c r="M10" s="171">
        <f t="shared" si="10"/>
        <v>103340</v>
      </c>
      <c r="N10" s="129"/>
      <c r="O10" s="127">
        <v>69692</v>
      </c>
      <c r="P10" s="127">
        <v>71193</v>
      </c>
      <c r="Q10" s="127">
        <v>73320</v>
      </c>
      <c r="R10" s="127">
        <v>86445</v>
      </c>
      <c r="S10" s="127">
        <v>91816</v>
      </c>
      <c r="T10" s="127">
        <v>94570</v>
      </c>
      <c r="U10" s="127">
        <v>97407</v>
      </c>
      <c r="V10" s="127">
        <v>100329</v>
      </c>
      <c r="W10" s="127">
        <v>103340</v>
      </c>
      <c r="X10" s="127">
        <v>105916</v>
      </c>
      <c r="Z10" s="49"/>
      <c r="AA10" s="49"/>
      <c r="AB10" s="49"/>
      <c r="AC10" s="49"/>
      <c r="AD10" s="49"/>
      <c r="AE10" s="49"/>
      <c r="AF10" s="49"/>
      <c r="AG10" s="49"/>
    </row>
    <row r="11" spans="1:33" ht="15.6" x14ac:dyDescent="0.3">
      <c r="A11" s="19" t="str">
        <f>'Table 1.0'!A10</f>
        <v>Davis Select (Expansion Space)</v>
      </c>
      <c r="B11" s="119"/>
      <c r="C11" s="41" t="str">
        <f>'Table 1.0'!B10</f>
        <v>2a</v>
      </c>
      <c r="D11" s="169">
        <f>'Table 1.0'!C10</f>
        <v>7488</v>
      </c>
      <c r="E11" s="170">
        <f t="shared" si="2"/>
        <v>41708</v>
      </c>
      <c r="F11" s="170">
        <f t="shared" si="3"/>
        <v>42607</v>
      </c>
      <c r="G11" s="170">
        <f t="shared" si="4"/>
        <v>43880</v>
      </c>
      <c r="H11" s="170">
        <f t="shared" si="5"/>
        <v>51735</v>
      </c>
      <c r="I11" s="170">
        <f t="shared" si="6"/>
        <v>54949</v>
      </c>
      <c r="J11" s="170">
        <f t="shared" si="7"/>
        <v>56597</v>
      </c>
      <c r="K11" s="170">
        <f t="shared" si="8"/>
        <v>58295</v>
      </c>
      <c r="L11" s="170">
        <f t="shared" si="9"/>
        <v>60044</v>
      </c>
      <c r="M11" s="171">
        <f t="shared" si="10"/>
        <v>61845</v>
      </c>
      <c r="N11" s="129"/>
      <c r="O11" s="127">
        <v>41708</v>
      </c>
      <c r="P11" s="127">
        <v>42607</v>
      </c>
      <c r="Q11" s="127">
        <v>43880</v>
      </c>
      <c r="R11" s="127">
        <v>51735</v>
      </c>
      <c r="S11" s="127">
        <v>54949</v>
      </c>
      <c r="T11" s="127">
        <v>56597</v>
      </c>
      <c r="U11" s="127">
        <v>58295</v>
      </c>
      <c r="V11" s="127">
        <v>60044</v>
      </c>
      <c r="W11" s="127">
        <v>61845</v>
      </c>
      <c r="X11" s="127">
        <v>63387</v>
      </c>
      <c r="Z11" s="49"/>
      <c r="AA11" s="49"/>
      <c r="AB11" s="49"/>
      <c r="AC11" s="49"/>
      <c r="AD11" s="49"/>
      <c r="AE11" s="49"/>
      <c r="AF11" s="49"/>
      <c r="AG11" s="49"/>
    </row>
    <row r="12" spans="1:33" ht="15.6" x14ac:dyDescent="0.3">
      <c r="A12" s="19" t="str">
        <f>'Table 1.0'!A11</f>
        <v>APEX</v>
      </c>
      <c r="B12" s="119"/>
      <c r="C12" s="41">
        <f>'Table 1.0'!B11</f>
        <v>0</v>
      </c>
      <c r="D12" s="169">
        <f>'Table 1.0'!C11</f>
        <v>15000</v>
      </c>
      <c r="E12" s="170">
        <f t="shared" si="2"/>
        <v>95400</v>
      </c>
      <c r="F12" s="170">
        <f t="shared" si="3"/>
        <v>99000</v>
      </c>
      <c r="G12" s="170">
        <f t="shared" si="4"/>
        <v>100800</v>
      </c>
      <c r="H12" s="170">
        <f t="shared" si="5"/>
        <v>107565</v>
      </c>
      <c r="I12" s="170">
        <f t="shared" si="6"/>
        <v>110614</v>
      </c>
      <c r="J12" s="170">
        <f t="shared" si="7"/>
        <v>113932</v>
      </c>
      <c r="K12" s="170">
        <f t="shared" si="8"/>
        <v>117350</v>
      </c>
      <c r="L12" s="170">
        <f t="shared" si="9"/>
        <v>120871</v>
      </c>
      <c r="M12" s="171">
        <f t="shared" si="10"/>
        <v>124497</v>
      </c>
      <c r="N12" s="129"/>
      <c r="O12" s="127">
        <v>95400</v>
      </c>
      <c r="P12" s="127">
        <v>99000</v>
      </c>
      <c r="Q12" s="127">
        <v>100800</v>
      </c>
      <c r="R12" s="127">
        <v>107565</v>
      </c>
      <c r="S12" s="127">
        <v>110614</v>
      </c>
      <c r="T12" s="127">
        <v>113932</v>
      </c>
      <c r="U12" s="127">
        <v>117350</v>
      </c>
      <c r="V12" s="127">
        <v>120871</v>
      </c>
      <c r="W12" s="127">
        <v>124497</v>
      </c>
      <c r="X12" s="127">
        <v>127605</v>
      </c>
      <c r="Z12" s="49"/>
      <c r="AA12" s="49"/>
      <c r="AB12" s="49"/>
      <c r="AC12" s="49"/>
      <c r="AD12" s="49"/>
      <c r="AE12" s="49"/>
      <c r="AF12" s="49"/>
      <c r="AG12" s="49"/>
    </row>
    <row r="13" spans="1:33" ht="15.6" x14ac:dyDescent="0.3">
      <c r="A13" s="19" t="str">
        <f>'Table 1.0'!A12</f>
        <v>Iron Mountain Temp. Space</v>
      </c>
      <c r="B13" s="119"/>
      <c r="C13" s="41" t="str">
        <f>'Table 1.0'!B12</f>
        <v>2B</v>
      </c>
      <c r="D13" s="169">
        <f>'Table 1.0'!C12</f>
        <v>24000</v>
      </c>
      <c r="E13" s="170">
        <f t="shared" si="2"/>
        <v>115200</v>
      </c>
      <c r="F13" s="170">
        <f t="shared" si="3"/>
        <v>118656</v>
      </c>
      <c r="G13" s="170">
        <f t="shared" si="4"/>
        <v>122216</v>
      </c>
      <c r="H13" s="170">
        <f t="shared" si="5"/>
        <v>125882</v>
      </c>
      <c r="I13" s="170">
        <f t="shared" si="6"/>
        <v>129659</v>
      </c>
      <c r="J13" s="170">
        <f t="shared" si="7"/>
        <v>133548</v>
      </c>
      <c r="K13" s="170">
        <f t="shared" si="8"/>
        <v>137555</v>
      </c>
      <c r="L13" s="170">
        <f t="shared" si="9"/>
        <v>140994</v>
      </c>
      <c r="M13" s="171">
        <f t="shared" si="10"/>
        <v>145224</v>
      </c>
      <c r="N13" s="129"/>
      <c r="O13" s="127">
        <v>115200</v>
      </c>
      <c r="P13" s="127">
        <v>118656</v>
      </c>
      <c r="Q13" s="127">
        <v>122216</v>
      </c>
      <c r="R13" s="127">
        <v>125882</v>
      </c>
      <c r="S13" s="127">
        <v>129659</v>
      </c>
      <c r="T13" s="127">
        <v>133548</v>
      </c>
      <c r="U13" s="127">
        <v>137555</v>
      </c>
      <c r="V13" s="127">
        <v>140994</v>
      </c>
      <c r="W13" s="127">
        <v>145224</v>
      </c>
      <c r="X13" s="127">
        <v>149580</v>
      </c>
      <c r="Z13" s="49"/>
      <c r="AA13" s="49"/>
      <c r="AB13" s="49"/>
      <c r="AC13" s="49"/>
      <c r="AD13" s="49"/>
      <c r="AE13" s="49"/>
      <c r="AF13" s="49"/>
      <c r="AG13" s="49"/>
    </row>
    <row r="14" spans="1:33" ht="15.6" x14ac:dyDescent="0.3">
      <c r="A14" s="19" t="str">
        <f>'Table 1.0'!A13</f>
        <v>Building C Ste 1 (VACANT)</v>
      </c>
      <c r="B14" s="119"/>
      <c r="C14" s="41" t="str">
        <f>'Table 1.0'!B13</f>
        <v>C1</v>
      </c>
      <c r="D14" s="169">
        <f>'Table 1.0'!C13</f>
        <v>7500</v>
      </c>
      <c r="E14" s="170">
        <f t="shared" si="2"/>
        <v>49500</v>
      </c>
      <c r="F14" s="170">
        <f t="shared" si="3"/>
        <v>49624</v>
      </c>
      <c r="G14" s="170">
        <f t="shared" si="4"/>
        <v>51112</v>
      </c>
      <c r="H14" s="170">
        <f t="shared" si="5"/>
        <v>52646</v>
      </c>
      <c r="I14" s="170">
        <f t="shared" si="6"/>
        <v>54225</v>
      </c>
      <c r="J14" s="170">
        <f t="shared" si="7"/>
        <v>55852</v>
      </c>
      <c r="K14" s="170">
        <f t="shared" si="8"/>
        <v>59105</v>
      </c>
      <c r="L14" s="170">
        <f t="shared" si="9"/>
        <v>60731</v>
      </c>
      <c r="M14" s="171">
        <f t="shared" si="10"/>
        <v>62553</v>
      </c>
      <c r="N14" s="129"/>
      <c r="O14" s="127">
        <v>49500</v>
      </c>
      <c r="P14" s="127">
        <v>49624</v>
      </c>
      <c r="Q14" s="127">
        <v>51112</v>
      </c>
      <c r="R14" s="127">
        <v>52646</v>
      </c>
      <c r="S14" s="127">
        <v>54225</v>
      </c>
      <c r="T14" s="127">
        <v>55852</v>
      </c>
      <c r="U14" s="127">
        <v>59105</v>
      </c>
      <c r="V14" s="127">
        <v>60731</v>
      </c>
      <c r="W14" s="127">
        <v>62553</v>
      </c>
      <c r="X14" s="127">
        <v>64430</v>
      </c>
      <c r="Z14" s="49"/>
      <c r="AA14" s="49"/>
      <c r="AB14" s="49"/>
      <c r="AC14" s="49"/>
      <c r="AD14" s="49"/>
      <c r="AE14" s="49"/>
      <c r="AF14" s="49"/>
      <c r="AG14" s="49"/>
    </row>
    <row r="15" spans="1:33" ht="15.6" x14ac:dyDescent="0.3">
      <c r="A15" s="19" t="str">
        <f>'Table 1.0'!A14</f>
        <v>Building C Ste 2 (VACANT)</v>
      </c>
      <c r="B15" s="119"/>
      <c r="C15" s="41" t="str">
        <f>'Table 1.0'!B14</f>
        <v>C2</v>
      </c>
      <c r="D15" s="169">
        <f>'Table 1.0'!C14</f>
        <v>7500</v>
      </c>
      <c r="E15" s="170">
        <f t="shared" si="2"/>
        <v>49500</v>
      </c>
      <c r="F15" s="170">
        <f t="shared" si="3"/>
        <v>50119</v>
      </c>
      <c r="G15" s="170">
        <f t="shared" si="4"/>
        <v>50366</v>
      </c>
      <c r="H15" s="170">
        <f t="shared" si="5"/>
        <v>51877</v>
      </c>
      <c r="I15" s="170">
        <f t="shared" si="6"/>
        <v>53434</v>
      </c>
      <c r="J15" s="170">
        <f t="shared" si="7"/>
        <v>55037</v>
      </c>
      <c r="K15" s="170">
        <f t="shared" si="8"/>
        <v>57692</v>
      </c>
      <c r="L15" s="170">
        <f t="shared" si="9"/>
        <v>59844</v>
      </c>
      <c r="M15" s="171">
        <f t="shared" si="10"/>
        <v>61640</v>
      </c>
      <c r="N15" s="129"/>
      <c r="O15" s="127">
        <v>49500</v>
      </c>
      <c r="P15" s="127">
        <v>50119</v>
      </c>
      <c r="Q15" s="127">
        <v>50366</v>
      </c>
      <c r="R15" s="127">
        <v>51877</v>
      </c>
      <c r="S15" s="127">
        <v>53434</v>
      </c>
      <c r="T15" s="127">
        <v>55037</v>
      </c>
      <c r="U15" s="127">
        <v>57692</v>
      </c>
      <c r="V15" s="127">
        <v>59844</v>
      </c>
      <c r="W15" s="127">
        <v>61640</v>
      </c>
      <c r="X15" s="127">
        <v>63489</v>
      </c>
      <c r="Z15" s="49"/>
      <c r="AA15" s="49"/>
      <c r="AB15" s="49"/>
      <c r="AC15" s="49"/>
      <c r="AD15" s="49"/>
      <c r="AE15" s="49"/>
      <c r="AF15" s="49"/>
      <c r="AG15" s="49"/>
    </row>
    <row r="16" spans="1:33" ht="15.6" x14ac:dyDescent="0.3">
      <c r="A16" s="19" t="str">
        <f>'Table 1.0'!A15</f>
        <v>Building A Ste 1 (VACANT)</v>
      </c>
      <c r="B16" s="119"/>
      <c r="C16" s="41" t="str">
        <f>'Table 1.0'!B15</f>
        <v>A1</v>
      </c>
      <c r="D16" s="169">
        <f>'Table 1.0'!C15</f>
        <v>12000</v>
      </c>
      <c r="E16" s="170">
        <f t="shared" si="2"/>
        <v>64800</v>
      </c>
      <c r="F16" s="170">
        <f t="shared" si="3"/>
        <v>65772</v>
      </c>
      <c r="G16" s="170">
        <f t="shared" si="4"/>
        <v>67745</v>
      </c>
      <c r="H16" s="170">
        <f t="shared" si="5"/>
        <v>69778</v>
      </c>
      <c r="I16" s="170">
        <f t="shared" si="6"/>
        <v>71871</v>
      </c>
      <c r="J16" s="170">
        <f t="shared" si="7"/>
        <v>74027</v>
      </c>
      <c r="K16" s="170">
        <f t="shared" si="8"/>
        <v>75872</v>
      </c>
      <c r="L16" s="170">
        <f t="shared" si="9"/>
        <v>78148</v>
      </c>
      <c r="M16" s="171">
        <f t="shared" si="10"/>
        <v>80493</v>
      </c>
      <c r="N16" s="129"/>
      <c r="O16" s="127">
        <v>64800</v>
      </c>
      <c r="P16" s="127">
        <v>65772</v>
      </c>
      <c r="Q16" s="127">
        <v>67745</v>
      </c>
      <c r="R16" s="127">
        <v>69778</v>
      </c>
      <c r="S16" s="127">
        <v>71871</v>
      </c>
      <c r="T16" s="127">
        <v>74027</v>
      </c>
      <c r="U16" s="127">
        <v>75872</v>
      </c>
      <c r="V16" s="127">
        <v>78148</v>
      </c>
      <c r="W16" s="127">
        <v>80493</v>
      </c>
      <c r="X16" s="127">
        <v>82908</v>
      </c>
      <c r="Z16" s="49"/>
      <c r="AA16" s="49"/>
      <c r="AB16" s="49"/>
      <c r="AC16" s="49"/>
      <c r="AD16" s="49"/>
      <c r="AE16" s="49"/>
      <c r="AF16" s="49"/>
      <c r="AG16" s="49"/>
    </row>
    <row r="17" spans="1:33" ht="15.6" x14ac:dyDescent="0.3">
      <c r="A17" s="19" t="str">
        <f>'Table 1.0'!A16</f>
        <v>Building A Ste 2 (VACANT)</v>
      </c>
      <c r="B17" s="5"/>
      <c r="C17" s="41" t="str">
        <f>'Table 1.0'!B16</f>
        <v>A2</v>
      </c>
      <c r="D17" s="169">
        <f>'Table 1.0'!C16</f>
        <v>12000</v>
      </c>
      <c r="E17" s="170">
        <f t="shared" si="2"/>
        <v>79200</v>
      </c>
      <c r="F17" s="170">
        <f t="shared" si="3"/>
        <v>80982</v>
      </c>
      <c r="G17" s="170">
        <f t="shared" si="4"/>
        <v>79794</v>
      </c>
      <c r="H17" s="170">
        <f t="shared" si="5"/>
        <v>82188</v>
      </c>
      <c r="I17" s="170">
        <f t="shared" si="6"/>
        <v>84653</v>
      </c>
      <c r="J17" s="170">
        <f t="shared" si="7"/>
        <v>87193</v>
      </c>
      <c r="K17" s="170">
        <f t="shared" si="8"/>
        <v>90497</v>
      </c>
      <c r="L17" s="170">
        <f t="shared" si="9"/>
        <v>94805</v>
      </c>
      <c r="M17" s="171">
        <f t="shared" si="10"/>
        <v>97650</v>
      </c>
      <c r="N17" s="129"/>
      <c r="O17" s="49">
        <v>79200</v>
      </c>
      <c r="P17" s="49">
        <v>80982</v>
      </c>
      <c r="Q17" s="49">
        <v>79794</v>
      </c>
      <c r="R17" s="49">
        <v>82188</v>
      </c>
      <c r="S17" s="49">
        <v>84653</v>
      </c>
      <c r="T17" s="49">
        <v>87193</v>
      </c>
      <c r="U17" s="49">
        <v>90497</v>
      </c>
      <c r="V17" s="49">
        <v>94805</v>
      </c>
      <c r="W17" s="49">
        <v>97650</v>
      </c>
      <c r="X17" s="127">
        <v>100579</v>
      </c>
      <c r="Z17" s="49"/>
      <c r="AA17" s="49"/>
      <c r="AB17" s="49"/>
      <c r="AC17" s="49"/>
      <c r="AD17" s="49"/>
      <c r="AE17" s="49"/>
      <c r="AF17" s="49"/>
      <c r="AG17" s="49"/>
    </row>
    <row r="18" spans="1:33" ht="15.6" x14ac:dyDescent="0.3">
      <c r="A18" s="19" t="str">
        <f>'Table 1.0'!A17</f>
        <v>Building A Ste 3 (VACANT)</v>
      </c>
      <c r="B18" s="5"/>
      <c r="C18" s="41" t="str">
        <f>'Table 1.0'!B17</f>
        <v>A3</v>
      </c>
      <c r="D18" s="172">
        <f>'Table 1.0'!C17</f>
        <v>11893</v>
      </c>
      <c r="E18" s="170">
        <f t="shared" si="2"/>
        <v>78494</v>
      </c>
      <c r="F18" s="170">
        <f t="shared" si="3"/>
        <v>80849</v>
      </c>
      <c r="G18" s="170">
        <f t="shared" si="4"/>
        <v>79291</v>
      </c>
      <c r="H18" s="170">
        <f t="shared" si="5"/>
        <v>80456</v>
      </c>
      <c r="I18" s="170">
        <f t="shared" si="6"/>
        <v>82870</v>
      </c>
      <c r="J18" s="170">
        <f t="shared" si="7"/>
        <v>85356</v>
      </c>
      <c r="K18" s="170">
        <f t="shared" si="8"/>
        <v>87917</v>
      </c>
      <c r="L18" s="170">
        <f t="shared" si="9"/>
        <v>95173</v>
      </c>
      <c r="M18" s="171">
        <f t="shared" si="10"/>
        <v>98468</v>
      </c>
      <c r="N18" s="129"/>
      <c r="O18" s="49">
        <v>78494</v>
      </c>
      <c r="P18" s="49">
        <v>80849</v>
      </c>
      <c r="Q18" s="49">
        <v>79291</v>
      </c>
      <c r="R18" s="49">
        <v>80456</v>
      </c>
      <c r="S18" s="49">
        <v>82870</v>
      </c>
      <c r="T18" s="49">
        <v>85356</v>
      </c>
      <c r="U18" s="49">
        <v>87917</v>
      </c>
      <c r="V18" s="49">
        <v>95173</v>
      </c>
      <c r="W18" s="49">
        <v>98468</v>
      </c>
      <c r="X18" s="49">
        <v>101422</v>
      </c>
      <c r="Y18" s="49"/>
      <c r="Z18" s="49"/>
      <c r="AA18" s="49"/>
      <c r="AB18" s="49"/>
      <c r="AC18" s="49"/>
      <c r="AD18" s="49"/>
      <c r="AE18" s="49"/>
      <c r="AF18" s="49"/>
      <c r="AG18" s="49"/>
    </row>
    <row r="19" spans="1:33" ht="15.6" x14ac:dyDescent="0.3">
      <c r="A19" s="19"/>
      <c r="B19" s="5"/>
      <c r="C19" s="5"/>
      <c r="D19" s="128">
        <f>SUM(D9:D18)</f>
        <v>129097</v>
      </c>
      <c r="E19" s="173"/>
      <c r="F19" s="103"/>
      <c r="G19" s="103"/>
      <c r="H19" s="103"/>
      <c r="I19" s="103"/>
      <c r="J19" s="103"/>
      <c r="K19" s="103"/>
      <c r="L19" s="103"/>
      <c r="M19" s="174"/>
      <c r="N19" s="5"/>
      <c r="O19" s="5"/>
      <c r="P19" s="5"/>
      <c r="Y19" s="49"/>
      <c r="Z19" s="49"/>
      <c r="AA19" s="49"/>
      <c r="AB19" s="49"/>
      <c r="AC19" s="49"/>
      <c r="AD19" s="49"/>
      <c r="AE19" s="49"/>
      <c r="AF19" s="49"/>
      <c r="AG19" s="49"/>
    </row>
    <row r="20" spans="1:33" ht="15.6" x14ac:dyDescent="0.3">
      <c r="A20" s="15"/>
      <c r="B20" s="5"/>
      <c r="D20" s="125" t="s">
        <v>123</v>
      </c>
      <c r="E20" s="103">
        <f t="shared" ref="E20:M20" si="11">SUM(E9:E18)</f>
        <v>846864</v>
      </c>
      <c r="F20" s="103">
        <f t="shared" si="11"/>
        <v>868894</v>
      </c>
      <c r="G20" s="103">
        <f t="shared" si="11"/>
        <v>882841</v>
      </c>
      <c r="H20" s="103">
        <f t="shared" si="11"/>
        <v>847071</v>
      </c>
      <c r="I20" s="103">
        <f t="shared" si="11"/>
        <v>876053</v>
      </c>
      <c r="J20" s="103">
        <f t="shared" si="11"/>
        <v>902333</v>
      </c>
      <c r="K20" s="103">
        <f t="shared" si="11"/>
        <v>932297</v>
      </c>
      <c r="L20" s="103">
        <f t="shared" si="11"/>
        <v>966064</v>
      </c>
      <c r="M20" s="174">
        <f t="shared" si="11"/>
        <v>995489</v>
      </c>
      <c r="N20" s="5"/>
      <c r="O20" s="5"/>
      <c r="P20" s="5"/>
      <c r="Y20" s="49"/>
      <c r="Z20" s="49"/>
      <c r="AA20" s="49"/>
      <c r="AB20" s="49"/>
      <c r="AC20" s="49"/>
      <c r="AD20" s="49"/>
      <c r="AE20" s="49"/>
      <c r="AF20" s="49"/>
      <c r="AG20" s="49"/>
    </row>
    <row r="21" spans="1:33" ht="18" x14ac:dyDescent="0.3">
      <c r="A21" s="15"/>
      <c r="B21" s="5"/>
      <c r="D21" s="125" t="s">
        <v>170</v>
      </c>
      <c r="E21" s="175" t="e">
        <f t="shared" ref="E21:M21" si="12">E22-E20</f>
        <v>#REF!</v>
      </c>
      <c r="F21" s="175" t="e">
        <f t="shared" si="12"/>
        <v>#REF!</v>
      </c>
      <c r="G21" s="175" t="e">
        <f t="shared" si="12"/>
        <v>#REF!</v>
      </c>
      <c r="H21" s="175" t="e">
        <f t="shared" si="12"/>
        <v>#REF!</v>
      </c>
      <c r="I21" s="175" t="e">
        <f t="shared" si="12"/>
        <v>#REF!</v>
      </c>
      <c r="J21" s="175" t="e">
        <f t="shared" si="12"/>
        <v>#REF!</v>
      </c>
      <c r="K21" s="175" t="e">
        <f t="shared" si="12"/>
        <v>#REF!</v>
      </c>
      <c r="L21" s="175" t="e">
        <f t="shared" si="12"/>
        <v>#REF!</v>
      </c>
      <c r="M21" s="176" t="e">
        <f t="shared" si="12"/>
        <v>#REF!</v>
      </c>
      <c r="N21" s="175"/>
      <c r="O21" s="175"/>
      <c r="P21" s="175"/>
      <c r="Q21" s="175"/>
      <c r="Y21" s="49"/>
      <c r="Z21" s="49"/>
      <c r="AA21" s="49"/>
      <c r="AB21" s="49"/>
      <c r="AC21" s="49"/>
      <c r="AD21" s="49"/>
      <c r="AE21" s="49"/>
      <c r="AF21" s="49"/>
      <c r="AG21" s="49"/>
    </row>
    <row r="22" spans="1:33" ht="15.6" x14ac:dyDescent="0.3">
      <c r="A22" s="15"/>
      <c r="B22" s="5"/>
      <c r="D22" s="125" t="s">
        <v>124</v>
      </c>
      <c r="E22" s="103" t="e">
        <f>#REF!</f>
        <v>#REF!</v>
      </c>
      <c r="F22" s="103" t="e">
        <f>#REF!</f>
        <v>#REF!</v>
      </c>
      <c r="G22" s="103" t="e">
        <f>#REF!</f>
        <v>#REF!</v>
      </c>
      <c r="H22" s="103" t="e">
        <f>#REF!</f>
        <v>#REF!</v>
      </c>
      <c r="I22" s="103" t="e">
        <f>#REF!</f>
        <v>#REF!</v>
      </c>
      <c r="J22" s="103" t="e">
        <f>#REF!</f>
        <v>#REF!</v>
      </c>
      <c r="K22" s="103" t="e">
        <f>#REF!</f>
        <v>#REF!</v>
      </c>
      <c r="L22" s="103" t="e">
        <f>#REF!</f>
        <v>#REF!</v>
      </c>
      <c r="M22" s="174" t="e">
        <f>#REF!</f>
        <v>#REF!</v>
      </c>
      <c r="N22" s="5"/>
      <c r="O22" s="5"/>
      <c r="P22" s="5"/>
      <c r="Y22" s="49"/>
      <c r="Z22" s="49"/>
      <c r="AA22" s="49"/>
      <c r="AB22" s="49"/>
      <c r="AC22" s="49"/>
      <c r="AD22" s="49"/>
      <c r="AE22" s="49"/>
      <c r="AF22" s="49"/>
      <c r="AG22" s="49"/>
    </row>
    <row r="23" spans="1:33" ht="16.2" thickBot="1" x14ac:dyDescent="0.35">
      <c r="A23" s="35"/>
      <c r="B23" s="50"/>
      <c r="C23" s="50"/>
      <c r="D23" s="50"/>
      <c r="E23" s="50"/>
      <c r="F23" s="50"/>
      <c r="G23" s="50"/>
      <c r="H23" s="50"/>
      <c r="I23" s="50"/>
      <c r="J23" s="50"/>
      <c r="K23" s="50"/>
      <c r="L23" s="50"/>
      <c r="M23" s="177"/>
      <c r="N23" s="5"/>
      <c r="O23" s="5"/>
      <c r="P23" s="5"/>
      <c r="Y23" s="49"/>
      <c r="Z23" s="49"/>
      <c r="AA23" s="49"/>
      <c r="AB23" s="49"/>
      <c r="AC23" s="49"/>
      <c r="AD23" s="49"/>
      <c r="AE23" s="49"/>
      <c r="AF23" s="49"/>
      <c r="AG23" s="49"/>
    </row>
    <row r="24" spans="1:33" ht="16.2" thickTop="1" x14ac:dyDescent="0.3">
      <c r="N24" s="5"/>
      <c r="O24" s="5"/>
      <c r="P24" s="5"/>
      <c r="Y24" s="49"/>
      <c r="Z24" s="49"/>
      <c r="AA24" s="49"/>
      <c r="AB24" s="49"/>
      <c r="AC24" s="49"/>
      <c r="AD24" s="49"/>
      <c r="AE24" s="49"/>
      <c r="AF24" s="49"/>
      <c r="AG24" s="49"/>
    </row>
    <row r="25" spans="1:33" ht="16.2" x14ac:dyDescent="0.3">
      <c r="A25" s="178" t="s">
        <v>171</v>
      </c>
      <c r="B25" s="178"/>
      <c r="N25" s="5"/>
      <c r="O25" s="5"/>
      <c r="P25" s="5"/>
    </row>
    <row r="26" spans="1:33" ht="16.2" x14ac:dyDescent="0.3">
      <c r="A26" s="178"/>
      <c r="B26" s="178"/>
      <c r="N26" s="5"/>
      <c r="O26" s="5"/>
      <c r="P26" s="5"/>
    </row>
    <row r="27" spans="1:33" ht="15.6" x14ac:dyDescent="0.3">
      <c r="A27" s="179"/>
      <c r="B27" s="179"/>
      <c r="N27" s="5"/>
      <c r="O27" s="5"/>
      <c r="P27" s="5"/>
    </row>
    <row r="28" spans="1:33" ht="15.6" x14ac:dyDescent="0.25">
      <c r="A28" s="178"/>
      <c r="B28" s="178"/>
      <c r="E28" s="47"/>
      <c r="F28" s="47"/>
      <c r="G28" s="47"/>
      <c r="H28" s="47"/>
      <c r="I28" s="47"/>
      <c r="J28" s="47"/>
      <c r="K28" s="47"/>
      <c r="L28" s="47"/>
      <c r="M28" s="47"/>
    </row>
    <row r="29" spans="1:33" x14ac:dyDescent="0.25">
      <c r="E29" s="47"/>
      <c r="F29" s="47"/>
      <c r="G29" s="47"/>
      <c r="H29" s="47"/>
      <c r="I29" s="47"/>
      <c r="J29" s="47"/>
      <c r="K29" s="47"/>
      <c r="L29" s="47"/>
      <c r="M29" s="47"/>
    </row>
    <row r="30" spans="1:33" hidden="1" outlineLevel="1" x14ac:dyDescent="0.25">
      <c r="E30" s="47"/>
      <c r="F30" s="47"/>
      <c r="G30" s="47"/>
      <c r="H30" s="47"/>
      <c r="I30" s="47"/>
      <c r="J30" s="47"/>
      <c r="K30" s="47"/>
      <c r="L30" s="47"/>
      <c r="M30" s="47"/>
    </row>
    <row r="31" spans="1:33" hidden="1" outlineLevel="1" x14ac:dyDescent="0.25">
      <c r="A31" s="48"/>
      <c r="B31" s="48"/>
      <c r="C31" s="48"/>
      <c r="D31" s="48"/>
      <c r="E31" s="48"/>
      <c r="F31" s="48"/>
      <c r="G31" s="48"/>
      <c r="H31" s="48"/>
      <c r="I31" s="48"/>
      <c r="J31" s="48"/>
      <c r="K31" s="48"/>
      <c r="L31" s="48"/>
      <c r="M31" s="48"/>
    </row>
    <row r="32" spans="1:33" hidden="1" outlineLevel="1" x14ac:dyDescent="0.25">
      <c r="A32" s="180"/>
      <c r="B32" s="180"/>
      <c r="C32" s="180"/>
      <c r="D32" s="180"/>
      <c r="E32" s="180"/>
      <c r="F32" s="180"/>
      <c r="G32" s="180"/>
      <c r="H32" s="180"/>
      <c r="I32" s="180"/>
      <c r="J32" s="180"/>
      <c r="K32" s="180"/>
      <c r="L32" s="180"/>
      <c r="M32" s="180"/>
    </row>
    <row r="33" spans="5:5" hidden="1" outlineLevel="1" x14ac:dyDescent="0.25">
      <c r="E33" s="181"/>
    </row>
    <row r="34" spans="5:5" collapsed="1" x14ac:dyDescent="0.25"/>
  </sheetData>
  <phoneticPr fontId="0" type="noConversion"/>
  <pageMargins left="0.75" right="0.75" top="1" bottom="0.75" header="0.5" footer="0.5"/>
  <pageSetup scale="69" orientation="landscape" horizontalDpi="4294967292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>
    <pageSetUpPr fitToPage="1"/>
  </sheetPr>
  <dimension ref="A1:N35"/>
  <sheetViews>
    <sheetView workbookViewId="0"/>
  </sheetViews>
  <sheetFormatPr defaultColWidth="9.109375" defaultRowHeight="13.2" x14ac:dyDescent="0.25"/>
  <cols>
    <col min="1" max="1" width="28.77734375" style="4" customWidth="1"/>
    <col min="2" max="2" width="6" style="4" bestFit="1" customWidth="1"/>
    <col min="3" max="3" width="11" style="4" customWidth="1"/>
    <col min="4" max="4" width="12" style="4" bestFit="1" customWidth="1"/>
    <col min="5" max="6" width="12.44140625" style="4" bestFit="1" customWidth="1"/>
    <col min="7" max="7" width="12" style="4" bestFit="1" customWidth="1"/>
    <col min="8" max="8" width="9.77734375" style="4" bestFit="1" customWidth="1"/>
    <col min="9" max="9" width="12" style="4" bestFit="1" customWidth="1"/>
    <col min="10" max="10" width="12.44140625" style="4" bestFit="1" customWidth="1"/>
    <col min="11" max="11" width="12" style="4" bestFit="1" customWidth="1"/>
    <col min="12" max="12" width="12.44140625" style="4" bestFit="1" customWidth="1"/>
    <col min="13" max="16384" width="9.109375" style="4"/>
  </cols>
  <sheetData>
    <row r="1" spans="1:14" ht="15.6" x14ac:dyDescent="0.3">
      <c r="A1" s="3" t="s">
        <v>125</v>
      </c>
      <c r="M1" s="5"/>
    </row>
    <row r="2" spans="1:14" ht="16.2" thickBot="1" x14ac:dyDescent="0.35">
      <c r="A2" s="3"/>
      <c r="M2" s="5"/>
    </row>
    <row r="3" spans="1:14" ht="16.8" thickTop="1" thickBot="1" x14ac:dyDescent="0.35">
      <c r="A3" s="6"/>
      <c r="B3" s="7"/>
      <c r="C3" s="8" t="s">
        <v>11</v>
      </c>
      <c r="D3" s="9">
        <f>'Table 1.3'!E3</f>
        <v>38869</v>
      </c>
      <c r="E3" s="9">
        <f>'Table 1.3'!F3</f>
        <v>39234</v>
      </c>
      <c r="F3" s="9">
        <f>'Table 1.3'!G3</f>
        <v>39600</v>
      </c>
      <c r="G3" s="9">
        <f>'Table 1.3'!H3</f>
        <v>39965</v>
      </c>
      <c r="H3" s="9">
        <f>'Table 1.3'!I3</f>
        <v>40330</v>
      </c>
      <c r="I3" s="9">
        <f>'Table 1.3'!J3</f>
        <v>40695</v>
      </c>
      <c r="J3" s="9">
        <f>'Table 1.3'!K3</f>
        <v>41061</v>
      </c>
      <c r="K3" s="9">
        <f>'Table 1.3'!L3</f>
        <v>41426</v>
      </c>
      <c r="L3" s="10">
        <f>'Table 1.3'!M3</f>
        <v>41791</v>
      </c>
      <c r="M3"/>
      <c r="N3"/>
    </row>
    <row r="4" spans="1:14" ht="16.8" thickTop="1" thickBot="1" x14ac:dyDescent="0.35">
      <c r="A4" s="182"/>
      <c r="B4" s="3"/>
      <c r="C4" s="3"/>
      <c r="D4" s="12" t="s">
        <v>13</v>
      </c>
      <c r="E4" s="13" t="s">
        <v>14</v>
      </c>
      <c r="F4" s="13" t="s">
        <v>15</v>
      </c>
      <c r="G4" s="13" t="s">
        <v>16</v>
      </c>
      <c r="H4" s="13" t="s">
        <v>17</v>
      </c>
      <c r="I4" s="13" t="s">
        <v>18</v>
      </c>
      <c r="J4" s="13" t="s">
        <v>19</v>
      </c>
      <c r="K4" s="13" t="s">
        <v>20</v>
      </c>
      <c r="L4" s="14" t="s">
        <v>21</v>
      </c>
      <c r="M4"/>
      <c r="N4"/>
    </row>
    <row r="5" spans="1:14" ht="16.2" thickTop="1" x14ac:dyDescent="0.3">
      <c r="A5" s="11"/>
      <c r="B5" s="3"/>
      <c r="C5" s="3"/>
      <c r="D5" s="16"/>
      <c r="E5" s="16"/>
      <c r="F5" s="16"/>
      <c r="G5" s="16"/>
      <c r="H5" s="16"/>
      <c r="I5" s="16"/>
      <c r="J5" s="16"/>
      <c r="K5" s="16"/>
      <c r="L5" s="17"/>
      <c r="M5"/>
      <c r="N5"/>
    </row>
    <row r="6" spans="1:14" ht="15.6" x14ac:dyDescent="0.3">
      <c r="A6" s="11"/>
      <c r="B6" s="149" t="s">
        <v>22</v>
      </c>
      <c r="C6" s="149" t="s">
        <v>23</v>
      </c>
      <c r="D6" s="16"/>
      <c r="E6" s="16"/>
      <c r="F6" s="16"/>
      <c r="G6" s="16"/>
      <c r="H6" s="16"/>
      <c r="I6" s="16"/>
      <c r="J6" s="16"/>
      <c r="K6" s="16"/>
      <c r="L6" s="17"/>
      <c r="M6"/>
      <c r="N6"/>
    </row>
    <row r="7" spans="1:14" ht="15.6" x14ac:dyDescent="0.3">
      <c r="A7" s="19" t="str">
        <f>'Table 1.0'!A8</f>
        <v>Qantas Airways</v>
      </c>
      <c r="B7" s="41">
        <f>'Table 1.0'!B8</f>
        <v>1</v>
      </c>
      <c r="C7" s="20">
        <f>'Table 1.0'!C8</f>
        <v>19204</v>
      </c>
      <c r="D7" s="183" t="s">
        <v>1</v>
      </c>
      <c r="E7" s="183" t="s">
        <v>1</v>
      </c>
      <c r="F7" s="183" t="s">
        <v>1</v>
      </c>
      <c r="G7" s="183">
        <v>27574</v>
      </c>
      <c r="H7" s="183" t="s">
        <v>1</v>
      </c>
      <c r="I7" s="183" t="s">
        <v>1</v>
      </c>
      <c r="J7" s="183" t="s">
        <v>1</v>
      </c>
      <c r="K7" s="183" t="s">
        <v>1</v>
      </c>
      <c r="L7" s="184">
        <v>31966</v>
      </c>
      <c r="M7" t="s">
        <v>1</v>
      </c>
      <c r="N7"/>
    </row>
    <row r="8" spans="1:14" ht="15.6" x14ac:dyDescent="0.3">
      <c r="A8" s="19" t="str">
        <f>'Table 1.0'!A9</f>
        <v>Davis Select</v>
      </c>
      <c r="B8" s="41">
        <f>'Table 1.0'!B9</f>
        <v>2</v>
      </c>
      <c r="C8" s="20">
        <f>'Table 1.0'!C9</f>
        <v>12512</v>
      </c>
      <c r="D8" s="183" t="s">
        <v>1</v>
      </c>
      <c r="E8" s="183" t="s">
        <v>1</v>
      </c>
      <c r="F8" s="183" t="s">
        <v>1</v>
      </c>
      <c r="G8" s="183">
        <v>17965</v>
      </c>
      <c r="H8" s="183" t="s">
        <v>1</v>
      </c>
      <c r="I8" s="183" t="s">
        <v>1</v>
      </c>
      <c r="J8" s="183" t="s">
        <v>1</v>
      </c>
      <c r="K8" s="183" t="s">
        <v>1</v>
      </c>
      <c r="L8" s="184">
        <v>20827</v>
      </c>
      <c r="M8" s="1" t="s">
        <v>1</v>
      </c>
      <c r="N8"/>
    </row>
    <row r="9" spans="1:14" ht="15.6" x14ac:dyDescent="0.3">
      <c r="A9" s="19" t="str">
        <f>'Table 1.0'!A10</f>
        <v>Davis Select (Expansion Space)</v>
      </c>
      <c r="B9" s="41" t="str">
        <f>'Table 1.0'!B10</f>
        <v>2a</v>
      </c>
      <c r="C9" s="20">
        <f>'Table 1.0'!C10</f>
        <v>7488</v>
      </c>
      <c r="D9" s="183" t="s">
        <v>1</v>
      </c>
      <c r="E9" s="183" t="s">
        <v>1</v>
      </c>
      <c r="F9" s="183" t="s">
        <v>1</v>
      </c>
      <c r="G9" s="183">
        <v>10752</v>
      </c>
      <c r="H9" s="183" t="s">
        <v>1</v>
      </c>
      <c r="I9" s="183" t="s">
        <v>1</v>
      </c>
      <c r="J9" s="183" t="s">
        <v>1</v>
      </c>
      <c r="K9" s="183" t="s">
        <v>1</v>
      </c>
      <c r="L9" s="184">
        <v>12464</v>
      </c>
      <c r="M9" t="s">
        <v>1</v>
      </c>
      <c r="N9"/>
    </row>
    <row r="10" spans="1:14" ht="15.6" x14ac:dyDescent="0.3">
      <c r="A10" s="19" t="str">
        <f>'Table 1.0'!A11</f>
        <v>APEX</v>
      </c>
      <c r="B10" s="41">
        <f>'Table 1.0'!B11</f>
        <v>0</v>
      </c>
      <c r="C10" s="20">
        <f>'Table 1.0'!C11</f>
        <v>15000</v>
      </c>
      <c r="D10" s="183" t="s">
        <v>1</v>
      </c>
      <c r="E10" s="183" t="s">
        <v>1</v>
      </c>
      <c r="F10" s="183" t="s">
        <v>1</v>
      </c>
      <c r="G10" s="183">
        <v>21538</v>
      </c>
      <c r="H10" s="183" t="s">
        <v>1</v>
      </c>
      <c r="I10" s="183" t="s">
        <v>1</v>
      </c>
      <c r="J10" s="183" t="s">
        <v>1</v>
      </c>
      <c r="K10" s="183" t="s">
        <v>1</v>
      </c>
      <c r="L10" s="184">
        <v>24968</v>
      </c>
      <c r="M10" s="1" t="s">
        <v>1</v>
      </c>
      <c r="N10"/>
    </row>
    <row r="11" spans="1:14" ht="15.6" x14ac:dyDescent="0.3">
      <c r="A11" s="19" t="str">
        <f>'Table 1.0'!A12</f>
        <v>Iron Mountain Temp. Space</v>
      </c>
      <c r="B11" s="41" t="str">
        <f>'Table 1.0'!B12</f>
        <v>2B</v>
      </c>
      <c r="C11" s="20">
        <f>'Table 1.0'!C12</f>
        <v>24000</v>
      </c>
      <c r="D11" s="183" t="s">
        <v>1</v>
      </c>
      <c r="E11" s="183">
        <v>37798</v>
      </c>
      <c r="F11" s="183" t="s">
        <v>1</v>
      </c>
      <c r="G11" s="183" t="s">
        <v>1</v>
      </c>
      <c r="H11" s="183" t="s">
        <v>1</v>
      </c>
      <c r="I11" s="183" t="s">
        <v>1</v>
      </c>
      <c r="J11" s="183">
        <v>27386</v>
      </c>
      <c r="K11" s="183" t="s">
        <v>1</v>
      </c>
      <c r="L11" s="184" t="s">
        <v>1</v>
      </c>
      <c r="M11" t="s">
        <v>1</v>
      </c>
      <c r="N11"/>
    </row>
    <row r="12" spans="1:14" ht="15.6" x14ac:dyDescent="0.3">
      <c r="A12" s="19" t="str">
        <f>'Table 1.0'!A13</f>
        <v>Building C Ste 1 (VACANT)</v>
      </c>
      <c r="B12" s="41" t="str">
        <f>'Table 1.0'!B13</f>
        <v>C1</v>
      </c>
      <c r="C12" s="20">
        <f>'Table 1.0'!C13</f>
        <v>7500</v>
      </c>
      <c r="D12" s="183">
        <v>15768</v>
      </c>
      <c r="E12" s="183" t="s">
        <v>1</v>
      </c>
      <c r="F12" s="183" t="s">
        <v>1</v>
      </c>
      <c r="G12" s="183" t="s">
        <v>1</v>
      </c>
      <c r="H12" s="183" t="s">
        <v>1</v>
      </c>
      <c r="I12" s="183" t="s">
        <v>1</v>
      </c>
      <c r="J12" s="183">
        <v>11767</v>
      </c>
      <c r="K12" s="183" t="s">
        <v>1</v>
      </c>
      <c r="L12" s="184" t="s">
        <v>1</v>
      </c>
      <c r="M12" t="s">
        <v>1</v>
      </c>
      <c r="N12"/>
    </row>
    <row r="13" spans="1:14" ht="15.6" x14ac:dyDescent="0.3">
      <c r="A13" s="19" t="str">
        <f>'Table 1.0'!A14</f>
        <v>Building C Ste 2 (VACANT)</v>
      </c>
      <c r="B13" s="41" t="str">
        <f>'Table 1.0'!B14</f>
        <v>C2</v>
      </c>
      <c r="C13" s="20">
        <f>'Table 1.0'!C14</f>
        <v>7500</v>
      </c>
      <c r="D13" s="183" t="s">
        <v>1</v>
      </c>
      <c r="E13" s="183">
        <v>15768</v>
      </c>
      <c r="F13" s="183" t="s">
        <v>1</v>
      </c>
      <c r="G13" s="183" t="s">
        <v>1</v>
      </c>
      <c r="H13" s="183" t="s">
        <v>1</v>
      </c>
      <c r="I13" s="183" t="s">
        <v>1</v>
      </c>
      <c r="J13" s="183">
        <v>11767</v>
      </c>
      <c r="K13" s="183" t="s">
        <v>1</v>
      </c>
      <c r="L13" s="184" t="s">
        <v>1</v>
      </c>
      <c r="M13" t="s">
        <v>1</v>
      </c>
      <c r="N13"/>
    </row>
    <row r="14" spans="1:14" ht="15.6" x14ac:dyDescent="0.3">
      <c r="A14" s="19" t="str">
        <f>'Table 1.0'!A15</f>
        <v>Building A Ste 1 (VACANT)</v>
      </c>
      <c r="B14" s="41" t="str">
        <f>'Table 1.0'!B15</f>
        <v>A1</v>
      </c>
      <c r="C14" s="20">
        <f>'Table 1.0'!C15</f>
        <v>12000</v>
      </c>
      <c r="D14" s="183">
        <v>20642</v>
      </c>
      <c r="E14" s="183" t="s">
        <v>1</v>
      </c>
      <c r="F14" s="183" t="s">
        <v>1</v>
      </c>
      <c r="G14" s="183" t="s">
        <v>1</v>
      </c>
      <c r="H14" s="183" t="s">
        <v>1</v>
      </c>
      <c r="I14" s="183">
        <v>14956</v>
      </c>
      <c r="J14" s="183" t="s">
        <v>1</v>
      </c>
      <c r="K14" s="183" t="s">
        <v>1</v>
      </c>
      <c r="L14" s="184" t="s">
        <v>1</v>
      </c>
      <c r="M14" t="s">
        <v>1</v>
      </c>
      <c r="N14"/>
    </row>
    <row r="15" spans="1:14" ht="15.6" x14ac:dyDescent="0.3">
      <c r="A15" s="19" t="str">
        <f>'Table 1.0'!A16</f>
        <v>Building A Ste 2 (VACANT)</v>
      </c>
      <c r="B15" s="41" t="str">
        <f>'Table 1.0'!B16</f>
        <v>A2</v>
      </c>
      <c r="C15" s="20">
        <f>'Table 1.0'!C16</f>
        <v>12000</v>
      </c>
      <c r="D15" s="183" t="s">
        <v>1</v>
      </c>
      <c r="E15" s="183">
        <v>25229</v>
      </c>
      <c r="F15" s="183" t="s">
        <v>1</v>
      </c>
      <c r="G15" s="183" t="s">
        <v>1</v>
      </c>
      <c r="H15" s="183" t="s">
        <v>1</v>
      </c>
      <c r="I15" s="183" t="s">
        <v>1</v>
      </c>
      <c r="J15" s="183">
        <v>18828</v>
      </c>
      <c r="K15" s="183" t="s">
        <v>1</v>
      </c>
      <c r="L15" s="184" t="s">
        <v>1</v>
      </c>
      <c r="M15" t="s">
        <v>1</v>
      </c>
      <c r="N15"/>
    </row>
    <row r="16" spans="1:14" ht="15.6" x14ac:dyDescent="0.3">
      <c r="A16" s="19" t="str">
        <f>'Table 1.0'!A17</f>
        <v>Building A Ste 3 (VACANT)</v>
      </c>
      <c r="B16" s="41" t="str">
        <f>'Table 1.0'!B17</f>
        <v>A3</v>
      </c>
      <c r="C16" s="185">
        <f>'Table 1.0'!C17</f>
        <v>11893</v>
      </c>
      <c r="D16" s="186" t="s">
        <v>1</v>
      </c>
      <c r="E16" s="183" t="s">
        <v>1</v>
      </c>
      <c r="F16" s="183">
        <v>25004</v>
      </c>
      <c r="G16" s="186" t="s">
        <v>1</v>
      </c>
      <c r="H16" s="186" t="s">
        <v>1</v>
      </c>
      <c r="I16" s="186" t="s">
        <v>1</v>
      </c>
      <c r="J16" s="183" t="s">
        <v>1</v>
      </c>
      <c r="K16" s="183">
        <v>19220</v>
      </c>
      <c r="L16" s="187" t="s">
        <v>1</v>
      </c>
      <c r="M16" s="5" t="s">
        <v>1</v>
      </c>
    </row>
    <row r="17" spans="1:13" ht="15.6" x14ac:dyDescent="0.3">
      <c r="A17" s="188" t="s">
        <v>62</v>
      </c>
      <c r="B17" s="5"/>
      <c r="C17" s="128">
        <f>SUM(C7:C16)</f>
        <v>129097</v>
      </c>
      <c r="D17" s="5"/>
      <c r="E17" s="5"/>
      <c r="F17" s="5"/>
      <c r="G17" s="5"/>
      <c r="H17" s="5"/>
      <c r="I17" s="5"/>
      <c r="J17" s="5"/>
      <c r="K17" s="5"/>
      <c r="L17" s="18"/>
      <c r="M17" s="5"/>
    </row>
    <row r="18" spans="1:13" ht="15.6" x14ac:dyDescent="0.3">
      <c r="A18" s="188"/>
      <c r="B18" s="5"/>
      <c r="C18" s="128"/>
      <c r="D18" s="5"/>
      <c r="E18" s="5"/>
      <c r="F18" s="5"/>
      <c r="G18" s="5"/>
      <c r="H18" s="5"/>
      <c r="I18" s="5"/>
      <c r="J18" s="5"/>
      <c r="K18" s="5"/>
      <c r="L18" s="18"/>
      <c r="M18" s="5"/>
    </row>
    <row r="19" spans="1:13" ht="15.6" x14ac:dyDescent="0.3">
      <c r="A19" s="189" t="s">
        <v>126</v>
      </c>
      <c r="B19" s="5"/>
      <c r="C19" s="5"/>
      <c r="D19" s="190">
        <v>0.06</v>
      </c>
      <c r="E19" s="190">
        <f t="shared" ref="E19:L20" si="0">D19</f>
        <v>0.06</v>
      </c>
      <c r="F19" s="190">
        <f t="shared" si="0"/>
        <v>0.06</v>
      </c>
      <c r="G19" s="190">
        <f t="shared" si="0"/>
        <v>0.06</v>
      </c>
      <c r="H19" s="190">
        <f t="shared" si="0"/>
        <v>0.06</v>
      </c>
      <c r="I19" s="190">
        <f t="shared" si="0"/>
        <v>0.06</v>
      </c>
      <c r="J19" s="190">
        <f t="shared" si="0"/>
        <v>0.06</v>
      </c>
      <c r="K19" s="190">
        <f t="shared" si="0"/>
        <v>0.06</v>
      </c>
      <c r="L19" s="191">
        <f t="shared" si="0"/>
        <v>0.06</v>
      </c>
      <c r="M19" s="5"/>
    </row>
    <row r="20" spans="1:13" ht="16.2" thickBot="1" x14ac:dyDescent="0.35">
      <c r="A20" s="189" t="s">
        <v>127</v>
      </c>
      <c r="B20" s="5"/>
      <c r="C20" s="5"/>
      <c r="D20" s="190">
        <v>0.03</v>
      </c>
      <c r="E20" s="190">
        <f t="shared" si="0"/>
        <v>0.03</v>
      </c>
      <c r="F20" s="190">
        <f t="shared" si="0"/>
        <v>0.03</v>
      </c>
      <c r="G20" s="190">
        <f t="shared" si="0"/>
        <v>0.03</v>
      </c>
      <c r="H20" s="190">
        <f t="shared" si="0"/>
        <v>0.03</v>
      </c>
      <c r="I20" s="190">
        <f t="shared" si="0"/>
        <v>0.03</v>
      </c>
      <c r="J20" s="190">
        <f t="shared" si="0"/>
        <v>0.03</v>
      </c>
      <c r="K20" s="190">
        <f t="shared" si="0"/>
        <v>0.03</v>
      </c>
      <c r="L20" s="192">
        <f t="shared" si="0"/>
        <v>0.03</v>
      </c>
      <c r="M20" s="5"/>
    </row>
    <row r="21" spans="1:13" ht="16.8" thickTop="1" thickBot="1" x14ac:dyDescent="0.35">
      <c r="A21" s="27" t="s">
        <v>128</v>
      </c>
      <c r="B21" s="193"/>
      <c r="C21" s="193"/>
      <c r="D21" s="30">
        <f t="shared" ref="D21:L21" si="1">SUM(D7:D16)</f>
        <v>36410</v>
      </c>
      <c r="E21" s="30">
        <f t="shared" si="1"/>
        <v>78795</v>
      </c>
      <c r="F21" s="30">
        <f t="shared" si="1"/>
        <v>25004</v>
      </c>
      <c r="G21" s="30">
        <f t="shared" si="1"/>
        <v>77829</v>
      </c>
      <c r="H21" s="30">
        <f t="shared" si="1"/>
        <v>0</v>
      </c>
      <c r="I21" s="30">
        <f t="shared" si="1"/>
        <v>14956</v>
      </c>
      <c r="J21" s="30">
        <f t="shared" si="1"/>
        <v>69748</v>
      </c>
      <c r="K21" s="30">
        <f t="shared" si="1"/>
        <v>19220</v>
      </c>
      <c r="L21" s="31">
        <f t="shared" si="1"/>
        <v>90225</v>
      </c>
      <c r="M21" s="5"/>
    </row>
    <row r="22" spans="1:13" ht="16.2" thickTop="1" x14ac:dyDescent="0.3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</row>
    <row r="23" spans="1:13" ht="15.6" x14ac:dyDescent="0.3">
      <c r="C23" s="4">
        <v>7</v>
      </c>
      <c r="D23" s="47"/>
      <c r="E23" s="47"/>
      <c r="F23" s="47"/>
      <c r="G23" s="47"/>
      <c r="H23" s="47"/>
      <c r="I23" s="47"/>
      <c r="J23" s="47"/>
      <c r="K23" s="47"/>
      <c r="L23" s="47"/>
      <c r="M23" s="5"/>
    </row>
    <row r="24" spans="1:13" ht="15.6" x14ac:dyDescent="0.3">
      <c r="M24" s="5"/>
    </row>
    <row r="25" spans="1:13" ht="15.6" x14ac:dyDescent="0.3">
      <c r="M25" s="5"/>
    </row>
    <row r="26" spans="1:13" ht="15.6" x14ac:dyDescent="0.3">
      <c r="M26" s="5"/>
    </row>
    <row r="27" spans="1:13" ht="15.6" x14ac:dyDescent="0.3">
      <c r="M27" s="5"/>
    </row>
    <row r="28" spans="1:13" ht="15.6" x14ac:dyDescent="0.3">
      <c r="M28" s="5"/>
    </row>
    <row r="29" spans="1:13" ht="15.6" x14ac:dyDescent="0.3">
      <c r="M29" s="5"/>
    </row>
    <row r="35" ht="13.5" customHeight="1" x14ac:dyDescent="0.25"/>
  </sheetData>
  <phoneticPr fontId="0" type="noConversion"/>
  <pageMargins left="0.75" right="0.75" top="1" bottom="0.75" header="0.5" footer="0.5"/>
  <pageSetup scale="80" orientation="landscape" horizontalDpi="4294967292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>
    <pageSetUpPr fitToPage="1"/>
  </sheetPr>
  <dimension ref="A1:Y52"/>
  <sheetViews>
    <sheetView workbookViewId="0"/>
  </sheetViews>
  <sheetFormatPr defaultColWidth="9.109375" defaultRowHeight="13.2" x14ac:dyDescent="0.25"/>
  <cols>
    <col min="1" max="1" width="34.77734375" style="4" customWidth="1"/>
    <col min="2" max="2" width="5.44140625" style="4" customWidth="1"/>
    <col min="3" max="3" width="11.44140625" style="4" customWidth="1"/>
    <col min="4" max="5" width="14" style="4" bestFit="1" customWidth="1"/>
    <col min="6" max="6" width="13" style="4" bestFit="1" customWidth="1"/>
    <col min="7" max="7" width="14" style="4" bestFit="1" customWidth="1"/>
    <col min="8" max="8" width="9.77734375" style="4" bestFit="1" customWidth="1"/>
    <col min="9" max="9" width="12" style="4" bestFit="1" customWidth="1"/>
    <col min="10" max="10" width="13.44140625" style="4" bestFit="1" customWidth="1"/>
    <col min="11" max="11" width="12" style="4" bestFit="1" customWidth="1"/>
    <col min="12" max="12" width="14" style="4" bestFit="1" customWidth="1"/>
    <col min="13" max="13" width="9.109375" style="4"/>
    <col min="14" max="14" width="21.44140625" style="4" customWidth="1"/>
    <col min="15" max="16384" width="9.109375" style="4"/>
  </cols>
  <sheetData>
    <row r="1" spans="1:25" ht="15.6" x14ac:dyDescent="0.3">
      <c r="A1" s="3" t="s">
        <v>51</v>
      </c>
      <c r="B1" s="3"/>
      <c r="M1" s="5"/>
    </row>
    <row r="2" spans="1:25" ht="16.2" thickBot="1" x14ac:dyDescent="0.35">
      <c r="A2" s="3"/>
      <c r="B2" s="3"/>
      <c r="M2" s="5"/>
    </row>
    <row r="3" spans="1:25" ht="16.8" thickTop="1" thickBot="1" x14ac:dyDescent="0.35">
      <c r="A3" s="6"/>
      <c r="B3" s="7"/>
      <c r="C3" s="8" t="s">
        <v>11</v>
      </c>
      <c r="D3" s="9">
        <v>38869</v>
      </c>
      <c r="E3" s="9">
        <v>39234</v>
      </c>
      <c r="F3" s="9">
        <v>39600</v>
      </c>
      <c r="G3" s="9">
        <v>39965</v>
      </c>
      <c r="H3" s="9">
        <v>40330</v>
      </c>
      <c r="I3" s="9">
        <v>40695</v>
      </c>
      <c r="J3" s="9">
        <v>41061</v>
      </c>
      <c r="K3" s="9">
        <v>41426</v>
      </c>
      <c r="L3" s="10">
        <v>41791</v>
      </c>
      <c r="M3" s="5"/>
    </row>
    <row r="4" spans="1:25" ht="16.8" thickTop="1" thickBot="1" x14ac:dyDescent="0.35">
      <c r="A4" s="11" t="s">
        <v>12</v>
      </c>
      <c r="B4" s="5"/>
      <c r="C4" s="3"/>
      <c r="D4" s="12" t="s">
        <v>13</v>
      </c>
      <c r="E4" s="13" t="s">
        <v>14</v>
      </c>
      <c r="F4" s="13" t="s">
        <v>15</v>
      </c>
      <c r="G4" s="13" t="s">
        <v>16</v>
      </c>
      <c r="H4" s="13" t="s">
        <v>17</v>
      </c>
      <c r="I4" s="13" t="s">
        <v>18</v>
      </c>
      <c r="J4" s="13" t="s">
        <v>19</v>
      </c>
      <c r="K4" s="13" t="s">
        <v>20</v>
      </c>
      <c r="L4" s="14" t="s">
        <v>21</v>
      </c>
      <c r="M4" s="5"/>
    </row>
    <row r="5" spans="1:25" ht="16.2" thickTop="1" x14ac:dyDescent="0.3">
      <c r="A5" s="15"/>
      <c r="B5" s="5"/>
      <c r="C5" s="3"/>
      <c r="D5" s="16"/>
      <c r="E5" s="16"/>
      <c r="F5" s="16"/>
      <c r="G5" s="16"/>
      <c r="H5" s="16"/>
      <c r="I5" s="16"/>
      <c r="J5" s="16"/>
      <c r="K5" s="16"/>
      <c r="L5" s="17"/>
      <c r="M5" s="5"/>
    </row>
    <row r="6" spans="1:25" ht="15.6" x14ac:dyDescent="0.3">
      <c r="A6" s="15"/>
      <c r="B6" s="16" t="s">
        <v>22</v>
      </c>
      <c r="C6" s="16" t="s">
        <v>23</v>
      </c>
      <c r="D6" s="5"/>
      <c r="E6" s="5"/>
      <c r="F6" s="5"/>
      <c r="G6" s="5"/>
      <c r="H6" s="5"/>
      <c r="I6" s="5"/>
      <c r="J6" s="5"/>
      <c r="K6" s="5"/>
      <c r="L6" s="18"/>
      <c r="M6" s="5"/>
    </row>
    <row r="7" spans="1:25" ht="15.6" x14ac:dyDescent="0.3">
      <c r="A7" s="19" t="s">
        <v>76</v>
      </c>
      <c r="B7" s="20">
        <v>1</v>
      </c>
      <c r="C7" s="21">
        <v>19204</v>
      </c>
      <c r="D7" s="22" t="str">
        <f>P7</f>
        <v xml:space="preserve">            </v>
      </c>
      <c r="E7" s="22" t="str">
        <f t="shared" ref="E7:L16" si="0">Q7</f>
        <v xml:space="preserve">            </v>
      </c>
      <c r="F7" s="22" t="str">
        <f t="shared" si="0"/>
        <v xml:space="preserve">            </v>
      </c>
      <c r="G7" s="22">
        <f t="shared" si="0"/>
        <v>94431</v>
      </c>
      <c r="H7" s="22" t="str">
        <f t="shared" si="0"/>
        <v xml:space="preserve">            </v>
      </c>
      <c r="I7" s="22" t="str">
        <f t="shared" si="0"/>
        <v xml:space="preserve">            </v>
      </c>
      <c r="J7" s="22" t="str">
        <f t="shared" si="0"/>
        <v xml:space="preserve">            </v>
      </c>
      <c r="K7" s="22" t="str">
        <f t="shared" si="0"/>
        <v xml:space="preserve">            </v>
      </c>
      <c r="L7" s="23">
        <f t="shared" si="0"/>
        <v>109472</v>
      </c>
      <c r="M7" s="5" t="s">
        <v>1</v>
      </c>
      <c r="N7" s="4" t="s">
        <v>30</v>
      </c>
      <c r="O7" s="4">
        <v>2801</v>
      </c>
      <c r="P7" s="4" t="s">
        <v>1</v>
      </c>
      <c r="Q7" s="4" t="s">
        <v>1</v>
      </c>
      <c r="R7" s="4" t="s">
        <v>1</v>
      </c>
      <c r="S7" s="49">
        <v>94431</v>
      </c>
      <c r="T7" s="4" t="s">
        <v>1</v>
      </c>
      <c r="U7" s="4" t="s">
        <v>1</v>
      </c>
      <c r="V7" s="4" t="s">
        <v>1</v>
      </c>
      <c r="W7" s="4" t="s">
        <v>1</v>
      </c>
      <c r="X7" s="49">
        <v>109472</v>
      </c>
      <c r="Y7" s="4" t="s">
        <v>1</v>
      </c>
    </row>
    <row r="8" spans="1:25" ht="15.6" x14ac:dyDescent="0.3">
      <c r="A8" s="19" t="s">
        <v>78</v>
      </c>
      <c r="B8" s="20">
        <v>2</v>
      </c>
      <c r="C8" s="21">
        <v>12512</v>
      </c>
      <c r="D8" s="22" t="str">
        <f t="shared" ref="D8:D16" si="1">P8</f>
        <v xml:space="preserve">            </v>
      </c>
      <c r="E8" s="22" t="str">
        <f t="shared" si="0"/>
        <v xml:space="preserve">            </v>
      </c>
      <c r="F8" s="22" t="str">
        <f t="shared" si="0"/>
        <v xml:space="preserve">            </v>
      </c>
      <c r="G8" s="22">
        <f t="shared" si="0"/>
        <v>61525</v>
      </c>
      <c r="H8" s="22" t="str">
        <f t="shared" si="0"/>
        <v xml:space="preserve">            </v>
      </c>
      <c r="I8" s="22" t="str">
        <f t="shared" si="0"/>
        <v xml:space="preserve">            </v>
      </c>
      <c r="J8" s="22" t="str">
        <f t="shared" si="0"/>
        <v xml:space="preserve">            </v>
      </c>
      <c r="K8" s="22" t="str">
        <f t="shared" si="0"/>
        <v xml:space="preserve">            </v>
      </c>
      <c r="L8" s="23">
        <f t="shared" si="0"/>
        <v>71324</v>
      </c>
      <c r="M8" s="5" t="s">
        <v>1</v>
      </c>
      <c r="N8" s="4" t="s">
        <v>31</v>
      </c>
      <c r="O8" s="4" t="s">
        <v>32</v>
      </c>
      <c r="P8" s="4" t="s">
        <v>1</v>
      </c>
      <c r="Q8" s="4" t="s">
        <v>1</v>
      </c>
      <c r="R8" s="4" t="s">
        <v>1</v>
      </c>
      <c r="S8" s="49">
        <v>61525</v>
      </c>
      <c r="T8" s="4" t="s">
        <v>1</v>
      </c>
      <c r="U8" s="4" t="s">
        <v>1</v>
      </c>
      <c r="V8" s="4" t="s">
        <v>1</v>
      </c>
      <c r="W8" s="4" t="s">
        <v>1</v>
      </c>
      <c r="X8" s="49">
        <v>71324</v>
      </c>
      <c r="Y8" s="4" t="s">
        <v>1</v>
      </c>
    </row>
    <row r="9" spans="1:25" ht="15.6" x14ac:dyDescent="0.3">
      <c r="A9" s="19" t="s">
        <v>80</v>
      </c>
      <c r="B9" s="20" t="s">
        <v>81</v>
      </c>
      <c r="C9" s="21">
        <v>7488</v>
      </c>
      <c r="D9" s="22" t="str">
        <f t="shared" si="1"/>
        <v xml:space="preserve">            </v>
      </c>
      <c r="E9" s="22" t="str">
        <f t="shared" si="0"/>
        <v xml:space="preserve">            </v>
      </c>
      <c r="F9" s="22" t="str">
        <f t="shared" si="0"/>
        <v xml:space="preserve">            </v>
      </c>
      <c r="G9" s="22">
        <f t="shared" si="0"/>
        <v>36821</v>
      </c>
      <c r="H9" s="22" t="str">
        <f t="shared" si="0"/>
        <v xml:space="preserve">            </v>
      </c>
      <c r="I9" s="22" t="str">
        <f t="shared" si="0"/>
        <v xml:space="preserve">            </v>
      </c>
      <c r="J9" s="22" t="str">
        <f t="shared" si="0"/>
        <v xml:space="preserve">            </v>
      </c>
      <c r="K9" s="22" t="str">
        <f t="shared" si="0"/>
        <v xml:space="preserve">            </v>
      </c>
      <c r="L9" s="23">
        <f t="shared" si="0"/>
        <v>42685</v>
      </c>
      <c r="M9" s="5" t="s">
        <v>1</v>
      </c>
      <c r="N9" s="4" t="s">
        <v>33</v>
      </c>
      <c r="O9" s="4" t="s">
        <v>34</v>
      </c>
      <c r="P9" s="4" t="s">
        <v>1</v>
      </c>
      <c r="Q9" s="4" t="s">
        <v>1</v>
      </c>
      <c r="R9" s="4" t="s">
        <v>1</v>
      </c>
      <c r="S9" s="49">
        <v>36821</v>
      </c>
      <c r="T9" s="4" t="s">
        <v>1</v>
      </c>
      <c r="U9" s="4" t="s">
        <v>1</v>
      </c>
      <c r="V9" s="4" t="s">
        <v>1</v>
      </c>
      <c r="W9" s="4" t="s">
        <v>1</v>
      </c>
      <c r="X9" s="49">
        <v>42685</v>
      </c>
      <c r="Y9" s="4" t="s">
        <v>1</v>
      </c>
    </row>
    <row r="10" spans="1:25" ht="15.6" x14ac:dyDescent="0.3">
      <c r="A10" s="19" t="s">
        <v>82</v>
      </c>
      <c r="B10" s="20">
        <v>0</v>
      </c>
      <c r="C10" s="21">
        <v>15000</v>
      </c>
      <c r="D10" s="22" t="str">
        <f t="shared" si="1"/>
        <v xml:space="preserve">            </v>
      </c>
      <c r="E10" s="22" t="str">
        <f t="shared" si="0"/>
        <v xml:space="preserve">            </v>
      </c>
      <c r="F10" s="22" t="str">
        <f t="shared" si="0"/>
        <v xml:space="preserve">            </v>
      </c>
      <c r="G10" s="22">
        <f t="shared" si="0"/>
        <v>73759</v>
      </c>
      <c r="H10" s="22" t="str">
        <f t="shared" si="0"/>
        <v xml:space="preserve">            </v>
      </c>
      <c r="I10" s="22" t="str">
        <f t="shared" si="0"/>
        <v xml:space="preserve">            </v>
      </c>
      <c r="J10" s="22" t="str">
        <f t="shared" si="0"/>
        <v xml:space="preserve">            </v>
      </c>
      <c r="K10" s="22" t="str">
        <f t="shared" si="0"/>
        <v xml:space="preserve">            </v>
      </c>
      <c r="L10" s="23">
        <f t="shared" si="0"/>
        <v>85507</v>
      </c>
      <c r="M10" s="5" t="s">
        <v>1</v>
      </c>
      <c r="N10" s="4" t="s">
        <v>35</v>
      </c>
      <c r="O10" s="4">
        <v>15000</v>
      </c>
      <c r="P10" s="4" t="s">
        <v>1</v>
      </c>
      <c r="Q10" s="4" t="s">
        <v>1</v>
      </c>
      <c r="R10" s="4" t="s">
        <v>1</v>
      </c>
      <c r="S10" s="49">
        <v>73759</v>
      </c>
      <c r="T10" s="4" t="s">
        <v>1</v>
      </c>
      <c r="U10" s="4" t="s">
        <v>1</v>
      </c>
      <c r="V10" s="4" t="s">
        <v>1</v>
      </c>
      <c r="W10" s="4" t="s">
        <v>1</v>
      </c>
      <c r="X10" s="49">
        <v>85507</v>
      </c>
      <c r="Y10" s="4" t="s">
        <v>1</v>
      </c>
    </row>
    <row r="11" spans="1:25" ht="15.6" x14ac:dyDescent="0.3">
      <c r="A11" s="19" t="s">
        <v>50</v>
      </c>
      <c r="B11" s="20" t="s">
        <v>84</v>
      </c>
      <c r="C11" s="21">
        <v>24000</v>
      </c>
      <c r="D11" s="22" t="str">
        <f t="shared" si="1"/>
        <v xml:space="preserve">            </v>
      </c>
      <c r="E11" s="22">
        <f t="shared" si="0"/>
        <v>98880</v>
      </c>
      <c r="F11" s="22" t="str">
        <f t="shared" si="0"/>
        <v xml:space="preserve">            </v>
      </c>
      <c r="G11" s="22" t="str">
        <f t="shared" si="0"/>
        <v xml:space="preserve">            </v>
      </c>
      <c r="H11" s="22" t="str">
        <f t="shared" si="0"/>
        <v xml:space="preserve">            </v>
      </c>
      <c r="I11" s="22" t="str">
        <f t="shared" si="0"/>
        <v xml:space="preserve">            </v>
      </c>
      <c r="J11" s="22">
        <f t="shared" si="0"/>
        <v>28657</v>
      </c>
      <c r="K11" s="22" t="str">
        <f t="shared" si="0"/>
        <v xml:space="preserve">            </v>
      </c>
      <c r="L11" s="23" t="str">
        <f t="shared" si="0"/>
        <v xml:space="preserve">            </v>
      </c>
      <c r="M11" s="5" t="s">
        <v>1</v>
      </c>
      <c r="N11" s="4" t="s">
        <v>36</v>
      </c>
      <c r="O11" s="4" t="s">
        <v>37</v>
      </c>
      <c r="P11" s="4" t="s">
        <v>1</v>
      </c>
      <c r="Q11" s="49">
        <v>98880</v>
      </c>
      <c r="R11" s="4" t="s">
        <v>1</v>
      </c>
      <c r="S11" s="4" t="s">
        <v>1</v>
      </c>
      <c r="T11" s="4" t="s">
        <v>1</v>
      </c>
      <c r="U11" s="4" t="s">
        <v>1</v>
      </c>
      <c r="V11" s="49">
        <v>28657</v>
      </c>
      <c r="W11" s="4" t="s">
        <v>1</v>
      </c>
      <c r="X11" s="4" t="s">
        <v>1</v>
      </c>
      <c r="Y11" s="4" t="s">
        <v>1</v>
      </c>
    </row>
    <row r="12" spans="1:25" ht="15.6" x14ac:dyDescent="0.3">
      <c r="A12" s="19" t="s">
        <v>87</v>
      </c>
      <c r="B12" s="20" t="s">
        <v>88</v>
      </c>
      <c r="C12" s="21">
        <v>7500</v>
      </c>
      <c r="D12" s="22">
        <f t="shared" si="1"/>
        <v>90000</v>
      </c>
      <c r="E12" s="22" t="str">
        <f t="shared" si="0"/>
        <v xml:space="preserve">            </v>
      </c>
      <c r="F12" s="22" t="str">
        <f t="shared" si="0"/>
        <v xml:space="preserve">            </v>
      </c>
      <c r="G12" s="22" t="str">
        <f t="shared" si="0"/>
        <v xml:space="preserve">            </v>
      </c>
      <c r="H12" s="22" t="str">
        <f t="shared" si="0"/>
        <v xml:space="preserve">            </v>
      </c>
      <c r="I12" s="22" t="str">
        <f t="shared" si="0"/>
        <v xml:space="preserve">            </v>
      </c>
      <c r="J12" s="22">
        <f t="shared" si="0"/>
        <v>40299</v>
      </c>
      <c r="K12" s="22" t="str">
        <f t="shared" si="0"/>
        <v xml:space="preserve">            </v>
      </c>
      <c r="L12" s="23" t="str">
        <f t="shared" si="0"/>
        <v xml:space="preserve">            </v>
      </c>
      <c r="M12" s="5" t="s">
        <v>1</v>
      </c>
      <c r="N12" s="4" t="s">
        <v>38</v>
      </c>
      <c r="O12" s="4" t="s">
        <v>39</v>
      </c>
      <c r="P12" s="49">
        <v>90000</v>
      </c>
      <c r="Q12" s="4" t="s">
        <v>1</v>
      </c>
      <c r="R12" s="4" t="s">
        <v>1</v>
      </c>
      <c r="S12" s="4" t="s">
        <v>1</v>
      </c>
      <c r="T12" s="4" t="s">
        <v>1</v>
      </c>
      <c r="U12" s="4" t="s">
        <v>1</v>
      </c>
      <c r="V12" s="49">
        <v>40299</v>
      </c>
      <c r="W12" s="4" t="s">
        <v>1</v>
      </c>
      <c r="X12" s="4" t="s">
        <v>1</v>
      </c>
      <c r="Y12" s="4" t="s">
        <v>1</v>
      </c>
    </row>
    <row r="13" spans="1:25" ht="15.6" x14ac:dyDescent="0.3">
      <c r="A13" s="19" t="s">
        <v>89</v>
      </c>
      <c r="B13" s="20" t="s">
        <v>90</v>
      </c>
      <c r="C13" s="21">
        <v>7500</v>
      </c>
      <c r="D13" s="22" t="str">
        <f t="shared" si="1"/>
        <v xml:space="preserve">            </v>
      </c>
      <c r="E13" s="22">
        <f t="shared" si="0"/>
        <v>92700</v>
      </c>
      <c r="F13" s="22" t="str">
        <f t="shared" si="0"/>
        <v xml:space="preserve">            </v>
      </c>
      <c r="G13" s="22" t="str">
        <f t="shared" si="0"/>
        <v xml:space="preserve">            </v>
      </c>
      <c r="H13" s="22" t="str">
        <f t="shared" si="0"/>
        <v xml:space="preserve">            </v>
      </c>
      <c r="I13" s="22" t="str">
        <f t="shared" si="0"/>
        <v xml:space="preserve">            </v>
      </c>
      <c r="J13" s="22">
        <f t="shared" si="0"/>
        <v>40299</v>
      </c>
      <c r="K13" s="22" t="str">
        <f t="shared" si="0"/>
        <v xml:space="preserve">            </v>
      </c>
      <c r="L13" s="23" t="str">
        <f t="shared" si="0"/>
        <v xml:space="preserve">            </v>
      </c>
      <c r="M13" s="5" t="s">
        <v>1</v>
      </c>
      <c r="N13" s="4" t="s">
        <v>40</v>
      </c>
      <c r="O13" s="4" t="s">
        <v>41</v>
      </c>
      <c r="P13" s="4" t="s">
        <v>1</v>
      </c>
      <c r="Q13" s="49">
        <v>92700</v>
      </c>
      <c r="R13" s="4" t="s">
        <v>1</v>
      </c>
      <c r="S13" s="4" t="s">
        <v>1</v>
      </c>
      <c r="T13" s="4" t="s">
        <v>1</v>
      </c>
      <c r="U13" s="4" t="s">
        <v>1</v>
      </c>
      <c r="V13" s="49">
        <v>40299</v>
      </c>
      <c r="W13" s="4" t="s">
        <v>1</v>
      </c>
      <c r="X13" s="4" t="s">
        <v>1</v>
      </c>
      <c r="Y13" s="4" t="s">
        <v>1</v>
      </c>
    </row>
    <row r="14" spans="1:25" ht="15.6" x14ac:dyDescent="0.3">
      <c r="A14" s="19" t="s">
        <v>91</v>
      </c>
      <c r="B14" s="20" t="s">
        <v>92</v>
      </c>
      <c r="C14" s="21">
        <v>12000</v>
      </c>
      <c r="D14" s="22">
        <f t="shared" si="1"/>
        <v>144000</v>
      </c>
      <c r="E14" s="22" t="str">
        <f t="shared" si="0"/>
        <v xml:space="preserve">            </v>
      </c>
      <c r="F14" s="22" t="str">
        <f t="shared" si="0"/>
        <v xml:space="preserve">            </v>
      </c>
      <c r="G14" s="22" t="str">
        <f t="shared" si="0"/>
        <v xml:space="preserve">            </v>
      </c>
      <c r="H14" s="22" t="str">
        <f t="shared" si="0"/>
        <v xml:space="preserve">            </v>
      </c>
      <c r="I14" s="22">
        <f t="shared" si="0"/>
        <v>62601</v>
      </c>
      <c r="J14" s="22" t="str">
        <f t="shared" si="0"/>
        <v xml:space="preserve">            </v>
      </c>
      <c r="K14" s="22" t="str">
        <f t="shared" si="0"/>
        <v xml:space="preserve">            </v>
      </c>
      <c r="L14" s="23" t="str">
        <f t="shared" si="0"/>
        <v xml:space="preserve">            </v>
      </c>
      <c r="M14" s="5" t="s">
        <v>1</v>
      </c>
      <c r="N14" s="4" t="s">
        <v>42</v>
      </c>
      <c r="O14" s="4" t="s">
        <v>43</v>
      </c>
      <c r="P14" s="49">
        <v>144000</v>
      </c>
      <c r="Q14" s="4" t="s">
        <v>1</v>
      </c>
      <c r="R14" s="4" t="s">
        <v>1</v>
      </c>
      <c r="S14" s="4" t="s">
        <v>1</v>
      </c>
      <c r="T14" s="4" t="s">
        <v>1</v>
      </c>
      <c r="U14" s="49">
        <v>62601</v>
      </c>
      <c r="V14" s="4" t="s">
        <v>1</v>
      </c>
      <c r="W14" s="4" t="s">
        <v>1</v>
      </c>
      <c r="X14" s="4" t="s">
        <v>1</v>
      </c>
      <c r="Y14" s="4" t="s">
        <v>1</v>
      </c>
    </row>
    <row r="15" spans="1:25" ht="15.6" x14ac:dyDescent="0.3">
      <c r="A15" s="19" t="s">
        <v>93</v>
      </c>
      <c r="B15" s="20" t="s">
        <v>94</v>
      </c>
      <c r="C15" s="21">
        <v>12000</v>
      </c>
      <c r="D15" s="22" t="str">
        <f t="shared" si="1"/>
        <v xml:space="preserve">            </v>
      </c>
      <c r="E15" s="22">
        <f t="shared" si="0"/>
        <v>148320</v>
      </c>
      <c r="F15" s="22" t="str">
        <f t="shared" si="0"/>
        <v xml:space="preserve">            </v>
      </c>
      <c r="G15" s="22" t="str">
        <f t="shared" si="0"/>
        <v xml:space="preserve">            </v>
      </c>
      <c r="H15" s="22" t="str">
        <f t="shared" si="0"/>
        <v xml:space="preserve">            </v>
      </c>
      <c r="I15" s="22" t="str">
        <f t="shared" si="0"/>
        <v xml:space="preserve">            </v>
      </c>
      <c r="J15" s="22">
        <f t="shared" si="0"/>
        <v>64479</v>
      </c>
      <c r="K15" s="22" t="str">
        <f t="shared" si="0"/>
        <v xml:space="preserve">            </v>
      </c>
      <c r="L15" s="23" t="str">
        <f t="shared" si="0"/>
        <v xml:space="preserve">            </v>
      </c>
      <c r="M15" s="5" t="s">
        <v>1</v>
      </c>
      <c r="N15" s="4" t="s">
        <v>44</v>
      </c>
      <c r="O15" s="4" t="s">
        <v>45</v>
      </c>
      <c r="P15" s="4" t="s">
        <v>1</v>
      </c>
      <c r="Q15" s="49">
        <v>148320</v>
      </c>
      <c r="R15" s="4" t="s">
        <v>1</v>
      </c>
      <c r="S15" s="4" t="s">
        <v>1</v>
      </c>
      <c r="T15" s="4" t="s">
        <v>1</v>
      </c>
      <c r="U15" s="4" t="s">
        <v>1</v>
      </c>
      <c r="V15" s="49">
        <v>64479</v>
      </c>
      <c r="W15" s="4" t="s">
        <v>1</v>
      </c>
      <c r="X15" s="4" t="s">
        <v>1</v>
      </c>
      <c r="Y15" s="4" t="s">
        <v>1</v>
      </c>
    </row>
    <row r="16" spans="1:25" ht="15.6" x14ac:dyDescent="0.3">
      <c r="A16" s="19" t="s">
        <v>95</v>
      </c>
      <c r="B16" s="20" t="s">
        <v>96</v>
      </c>
      <c r="C16" s="24">
        <v>11893</v>
      </c>
      <c r="D16" s="22" t="str">
        <f t="shared" si="1"/>
        <v xml:space="preserve">            </v>
      </c>
      <c r="E16" s="22" t="str">
        <f t="shared" si="0"/>
        <v xml:space="preserve">            </v>
      </c>
      <c r="F16" s="22">
        <f t="shared" si="0"/>
        <v>151407</v>
      </c>
      <c r="G16" s="22" t="str">
        <f t="shared" si="0"/>
        <v xml:space="preserve">            </v>
      </c>
      <c r="H16" s="22" t="str">
        <f t="shared" si="0"/>
        <v xml:space="preserve">            </v>
      </c>
      <c r="I16" s="22" t="str">
        <f t="shared" si="0"/>
        <v xml:space="preserve">            </v>
      </c>
      <c r="J16" s="22" t="str">
        <f t="shared" si="0"/>
        <v xml:space="preserve">            </v>
      </c>
      <c r="K16" s="22">
        <f t="shared" si="0"/>
        <v>65821</v>
      </c>
      <c r="L16" s="23" t="str">
        <f t="shared" si="0"/>
        <v xml:space="preserve">            </v>
      </c>
      <c r="M16" s="5" t="s">
        <v>1</v>
      </c>
      <c r="N16" s="4" t="s">
        <v>46</v>
      </c>
      <c r="O16" s="4" t="s">
        <v>47</v>
      </c>
      <c r="P16" s="4" t="s">
        <v>1</v>
      </c>
      <c r="Q16" s="4" t="s">
        <v>1</v>
      </c>
      <c r="R16" s="49">
        <v>151407</v>
      </c>
      <c r="S16" s="4" t="s">
        <v>1</v>
      </c>
      <c r="T16" s="4" t="s">
        <v>1</v>
      </c>
      <c r="U16" s="4" t="s">
        <v>1</v>
      </c>
      <c r="V16" s="4" t="s">
        <v>1</v>
      </c>
      <c r="W16" s="49">
        <v>65821</v>
      </c>
      <c r="X16" s="4" t="s">
        <v>1</v>
      </c>
      <c r="Y16" s="4" t="s">
        <v>1</v>
      </c>
    </row>
    <row r="17" spans="1:25" ht="16.2" thickBot="1" x14ac:dyDescent="0.35">
      <c r="A17" s="19"/>
      <c r="B17" s="21"/>
      <c r="C17" s="21">
        <f>SUM(C7:C16)</f>
        <v>129097</v>
      </c>
      <c r="D17" s="25"/>
      <c r="E17" s="25"/>
      <c r="F17" s="25"/>
      <c r="G17" s="25"/>
      <c r="H17" s="25"/>
      <c r="I17" s="25"/>
      <c r="J17" s="25"/>
      <c r="K17" s="25"/>
      <c r="L17" s="26"/>
      <c r="M17" s="5"/>
      <c r="N17" s="4" t="s">
        <v>48</v>
      </c>
      <c r="O17" s="4" t="s">
        <v>49</v>
      </c>
      <c r="P17" s="4" t="s">
        <v>0</v>
      </c>
      <c r="Q17" s="4" t="s">
        <v>0</v>
      </c>
      <c r="R17" s="4" t="s">
        <v>0</v>
      </c>
      <c r="S17" s="4" t="s">
        <v>0</v>
      </c>
      <c r="T17" s="4" t="s">
        <v>0</v>
      </c>
      <c r="U17" s="4" t="s">
        <v>0</v>
      </c>
      <c r="V17" s="4" t="s">
        <v>0</v>
      </c>
      <c r="W17" s="4" t="s">
        <v>0</v>
      </c>
      <c r="X17" s="4" t="s">
        <v>0</v>
      </c>
      <c r="Y17" s="4" t="s">
        <v>0</v>
      </c>
    </row>
    <row r="18" spans="1:25" ht="16.8" thickTop="1" thickBot="1" x14ac:dyDescent="0.35">
      <c r="A18" s="27" t="s">
        <v>24</v>
      </c>
      <c r="B18" s="28"/>
      <c r="C18" s="29"/>
      <c r="D18" s="30">
        <f t="shared" ref="D18:L18" si="2">SUM(D7:D16)</f>
        <v>234000</v>
      </c>
      <c r="E18" s="30">
        <f t="shared" si="2"/>
        <v>339900</v>
      </c>
      <c r="F18" s="30">
        <f t="shared" si="2"/>
        <v>151407</v>
      </c>
      <c r="G18" s="30">
        <f t="shared" si="2"/>
        <v>266536</v>
      </c>
      <c r="H18" s="30">
        <f t="shared" si="2"/>
        <v>0</v>
      </c>
      <c r="I18" s="30">
        <f t="shared" si="2"/>
        <v>62601</v>
      </c>
      <c r="J18" s="30">
        <f t="shared" si="2"/>
        <v>173734</v>
      </c>
      <c r="K18" s="30">
        <f t="shared" si="2"/>
        <v>65821</v>
      </c>
      <c r="L18" s="31">
        <f t="shared" si="2"/>
        <v>308988</v>
      </c>
      <c r="M18" s="5"/>
    </row>
    <row r="19" spans="1:25" ht="16.2" thickTop="1" x14ac:dyDescent="0.3">
      <c r="A19" s="15"/>
      <c r="C19" s="32" t="s">
        <v>25</v>
      </c>
      <c r="D19" s="33">
        <v>12</v>
      </c>
      <c r="E19" s="33">
        <f t="shared" ref="E19:L20" si="3">D19*1.03</f>
        <v>12.36</v>
      </c>
      <c r="F19" s="33">
        <f t="shared" si="3"/>
        <v>12.7308</v>
      </c>
      <c r="G19" s="33">
        <f t="shared" si="3"/>
        <v>13.112724</v>
      </c>
      <c r="H19" s="33">
        <f t="shared" si="3"/>
        <v>13.506105720000001</v>
      </c>
      <c r="I19" s="33">
        <f t="shared" si="3"/>
        <v>13.911288891600002</v>
      </c>
      <c r="J19" s="33">
        <f t="shared" si="3"/>
        <v>14.328627558348002</v>
      </c>
      <c r="K19" s="33">
        <f t="shared" si="3"/>
        <v>14.758486385098442</v>
      </c>
      <c r="L19" s="34">
        <f t="shared" si="3"/>
        <v>15.201240976651395</v>
      </c>
      <c r="M19" s="5"/>
    </row>
    <row r="20" spans="1:25" ht="16.2" thickBot="1" x14ac:dyDescent="0.35">
      <c r="A20" s="35"/>
      <c r="C20" s="36" t="s">
        <v>26</v>
      </c>
      <c r="D20" s="37">
        <v>2</v>
      </c>
      <c r="E20" s="37">
        <f t="shared" si="3"/>
        <v>2.06</v>
      </c>
      <c r="F20" s="37">
        <f t="shared" si="3"/>
        <v>2.1217999999999999</v>
      </c>
      <c r="G20" s="37">
        <f t="shared" si="3"/>
        <v>2.185454</v>
      </c>
      <c r="H20" s="37">
        <f t="shared" si="3"/>
        <v>2.2510176200000003</v>
      </c>
      <c r="I20" s="37">
        <f t="shared" si="3"/>
        <v>2.3185481486000001</v>
      </c>
      <c r="J20" s="37">
        <f t="shared" si="3"/>
        <v>2.3881045930580003</v>
      </c>
      <c r="K20" s="37">
        <f t="shared" si="3"/>
        <v>2.4597477308497404</v>
      </c>
      <c r="L20" s="38">
        <f t="shared" si="3"/>
        <v>2.5335401627752328</v>
      </c>
      <c r="M20" s="5"/>
    </row>
    <row r="21" spans="1:25" ht="16.8" thickTop="1" thickBot="1" x14ac:dyDescent="0.35">
      <c r="A21" s="39"/>
      <c r="B21" s="7"/>
      <c r="C21" s="8" t="s">
        <v>11</v>
      </c>
      <c r="D21" s="9">
        <f t="shared" ref="D21:L21" si="4">D3</f>
        <v>38869</v>
      </c>
      <c r="E21" s="9">
        <f t="shared" si="4"/>
        <v>39234</v>
      </c>
      <c r="F21" s="9">
        <f t="shared" si="4"/>
        <v>39600</v>
      </c>
      <c r="G21" s="9">
        <f t="shared" si="4"/>
        <v>39965</v>
      </c>
      <c r="H21" s="9">
        <f t="shared" si="4"/>
        <v>40330</v>
      </c>
      <c r="I21" s="9">
        <f t="shared" si="4"/>
        <v>40695</v>
      </c>
      <c r="J21" s="9">
        <f t="shared" si="4"/>
        <v>41061</v>
      </c>
      <c r="K21" s="9">
        <f t="shared" si="4"/>
        <v>41426</v>
      </c>
      <c r="L21" s="40">
        <f t="shared" si="4"/>
        <v>41791</v>
      </c>
      <c r="M21" s="5"/>
    </row>
    <row r="22" spans="1:25" ht="16.8" thickTop="1" thickBot="1" x14ac:dyDescent="0.35">
      <c r="A22" s="11" t="s">
        <v>27</v>
      </c>
      <c r="B22" s="5"/>
      <c r="C22" s="3"/>
      <c r="D22" s="12" t="s">
        <v>13</v>
      </c>
      <c r="E22" s="13" t="s">
        <v>14</v>
      </c>
      <c r="F22" s="13" t="s">
        <v>15</v>
      </c>
      <c r="G22" s="13" t="s">
        <v>16</v>
      </c>
      <c r="H22" s="13" t="s">
        <v>17</v>
      </c>
      <c r="I22" s="13" t="s">
        <v>18</v>
      </c>
      <c r="J22" s="13" t="s">
        <v>19</v>
      </c>
      <c r="K22" s="13" t="s">
        <v>20</v>
      </c>
      <c r="L22" s="14" t="s">
        <v>21</v>
      </c>
      <c r="M22" s="5"/>
    </row>
    <row r="23" spans="1:25" ht="16.2" thickTop="1" x14ac:dyDescent="0.3">
      <c r="A23" s="15"/>
      <c r="B23" s="16" t="s">
        <v>22</v>
      </c>
      <c r="C23" s="16" t="s">
        <v>23</v>
      </c>
      <c r="D23" s="5"/>
      <c r="E23" s="5"/>
      <c r="F23" s="5"/>
      <c r="G23" s="5"/>
      <c r="H23" s="5"/>
      <c r="I23" s="5"/>
      <c r="J23" s="5"/>
      <c r="K23" s="5"/>
      <c r="L23" s="18"/>
      <c r="M23" s="5"/>
    </row>
    <row r="24" spans="1:25" ht="15.6" x14ac:dyDescent="0.3">
      <c r="A24" s="19" t="str">
        <f t="shared" ref="A24:C33" si="5">A7</f>
        <v>Qantas Airways</v>
      </c>
      <c r="B24" s="41">
        <f t="shared" si="5"/>
        <v>1</v>
      </c>
      <c r="C24" s="21">
        <f t="shared" si="5"/>
        <v>19204</v>
      </c>
      <c r="D24" s="42"/>
      <c r="E24" s="42"/>
      <c r="F24" s="42"/>
      <c r="G24" s="42">
        <f>G7/$C24</f>
        <v>4.9172568214955215</v>
      </c>
      <c r="H24" s="42"/>
      <c r="I24" s="42"/>
      <c r="J24" s="42"/>
      <c r="K24" s="42"/>
      <c r="L24" s="43">
        <f>L7/$C24</f>
        <v>5.700479066861071</v>
      </c>
      <c r="M24" s="5"/>
    </row>
    <row r="25" spans="1:25" ht="15.6" x14ac:dyDescent="0.3">
      <c r="A25" s="19" t="str">
        <f t="shared" si="5"/>
        <v>Davis Select</v>
      </c>
      <c r="B25" s="41">
        <f t="shared" si="5"/>
        <v>2</v>
      </c>
      <c r="C25" s="21">
        <f t="shared" si="5"/>
        <v>12512</v>
      </c>
      <c r="D25" s="42"/>
      <c r="E25" s="42"/>
      <c r="F25" s="42"/>
      <c r="G25" s="42">
        <f>G8/$C25</f>
        <v>4.9172794117647056</v>
      </c>
      <c r="H25" s="42"/>
      <c r="I25" s="42"/>
      <c r="J25" s="42"/>
      <c r="K25" s="42"/>
      <c r="L25" s="43">
        <f>L8/$C25</f>
        <v>5.7004475703324804</v>
      </c>
      <c r="M25" s="5"/>
    </row>
    <row r="26" spans="1:25" ht="15.6" x14ac:dyDescent="0.3">
      <c r="A26" s="19" t="str">
        <f t="shared" si="5"/>
        <v>Davis Select (Expansion Space)</v>
      </c>
      <c r="B26" s="41" t="str">
        <f t="shared" si="5"/>
        <v>2a</v>
      </c>
      <c r="C26" s="21">
        <f t="shared" si="5"/>
        <v>7488</v>
      </c>
      <c r="D26" s="42"/>
      <c r="E26" s="42"/>
      <c r="F26" s="42"/>
      <c r="G26" s="42">
        <f>G9/$C26</f>
        <v>4.9173344017094021</v>
      </c>
      <c r="H26" s="42"/>
      <c r="I26" s="42"/>
      <c r="J26" s="42"/>
      <c r="K26" s="42"/>
      <c r="L26" s="43">
        <f>L9/$C26</f>
        <v>5.7004540598290596</v>
      </c>
      <c r="M26" s="5"/>
    </row>
    <row r="27" spans="1:25" ht="15.6" x14ac:dyDescent="0.3">
      <c r="A27" s="19" t="str">
        <f t="shared" si="5"/>
        <v>APEX</v>
      </c>
      <c r="B27" s="41">
        <f t="shared" si="5"/>
        <v>0</v>
      </c>
      <c r="C27" s="21">
        <f t="shared" si="5"/>
        <v>15000</v>
      </c>
      <c r="D27" s="42"/>
      <c r="E27" s="42"/>
      <c r="F27" s="42"/>
      <c r="G27" s="42">
        <f>G10/$C27</f>
        <v>4.9172666666666665</v>
      </c>
      <c r="H27" s="42"/>
      <c r="I27" s="42"/>
      <c r="J27" s="42"/>
      <c r="K27" s="42"/>
      <c r="L27" s="43">
        <f>L10/$C27</f>
        <v>5.7004666666666663</v>
      </c>
      <c r="M27" s="5"/>
    </row>
    <row r="28" spans="1:25" ht="15.6" x14ac:dyDescent="0.3">
      <c r="A28" s="19" t="str">
        <f t="shared" si="5"/>
        <v>Iron Mountain Temp. Space (B)</v>
      </c>
      <c r="B28" s="41" t="str">
        <f t="shared" si="5"/>
        <v>2B</v>
      </c>
      <c r="C28" s="21">
        <f t="shared" si="5"/>
        <v>24000</v>
      </c>
      <c r="D28" s="42"/>
      <c r="E28" s="42">
        <f>E11/$C28</f>
        <v>4.12</v>
      </c>
      <c r="F28" s="42"/>
      <c r="G28" s="42"/>
      <c r="H28" s="42"/>
      <c r="I28" s="42"/>
      <c r="J28" s="42">
        <f>J11/$C28</f>
        <v>1.1940416666666667</v>
      </c>
      <c r="K28" s="42"/>
      <c r="L28" s="43"/>
      <c r="M28" s="5"/>
    </row>
    <row r="29" spans="1:25" ht="15.6" x14ac:dyDescent="0.3">
      <c r="A29" s="19" t="str">
        <f t="shared" si="5"/>
        <v>Building C Ste 1 (VACANT)</v>
      </c>
      <c r="B29" s="41" t="str">
        <f t="shared" si="5"/>
        <v>C1</v>
      </c>
      <c r="C29" s="21">
        <f t="shared" si="5"/>
        <v>7500</v>
      </c>
      <c r="D29" s="42">
        <f>D12/$C29</f>
        <v>12</v>
      </c>
      <c r="E29" s="42"/>
      <c r="F29" s="42"/>
      <c r="G29" s="42"/>
      <c r="H29" s="42"/>
      <c r="I29" s="42"/>
      <c r="J29" s="42">
        <f>J12/$C29</f>
        <v>5.3731999999999998</v>
      </c>
      <c r="K29" s="42"/>
      <c r="L29" s="43"/>
      <c r="M29" s="5"/>
    </row>
    <row r="30" spans="1:25" ht="15.6" x14ac:dyDescent="0.3">
      <c r="A30" s="19" t="str">
        <f t="shared" si="5"/>
        <v>Building C Ste 2 (VACANT)</v>
      </c>
      <c r="B30" s="41" t="str">
        <f t="shared" si="5"/>
        <v>C2</v>
      </c>
      <c r="C30" s="21">
        <f t="shared" si="5"/>
        <v>7500</v>
      </c>
      <c r="D30" s="42"/>
      <c r="E30" s="42">
        <f>E13/$C30</f>
        <v>12.36</v>
      </c>
      <c r="F30" s="42"/>
      <c r="G30" s="42"/>
      <c r="H30" s="42"/>
      <c r="I30" s="42"/>
      <c r="J30" s="42">
        <f>J13/$C30</f>
        <v>5.3731999999999998</v>
      </c>
      <c r="K30" s="42"/>
      <c r="L30" s="43"/>
      <c r="M30" s="5"/>
    </row>
    <row r="31" spans="1:25" ht="15.6" x14ac:dyDescent="0.3">
      <c r="A31" s="19" t="str">
        <f t="shared" si="5"/>
        <v>Building A Ste 1 (VACANT)</v>
      </c>
      <c r="B31" s="41" t="str">
        <f t="shared" si="5"/>
        <v>A1</v>
      </c>
      <c r="C31" s="21">
        <f t="shared" si="5"/>
        <v>12000</v>
      </c>
      <c r="D31" s="42">
        <f>D14/$C31</f>
        <v>12</v>
      </c>
      <c r="E31" s="42"/>
      <c r="F31" s="42"/>
      <c r="G31" s="42"/>
      <c r="H31" s="42"/>
      <c r="I31" s="42">
        <f>I14/$C31</f>
        <v>5.2167500000000002</v>
      </c>
      <c r="J31" s="42"/>
      <c r="K31" s="42"/>
      <c r="L31" s="43"/>
      <c r="M31" s="5"/>
    </row>
    <row r="32" spans="1:25" ht="15.6" x14ac:dyDescent="0.3">
      <c r="A32" s="19" t="str">
        <f t="shared" si="5"/>
        <v>Building A Ste 2 (VACANT)</v>
      </c>
      <c r="B32" s="41" t="str">
        <f t="shared" si="5"/>
        <v>A2</v>
      </c>
      <c r="C32" s="21">
        <f t="shared" si="5"/>
        <v>12000</v>
      </c>
      <c r="D32" s="42"/>
      <c r="E32" s="42">
        <f>E15/$C32</f>
        <v>12.36</v>
      </c>
      <c r="F32" s="42"/>
      <c r="G32" s="42"/>
      <c r="H32" s="42"/>
      <c r="I32" s="42"/>
      <c r="J32" s="42">
        <f>J15/$C32</f>
        <v>5.3732499999999996</v>
      </c>
      <c r="K32" s="42"/>
      <c r="L32" s="43"/>
      <c r="M32" s="5"/>
    </row>
    <row r="33" spans="1:13" ht="15.6" x14ac:dyDescent="0.3">
      <c r="A33" s="19" t="str">
        <f t="shared" si="5"/>
        <v>Building A Ste 3 (VACANT)</v>
      </c>
      <c r="B33" s="41" t="str">
        <f t="shared" si="5"/>
        <v>A3</v>
      </c>
      <c r="C33" s="24">
        <f t="shared" si="5"/>
        <v>11893</v>
      </c>
      <c r="D33" s="42"/>
      <c r="E33" s="42"/>
      <c r="F33" s="42">
        <f>F16/$C33</f>
        <v>12.730765996804843</v>
      </c>
      <c r="G33" s="42"/>
      <c r="H33" s="42"/>
      <c r="I33" s="42"/>
      <c r="J33" s="42"/>
      <c r="K33" s="42">
        <f>K16/$C33</f>
        <v>5.5344320188346083</v>
      </c>
      <c r="L33" s="43"/>
      <c r="M33" s="5"/>
    </row>
    <row r="34" spans="1:13" ht="15.6" x14ac:dyDescent="0.3">
      <c r="A34" s="19"/>
      <c r="B34" s="44"/>
      <c r="C34" s="21">
        <f>SUM(C24:C33)</f>
        <v>129097</v>
      </c>
      <c r="D34" s="33"/>
      <c r="E34" s="33"/>
      <c r="F34" s="33"/>
      <c r="G34" s="33"/>
      <c r="H34" s="33"/>
      <c r="I34" s="33"/>
      <c r="J34" s="33"/>
      <c r="K34" s="33"/>
      <c r="L34" s="34"/>
      <c r="M34" s="5"/>
    </row>
    <row r="35" spans="1:13" ht="16.2" thickBot="1" x14ac:dyDescent="0.35">
      <c r="A35" s="35" t="s">
        <v>28</v>
      </c>
      <c r="B35" s="50"/>
      <c r="C35" s="51"/>
      <c r="D35" s="52">
        <f>C12+C14</f>
        <v>19500</v>
      </c>
      <c r="E35" s="52">
        <f>C11+C13+C15</f>
        <v>43500</v>
      </c>
      <c r="F35" s="52">
        <f>C16</f>
        <v>11893</v>
      </c>
      <c r="G35" s="52">
        <f>C7+C8+C9+C10</f>
        <v>54204</v>
      </c>
      <c r="H35" s="52">
        <f>0</f>
        <v>0</v>
      </c>
      <c r="I35" s="52">
        <f>C14</f>
        <v>12000</v>
      </c>
      <c r="J35" s="52">
        <f>C15+C13+C12+C11</f>
        <v>51000</v>
      </c>
      <c r="K35" s="52">
        <f>C16</f>
        <v>11893</v>
      </c>
      <c r="L35" s="53">
        <f>C7+C8+C9+C10</f>
        <v>54204</v>
      </c>
      <c r="M35" s="5"/>
    </row>
    <row r="36" spans="1:13" ht="16.8" thickTop="1" thickBot="1" x14ac:dyDescent="0.35">
      <c r="A36" s="27" t="s">
        <v>29</v>
      </c>
      <c r="B36" s="28"/>
      <c r="C36" s="29"/>
      <c r="D36" s="45">
        <f t="shared" ref="D36:L36" si="6">IF(D35=0,0,D18/D35)</f>
        <v>12</v>
      </c>
      <c r="E36" s="45">
        <f t="shared" si="6"/>
        <v>7.8137931034482762</v>
      </c>
      <c r="F36" s="45">
        <f t="shared" si="6"/>
        <v>12.730765996804843</v>
      </c>
      <c r="G36" s="45">
        <f t="shared" si="6"/>
        <v>4.9172754778245151</v>
      </c>
      <c r="H36" s="45">
        <f t="shared" si="6"/>
        <v>0</v>
      </c>
      <c r="I36" s="45">
        <f t="shared" si="6"/>
        <v>5.2167500000000002</v>
      </c>
      <c r="J36" s="45">
        <f t="shared" si="6"/>
        <v>3.406549019607843</v>
      </c>
      <c r="K36" s="45">
        <f t="shared" si="6"/>
        <v>5.5344320188346083</v>
      </c>
      <c r="L36" s="46">
        <f t="shared" si="6"/>
        <v>5.7004649103387202</v>
      </c>
      <c r="M36" s="5"/>
    </row>
    <row r="37" spans="1:13" ht="16.2" thickTop="1" x14ac:dyDescent="0.3">
      <c r="A37" s="5" t="s">
        <v>53</v>
      </c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</row>
    <row r="38" spans="1:13" ht="15.6" x14ac:dyDescent="0.3">
      <c r="A38" s="5" t="s">
        <v>52</v>
      </c>
      <c r="D38" s="47"/>
      <c r="E38" s="47"/>
      <c r="F38" s="47"/>
      <c r="G38" s="47"/>
      <c r="H38" s="47"/>
      <c r="I38" s="47"/>
      <c r="J38" s="47"/>
      <c r="K38" s="47"/>
      <c r="L38" s="48"/>
      <c r="M38" s="5"/>
    </row>
    <row r="39" spans="1:13" ht="15.6" x14ac:dyDescent="0.3">
      <c r="M39" s="5"/>
    </row>
    <row r="40" spans="1:13" ht="15.6" x14ac:dyDescent="0.3">
      <c r="M40" s="5"/>
    </row>
    <row r="41" spans="1:13" ht="15.6" x14ac:dyDescent="0.3">
      <c r="M41" s="5"/>
    </row>
    <row r="42" spans="1:13" ht="15.6" x14ac:dyDescent="0.3">
      <c r="M42" s="5"/>
    </row>
    <row r="43" spans="1:13" ht="15.6" x14ac:dyDescent="0.3">
      <c r="M43" s="5"/>
    </row>
    <row r="44" spans="1:13" ht="15.6" x14ac:dyDescent="0.3">
      <c r="M44" s="5"/>
    </row>
    <row r="45" spans="1:13" ht="15.6" x14ac:dyDescent="0.3">
      <c r="M45" s="5"/>
    </row>
    <row r="46" spans="1:13" ht="15.6" x14ac:dyDescent="0.3">
      <c r="M46" s="5"/>
    </row>
    <row r="47" spans="1:13" ht="15.6" x14ac:dyDescent="0.3">
      <c r="M47" s="5"/>
    </row>
    <row r="48" spans="1:13" ht="15.6" x14ac:dyDescent="0.3">
      <c r="M48" s="5"/>
    </row>
    <row r="49" spans="13:13" ht="15.6" x14ac:dyDescent="0.3">
      <c r="M49" s="5"/>
    </row>
    <row r="50" spans="13:13" ht="15.6" x14ac:dyDescent="0.3">
      <c r="M50" s="5"/>
    </row>
    <row r="51" spans="13:13" ht="15.6" x14ac:dyDescent="0.3">
      <c r="M51" s="5"/>
    </row>
    <row r="52" spans="13:13" ht="15.6" x14ac:dyDescent="0.3">
      <c r="M52" s="5"/>
    </row>
  </sheetData>
  <phoneticPr fontId="0" type="noConversion"/>
  <conditionalFormatting sqref="D24:L34 D36:L36">
    <cfRule type="cellIs" dxfId="0" priority="1" stopIfTrue="1" operator="greaterThan">
      <formula>0</formula>
    </cfRule>
  </conditionalFormatting>
  <pageMargins left="0.75" right="0.75" top="1" bottom="0.75" header="0.5" footer="0.5"/>
  <pageSetup scale="73" orientation="landscape" horizontalDpi="4294967292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M76"/>
  <sheetViews>
    <sheetView workbookViewId="0"/>
  </sheetViews>
  <sheetFormatPr defaultColWidth="8.88671875" defaultRowHeight="13.2" x14ac:dyDescent="0.25"/>
  <cols>
    <col min="1" max="1" width="27.44140625" style="4" customWidth="1"/>
    <col min="2" max="2" width="10.44140625" style="4" customWidth="1"/>
    <col min="3" max="3" width="6.44140625" style="4" customWidth="1"/>
    <col min="4" max="4" width="10.44140625" style="4" customWidth="1"/>
    <col min="5" max="5" width="6.44140625" style="4" customWidth="1"/>
    <col min="6" max="6" width="10.44140625" style="4" customWidth="1"/>
    <col min="7" max="7" width="9.109375" style="4" bestFit="1"/>
    <col min="8" max="8" width="13.21875" style="4" bestFit="1" customWidth="1"/>
    <col min="9" max="9" width="9.109375" style="4" bestFit="1"/>
    <col min="10" max="10" width="10.44140625" style="4" customWidth="1"/>
    <col min="11" max="11" width="6.44140625" style="4" customWidth="1"/>
    <col min="12" max="12" width="10.44140625" style="4" bestFit="1" customWidth="1"/>
    <col min="13" max="13" width="6.44140625" style="4" bestFit="1" customWidth="1"/>
  </cols>
  <sheetData>
    <row r="1" spans="1:13" ht="13.8" thickTop="1" x14ac:dyDescent="0.25">
      <c r="A1" s="194" t="str">
        <f>+'Table 1A'!D1</f>
        <v>TUCSON AIRPORT CENTER</v>
      </c>
      <c r="B1" s="195"/>
      <c r="C1" s="195"/>
      <c r="D1" s="161"/>
      <c r="E1" s="161"/>
      <c r="F1" s="161"/>
      <c r="G1" s="161"/>
      <c r="H1" s="161"/>
      <c r="I1" s="196"/>
    </row>
    <row r="2" spans="1:13" x14ac:dyDescent="0.25">
      <c r="A2" s="197" t="s">
        <v>129</v>
      </c>
      <c r="B2" s="198"/>
      <c r="C2" s="198"/>
      <c r="D2" s="198"/>
      <c r="E2" s="198"/>
      <c r="F2" s="198"/>
      <c r="G2" s="198"/>
      <c r="H2" s="198"/>
      <c r="I2" s="199"/>
    </row>
    <row r="3" spans="1:13" ht="13.8" thickBot="1" x14ac:dyDescent="0.3">
      <c r="A3" s="200"/>
      <c r="B3" s="201"/>
      <c r="C3" s="201"/>
      <c r="D3" s="201"/>
      <c r="E3" s="201"/>
      <c r="F3" s="201"/>
      <c r="G3" s="201"/>
      <c r="H3" s="201"/>
      <c r="I3" s="202"/>
    </row>
    <row r="4" spans="1:13" ht="13.8" thickTop="1" x14ac:dyDescent="0.25">
      <c r="A4" s="203" t="s">
        <v>130</v>
      </c>
      <c r="B4" s="204">
        <v>129097</v>
      </c>
      <c r="C4" s="205"/>
      <c r="E4" s="205"/>
      <c r="F4" s="198"/>
      <c r="G4" s="198"/>
      <c r="H4" s="198"/>
      <c r="I4" s="199"/>
    </row>
    <row r="5" spans="1:13" x14ac:dyDescent="0.25">
      <c r="A5" s="203" t="s">
        <v>131</v>
      </c>
      <c r="B5" s="204">
        <v>54204</v>
      </c>
      <c r="C5" s="205"/>
      <c r="E5" s="206"/>
      <c r="F5" s="198"/>
      <c r="G5" s="198"/>
      <c r="H5" s="198"/>
      <c r="I5" s="199"/>
    </row>
    <row r="6" spans="1:13" ht="13.8" thickBot="1" x14ac:dyDescent="0.3">
      <c r="A6" s="207" t="s">
        <v>132</v>
      </c>
      <c r="B6" s="208">
        <f>B5/B4</f>
        <v>0.41987033006189145</v>
      </c>
      <c r="C6" s="209"/>
      <c r="D6" s="209"/>
      <c r="E6" s="209"/>
      <c r="F6" s="210"/>
      <c r="G6" s="210"/>
      <c r="H6" s="201"/>
      <c r="I6" s="202"/>
    </row>
    <row r="7" spans="1:13" ht="13.8" thickTop="1" x14ac:dyDescent="0.25">
      <c r="A7" s="197"/>
      <c r="B7" s="211">
        <v>2002</v>
      </c>
      <c r="C7" s="212" t="s">
        <v>58</v>
      </c>
      <c r="D7" s="211">
        <v>2003</v>
      </c>
      <c r="E7" s="212" t="s">
        <v>58</v>
      </c>
      <c r="F7" s="211">
        <v>2004</v>
      </c>
      <c r="G7" s="212" t="s">
        <v>58</v>
      </c>
      <c r="H7" s="211" t="s">
        <v>133</v>
      </c>
      <c r="I7" s="213" t="s">
        <v>58</v>
      </c>
      <c r="J7"/>
      <c r="K7"/>
      <c r="L7"/>
      <c r="M7"/>
    </row>
    <row r="8" spans="1:13" x14ac:dyDescent="0.25">
      <c r="A8" s="214"/>
      <c r="B8" s="215" t="s">
        <v>134</v>
      </c>
      <c r="C8" s="216"/>
      <c r="D8" s="215" t="s">
        <v>134</v>
      </c>
      <c r="E8" s="216"/>
      <c r="F8" s="215" t="s">
        <v>134</v>
      </c>
      <c r="G8" s="216"/>
      <c r="H8" s="215" t="s">
        <v>135</v>
      </c>
      <c r="I8" s="217"/>
      <c r="J8"/>
      <c r="K8"/>
      <c r="L8"/>
      <c r="M8"/>
    </row>
    <row r="9" spans="1:13" x14ac:dyDescent="0.25">
      <c r="A9" s="182" t="s">
        <v>136</v>
      </c>
      <c r="B9" s="218"/>
      <c r="C9" s="219"/>
      <c r="D9" s="218"/>
      <c r="E9" s="219"/>
      <c r="F9" s="218"/>
      <c r="G9" s="219"/>
      <c r="H9" s="143"/>
      <c r="I9" s="220"/>
      <c r="J9"/>
      <c r="K9"/>
      <c r="L9"/>
      <c r="M9"/>
    </row>
    <row r="10" spans="1:13" x14ac:dyDescent="0.25">
      <c r="A10" s="182" t="s">
        <v>137</v>
      </c>
      <c r="B10" s="221">
        <v>488318.57</v>
      </c>
      <c r="C10" s="222">
        <f t="shared" ref="C10:C18" si="0">B10/$B$4</f>
        <v>3.7825710124944809</v>
      </c>
      <c r="D10" s="221">
        <v>466546.99</v>
      </c>
      <c r="E10" s="222">
        <f t="shared" ref="E10:E18" si="1">D10/$B$4</f>
        <v>3.6139258851871072</v>
      </c>
      <c r="F10" s="221">
        <v>381265</v>
      </c>
      <c r="G10" s="222">
        <f t="shared" ref="G10:G18" si="2">F10/$B$4</f>
        <v>2.9533219207262755</v>
      </c>
      <c r="H10" s="223">
        <v>538926</v>
      </c>
      <c r="I10" s="224">
        <f t="shared" ref="I10:I18" si="3">H10/$B$4</f>
        <v>4.1745819035299041</v>
      </c>
      <c r="J10"/>
      <c r="K10"/>
      <c r="L10"/>
      <c r="M10"/>
    </row>
    <row r="11" spans="1:13" x14ac:dyDescent="0.25">
      <c r="A11" s="182" t="s">
        <v>138</v>
      </c>
      <c r="B11" s="49">
        <v>52865.279999999999</v>
      </c>
      <c r="C11" s="225">
        <f t="shared" si="0"/>
        <v>0.40950045314763317</v>
      </c>
      <c r="D11" s="49">
        <v>44348.69</v>
      </c>
      <c r="E11" s="225">
        <f t="shared" si="1"/>
        <v>0.34352998133186674</v>
      </c>
      <c r="F11" s="49">
        <v>29564</v>
      </c>
      <c r="G11" s="225">
        <f t="shared" si="2"/>
        <v>0.22900609619123605</v>
      </c>
      <c r="H11" s="49">
        <v>75478</v>
      </c>
      <c r="I11" s="226">
        <f t="shared" si="3"/>
        <v>0.5846611462698591</v>
      </c>
      <c r="J11"/>
      <c r="K11"/>
      <c r="L11"/>
      <c r="M11"/>
    </row>
    <row r="12" spans="1:13" x14ac:dyDescent="0.25">
      <c r="A12" s="182" t="s">
        <v>139</v>
      </c>
      <c r="B12" s="49">
        <v>2591.04</v>
      </c>
      <c r="C12" s="225">
        <f t="shared" si="0"/>
        <v>2.007048963182723E-2</v>
      </c>
      <c r="D12" s="49">
        <v>2080.6999999999998</v>
      </c>
      <c r="E12" s="225">
        <f t="shared" si="1"/>
        <v>1.611733812559548E-2</v>
      </c>
      <c r="F12" s="49">
        <v>822</v>
      </c>
      <c r="G12" s="225">
        <f t="shared" si="2"/>
        <v>6.3673052046135849E-3</v>
      </c>
      <c r="H12" s="49">
        <v>11472</v>
      </c>
      <c r="I12" s="226">
        <f t="shared" si="3"/>
        <v>8.8863412782636306E-2</v>
      </c>
      <c r="J12"/>
      <c r="K12"/>
      <c r="L12"/>
      <c r="M12"/>
    </row>
    <row r="13" spans="1:13" x14ac:dyDescent="0.25">
      <c r="A13" s="182" t="s">
        <v>140</v>
      </c>
      <c r="B13" s="49">
        <v>63202.080000000002</v>
      </c>
      <c r="C13" s="225">
        <f t="shared" si="0"/>
        <v>0.48957047801265718</v>
      </c>
      <c r="D13" s="49">
        <v>51029.98</v>
      </c>
      <c r="E13" s="225">
        <f t="shared" si="1"/>
        <v>0.39528401124735668</v>
      </c>
      <c r="F13" s="49">
        <v>30199</v>
      </c>
      <c r="G13" s="225">
        <f t="shared" si="2"/>
        <v>0.23392487819236699</v>
      </c>
      <c r="H13" s="49">
        <v>64245</v>
      </c>
      <c r="I13" s="226">
        <f t="shared" si="3"/>
        <v>0.49764905458686104</v>
      </c>
      <c r="J13"/>
      <c r="K13"/>
      <c r="L13"/>
      <c r="M13"/>
    </row>
    <row r="14" spans="1:13" x14ac:dyDescent="0.25">
      <c r="A14" s="182" t="s">
        <v>141</v>
      </c>
      <c r="B14" s="49">
        <v>5347.36</v>
      </c>
      <c r="C14" s="225">
        <f t="shared" si="0"/>
        <v>4.1421256884358271E-2</v>
      </c>
      <c r="D14" s="49">
        <v>4623.1099999999997</v>
      </c>
      <c r="E14" s="225">
        <f t="shared" si="1"/>
        <v>3.5811134263383344E-2</v>
      </c>
      <c r="F14" s="49">
        <v>4500</v>
      </c>
      <c r="G14" s="225">
        <f t="shared" si="2"/>
        <v>3.4857510244234953E-2</v>
      </c>
      <c r="H14" s="49">
        <v>0</v>
      </c>
      <c r="I14" s="226">
        <f t="shared" si="3"/>
        <v>0</v>
      </c>
      <c r="J14"/>
      <c r="K14"/>
      <c r="L14"/>
      <c r="M14"/>
    </row>
    <row r="15" spans="1:13" x14ac:dyDescent="0.25">
      <c r="A15" s="182" t="s">
        <v>142</v>
      </c>
      <c r="B15" s="49">
        <v>8224.6200000000008</v>
      </c>
      <c r="C15" s="225">
        <f t="shared" si="0"/>
        <v>6.3708839089986605E-2</v>
      </c>
      <c r="D15" s="49">
        <v>0</v>
      </c>
      <c r="E15" s="225">
        <f t="shared" si="1"/>
        <v>0</v>
      </c>
      <c r="F15" s="49">
        <v>74175</v>
      </c>
      <c r="G15" s="225">
        <f t="shared" si="2"/>
        <v>0.57456796052580617</v>
      </c>
      <c r="H15" s="49">
        <v>0</v>
      </c>
      <c r="I15" s="226">
        <f t="shared" si="3"/>
        <v>0</v>
      </c>
      <c r="J15"/>
      <c r="K15"/>
      <c r="L15"/>
      <c r="M15"/>
    </row>
    <row r="16" spans="1:13" x14ac:dyDescent="0.25">
      <c r="A16" s="182" t="s">
        <v>143</v>
      </c>
      <c r="B16" s="49">
        <v>15.49</v>
      </c>
      <c r="C16" s="225">
        <f t="shared" si="0"/>
        <v>1.1998729637404433E-4</v>
      </c>
      <c r="D16" s="49">
        <v>0</v>
      </c>
      <c r="E16" s="225">
        <f t="shared" si="1"/>
        <v>0</v>
      </c>
      <c r="F16" s="49">
        <v>11375.68</v>
      </c>
      <c r="G16" s="225">
        <f t="shared" si="2"/>
        <v>8.8117307141141937E-2</v>
      </c>
      <c r="H16" s="49">
        <v>0</v>
      </c>
      <c r="I16" s="226">
        <f t="shared" si="3"/>
        <v>0</v>
      </c>
      <c r="J16"/>
      <c r="K16"/>
      <c r="L16"/>
      <c r="M16"/>
    </row>
    <row r="17" spans="1:13" x14ac:dyDescent="0.25">
      <c r="A17" s="182" t="s">
        <v>144</v>
      </c>
      <c r="B17" s="49">
        <v>50</v>
      </c>
      <c r="C17" s="225">
        <f t="shared" si="0"/>
        <v>3.8730566938038836E-4</v>
      </c>
      <c r="D17" s="49">
        <v>63.33</v>
      </c>
      <c r="E17" s="225">
        <f t="shared" si="1"/>
        <v>4.9056136083719989E-4</v>
      </c>
      <c r="F17" s="49">
        <v>32.01</v>
      </c>
      <c r="G17" s="225">
        <f t="shared" si="2"/>
        <v>2.4795308953732463E-4</v>
      </c>
      <c r="H17" s="49">
        <v>0</v>
      </c>
      <c r="I17" s="226">
        <f t="shared" si="3"/>
        <v>0</v>
      </c>
      <c r="J17"/>
      <c r="K17"/>
      <c r="L17"/>
      <c r="M17"/>
    </row>
    <row r="18" spans="1:13" ht="13.8" thickBot="1" x14ac:dyDescent="0.3">
      <c r="A18" s="227" t="s">
        <v>145</v>
      </c>
      <c r="B18" s="228">
        <f>SUM(B10:B17)</f>
        <v>620614.43999999994</v>
      </c>
      <c r="C18" s="229">
        <f t="shared" si="0"/>
        <v>4.8073498222266977</v>
      </c>
      <c r="D18" s="228">
        <f>SUM(D10:D17)</f>
        <v>568692.79999999993</v>
      </c>
      <c r="E18" s="229">
        <f t="shared" si="1"/>
        <v>4.4051589115161462</v>
      </c>
      <c r="F18" s="228">
        <f>SUM(F10:F17)</f>
        <v>531932.69000000006</v>
      </c>
      <c r="G18" s="229">
        <f t="shared" si="2"/>
        <v>4.1204109313152131</v>
      </c>
      <c r="H18" s="228">
        <f>SUM(H10:H17)</f>
        <v>690121</v>
      </c>
      <c r="I18" s="230">
        <f t="shared" si="3"/>
        <v>5.3457555171692599</v>
      </c>
      <c r="J18"/>
      <c r="K18"/>
      <c r="L18"/>
      <c r="M18"/>
    </row>
    <row r="19" spans="1:13" ht="13.8" thickTop="1" x14ac:dyDescent="0.25">
      <c r="A19" s="231"/>
      <c r="B19" s="211"/>
      <c r="C19" s="232"/>
      <c r="D19" s="233"/>
      <c r="E19" s="232"/>
      <c r="F19" s="233"/>
      <c r="G19" s="232"/>
      <c r="H19" s="211"/>
      <c r="I19" s="213"/>
      <c r="J19"/>
      <c r="K19"/>
      <c r="L19"/>
      <c r="M19"/>
    </row>
    <row r="20" spans="1:13" x14ac:dyDescent="0.25">
      <c r="A20" s="234" t="s">
        <v>146</v>
      </c>
      <c r="B20" s="233"/>
      <c r="C20" s="232"/>
      <c r="D20" s="233"/>
      <c r="E20" s="232"/>
      <c r="F20" s="233"/>
      <c r="G20" s="232"/>
      <c r="H20" s="211"/>
      <c r="I20" s="213"/>
      <c r="J20"/>
      <c r="K20"/>
      <c r="L20"/>
      <c r="M20"/>
    </row>
    <row r="21" spans="1:13" x14ac:dyDescent="0.25">
      <c r="A21" s="235" t="s">
        <v>147</v>
      </c>
      <c r="B21" s="236">
        <v>35679.699999999997</v>
      </c>
      <c r="C21" s="237">
        <f t="shared" ref="C21:C31" si="4">B21/$B$4</f>
        <v>0.27637900183582886</v>
      </c>
      <c r="D21" s="236">
        <v>39392.69</v>
      </c>
      <c r="E21" s="237">
        <f t="shared" ref="E21:E31" si="5">D21/$B$4</f>
        <v>0.30514024338288265</v>
      </c>
      <c r="F21" s="236">
        <v>31876.43</v>
      </c>
      <c r="G21" s="237">
        <f t="shared" ref="G21:G31" si="6">F21/$B$4</f>
        <v>0.24691844117214187</v>
      </c>
      <c r="H21" s="238">
        <v>23853</v>
      </c>
      <c r="I21" s="239">
        <f t="shared" ref="I21:I31" si="7">H21/$B$4</f>
        <v>0.18476804263460808</v>
      </c>
      <c r="J21"/>
      <c r="K21"/>
      <c r="L21"/>
      <c r="M21"/>
    </row>
    <row r="22" spans="1:13" x14ac:dyDescent="0.25">
      <c r="A22" s="235" t="s">
        <v>148</v>
      </c>
      <c r="B22" s="49">
        <v>136597.95000000001</v>
      </c>
      <c r="C22" s="225">
        <f t="shared" si="4"/>
        <v>1.0581032092147766</v>
      </c>
      <c r="D22" s="49">
        <f>66884.09</f>
        <v>66884.09</v>
      </c>
      <c r="E22" s="225">
        <f t="shared" si="5"/>
        <v>0.51809174496696275</v>
      </c>
      <c r="F22" s="49">
        <v>191101.73</v>
      </c>
      <c r="G22" s="225">
        <f t="shared" si="6"/>
        <v>1.4802956691480051</v>
      </c>
      <c r="H22" s="49">
        <v>140000</v>
      </c>
      <c r="I22" s="226">
        <f t="shared" si="7"/>
        <v>1.0844558742650874</v>
      </c>
      <c r="J22"/>
      <c r="K22"/>
      <c r="L22"/>
      <c r="M22"/>
    </row>
    <row r="23" spans="1:13" x14ac:dyDescent="0.25">
      <c r="A23" s="235" t="s">
        <v>149</v>
      </c>
      <c r="B23" s="49">
        <v>14827.5</v>
      </c>
      <c r="C23" s="225">
        <f t="shared" si="4"/>
        <v>0.11485549625475418</v>
      </c>
      <c r="D23" s="49">
        <v>5404.99</v>
      </c>
      <c r="E23" s="225">
        <f t="shared" si="5"/>
        <v>4.186766539888611E-2</v>
      </c>
      <c r="F23" s="49">
        <v>12541.7</v>
      </c>
      <c r="G23" s="225">
        <f t="shared" si="6"/>
        <v>9.7149430273360343E-2</v>
      </c>
      <c r="H23" s="49">
        <v>25000</v>
      </c>
      <c r="I23" s="226">
        <f t="shared" si="7"/>
        <v>0.1936528346901942</v>
      </c>
      <c r="J23"/>
      <c r="K23"/>
      <c r="L23"/>
      <c r="M23"/>
    </row>
    <row r="24" spans="1:13" x14ac:dyDescent="0.25">
      <c r="A24" s="235" t="s">
        <v>150</v>
      </c>
      <c r="B24" s="49">
        <v>37981.75</v>
      </c>
      <c r="C24" s="225">
        <f t="shared" si="4"/>
        <v>0.29421094215977134</v>
      </c>
      <c r="D24" s="49">
        <v>34202.97</v>
      </c>
      <c r="E24" s="225">
        <f t="shared" si="5"/>
        <v>0.26494008381294687</v>
      </c>
      <c r="F24" s="49">
        <v>27327.58</v>
      </c>
      <c r="G24" s="225">
        <f t="shared" si="6"/>
        <v>0.21168253328892231</v>
      </c>
      <c r="H24" s="49">
        <v>40000</v>
      </c>
      <c r="I24" s="226">
        <f t="shared" si="7"/>
        <v>0.30984453550431074</v>
      </c>
      <c r="J24"/>
      <c r="K24"/>
      <c r="L24"/>
      <c r="M24"/>
    </row>
    <row r="25" spans="1:13" x14ac:dyDescent="0.25">
      <c r="A25" s="235" t="s">
        <v>151</v>
      </c>
      <c r="B25" s="49">
        <v>120</v>
      </c>
      <c r="C25" s="225">
        <f t="shared" si="4"/>
        <v>9.2953360651293218E-4</v>
      </c>
      <c r="D25" s="49">
        <v>5888.33</v>
      </c>
      <c r="E25" s="225">
        <f t="shared" si="5"/>
        <v>4.5611671843652446E-2</v>
      </c>
      <c r="F25" s="49">
        <v>2487.33</v>
      </c>
      <c r="G25" s="225">
        <f t="shared" si="6"/>
        <v>1.9267140212398427E-2</v>
      </c>
      <c r="H25" s="49">
        <v>25000</v>
      </c>
      <c r="I25" s="226">
        <f t="shared" si="7"/>
        <v>0.1936528346901942</v>
      </c>
      <c r="J25"/>
      <c r="K25"/>
      <c r="L25"/>
      <c r="M25"/>
    </row>
    <row r="26" spans="1:13" x14ac:dyDescent="0.25">
      <c r="A26" s="235" t="s">
        <v>152</v>
      </c>
      <c r="B26" s="49">
        <v>740.55</v>
      </c>
      <c r="C26" s="225">
        <f t="shared" si="4"/>
        <v>5.7363842691929325E-3</v>
      </c>
      <c r="D26" s="49">
        <v>40523.980000000003</v>
      </c>
      <c r="E26" s="225">
        <f t="shared" si="5"/>
        <v>0.31390334399714948</v>
      </c>
      <c r="F26" s="49">
        <v>3709.32</v>
      </c>
      <c r="G26" s="225">
        <f t="shared" si="6"/>
        <v>2.8732813310921246E-2</v>
      </c>
      <c r="H26" s="49">
        <v>46000</v>
      </c>
      <c r="I26" s="226">
        <f t="shared" si="7"/>
        <v>0.35632121582995729</v>
      </c>
      <c r="J26"/>
      <c r="K26"/>
      <c r="L26"/>
      <c r="M26"/>
    </row>
    <row r="27" spans="1:13" x14ac:dyDescent="0.25">
      <c r="A27" s="235" t="s">
        <v>153</v>
      </c>
      <c r="B27" s="49">
        <v>19663</v>
      </c>
      <c r="C27" s="225">
        <f t="shared" si="4"/>
        <v>0.15231182754053155</v>
      </c>
      <c r="D27" s="49">
        <v>11825.5</v>
      </c>
      <c r="E27" s="225">
        <f t="shared" si="5"/>
        <v>9.1601663865155655E-2</v>
      </c>
      <c r="F27" s="49">
        <v>12669</v>
      </c>
      <c r="G27" s="225">
        <f t="shared" si="6"/>
        <v>9.8135510507602816E-2</v>
      </c>
      <c r="H27" s="49">
        <v>15000</v>
      </c>
      <c r="I27" s="226">
        <f t="shared" si="7"/>
        <v>0.11619170081411652</v>
      </c>
      <c r="J27"/>
      <c r="K27"/>
      <c r="L27"/>
      <c r="M27"/>
    </row>
    <row r="28" spans="1:13" x14ac:dyDescent="0.25">
      <c r="A28" s="235" t="s">
        <v>154</v>
      </c>
      <c r="B28" s="49">
        <v>256.42</v>
      </c>
      <c r="C28" s="225">
        <f t="shared" si="4"/>
        <v>1.986258394850384E-3</v>
      </c>
      <c r="D28" s="49">
        <v>313.99</v>
      </c>
      <c r="E28" s="225">
        <f t="shared" si="5"/>
        <v>2.4322021425749632E-3</v>
      </c>
      <c r="F28" s="49">
        <v>3382.84</v>
      </c>
      <c r="G28" s="225">
        <f t="shared" si="6"/>
        <v>2.6203862212135061E-2</v>
      </c>
      <c r="H28" s="49">
        <v>10000</v>
      </c>
      <c r="I28" s="226">
        <f t="shared" si="7"/>
        <v>7.7461133876077684E-2</v>
      </c>
      <c r="J28"/>
      <c r="K28"/>
      <c r="L28"/>
      <c r="M28"/>
    </row>
    <row r="29" spans="1:13" x14ac:dyDescent="0.25">
      <c r="A29" s="235" t="s">
        <v>155</v>
      </c>
      <c r="B29" s="49">
        <v>439.13</v>
      </c>
      <c r="C29" s="225">
        <f t="shared" si="4"/>
        <v>3.4015507719001989E-3</v>
      </c>
      <c r="D29" s="49">
        <v>343.52</v>
      </c>
      <c r="E29" s="225">
        <f t="shared" si="5"/>
        <v>2.6609448709110201E-3</v>
      </c>
      <c r="F29" s="49">
        <v>400</v>
      </c>
      <c r="G29" s="225">
        <f t="shared" si="6"/>
        <v>3.0984453550431069E-3</v>
      </c>
      <c r="H29" s="49">
        <v>0</v>
      </c>
      <c r="I29" s="226">
        <f t="shared" si="7"/>
        <v>0</v>
      </c>
      <c r="J29"/>
      <c r="K29"/>
      <c r="L29"/>
      <c r="M29"/>
    </row>
    <row r="30" spans="1:13" x14ac:dyDescent="0.25">
      <c r="A30" s="235" t="s">
        <v>156</v>
      </c>
      <c r="B30" s="49">
        <v>1370.9</v>
      </c>
      <c r="C30" s="225">
        <f t="shared" si="4"/>
        <v>1.0619146843071489E-2</v>
      </c>
      <c r="D30" s="49">
        <v>1228.93</v>
      </c>
      <c r="E30" s="225">
        <f t="shared" si="5"/>
        <v>9.5194311254328152E-3</v>
      </c>
      <c r="F30" s="49">
        <v>3173</v>
      </c>
      <c r="G30" s="225">
        <f t="shared" si="6"/>
        <v>2.4578417778879449E-2</v>
      </c>
      <c r="H30" s="49">
        <v>0</v>
      </c>
      <c r="I30" s="226">
        <f t="shared" si="7"/>
        <v>0</v>
      </c>
      <c r="J30"/>
      <c r="K30"/>
      <c r="L30"/>
      <c r="M30"/>
    </row>
    <row r="31" spans="1:13" ht="13.8" thickBot="1" x14ac:dyDescent="0.3">
      <c r="A31" s="227" t="s">
        <v>157</v>
      </c>
      <c r="B31" s="228">
        <f>SUM(B21:B30)</f>
        <v>247676.90000000002</v>
      </c>
      <c r="C31" s="229">
        <f t="shared" si="4"/>
        <v>1.9185333508911906</v>
      </c>
      <c r="D31" s="228">
        <f>SUM(D21:D30)</f>
        <v>206008.98999999996</v>
      </c>
      <c r="E31" s="229">
        <f t="shared" si="5"/>
        <v>1.5957689954065544</v>
      </c>
      <c r="F31" s="228">
        <f>SUM(F21:F30)</f>
        <v>288668.93000000005</v>
      </c>
      <c r="G31" s="229">
        <f t="shared" si="6"/>
        <v>2.2360622632594098</v>
      </c>
      <c r="H31" s="228">
        <f>SUM(H21:H30)</f>
        <v>324853</v>
      </c>
      <c r="I31" s="230">
        <f t="shared" si="7"/>
        <v>2.516348172304546</v>
      </c>
      <c r="J31"/>
      <c r="K31"/>
      <c r="L31"/>
      <c r="M31"/>
    </row>
    <row r="32" spans="1:13" ht="13.8" thickTop="1" x14ac:dyDescent="0.25">
      <c r="A32" s="234" t="s">
        <v>158</v>
      </c>
      <c r="B32" s="204"/>
      <c r="C32" s="240"/>
      <c r="D32" s="204"/>
      <c r="E32" s="240"/>
      <c r="F32" s="204"/>
      <c r="G32" s="240"/>
      <c r="H32" s="206" t="s">
        <v>100</v>
      </c>
      <c r="I32" s="241"/>
      <c r="J32"/>
      <c r="K32"/>
      <c r="L32"/>
      <c r="M32"/>
    </row>
    <row r="33" spans="1:13" x14ac:dyDescent="0.25">
      <c r="A33" s="235" t="s">
        <v>159</v>
      </c>
      <c r="B33" s="236">
        <v>20098.75</v>
      </c>
      <c r="C33" s="237">
        <f t="shared" ref="C33:C38" si="8">B33/$B$4</f>
        <v>0.15568719644918164</v>
      </c>
      <c r="D33" s="236">
        <v>28378.03</v>
      </c>
      <c r="E33" s="237">
        <f t="shared" ref="E33:E38" si="9">D33/$B$4</f>
        <v>0.21981943809693485</v>
      </c>
      <c r="F33" s="236">
        <v>18816.2</v>
      </c>
      <c r="G33" s="237">
        <f t="shared" ref="G33:G38" si="10">F33/$B$4</f>
        <v>0.14575241872390529</v>
      </c>
      <c r="H33" s="242">
        <v>0</v>
      </c>
      <c r="I33" s="243">
        <f t="shared" ref="I33:I38" si="11">H33/$B$4</f>
        <v>0</v>
      </c>
      <c r="J33"/>
      <c r="K33"/>
      <c r="L33"/>
      <c r="M33"/>
    </row>
    <row r="34" spans="1:13" x14ac:dyDescent="0.25">
      <c r="A34" s="235" t="s">
        <v>160</v>
      </c>
      <c r="B34" s="49">
        <v>5821</v>
      </c>
      <c r="C34" s="225">
        <f t="shared" si="8"/>
        <v>4.5090126029264814E-2</v>
      </c>
      <c r="D34" s="49">
        <v>5513</v>
      </c>
      <c r="E34" s="225">
        <f t="shared" si="9"/>
        <v>4.2704323105881625E-2</v>
      </c>
      <c r="F34" s="49">
        <v>5306</v>
      </c>
      <c r="G34" s="225">
        <f t="shared" si="10"/>
        <v>4.1100877634646815E-2</v>
      </c>
      <c r="H34" s="244">
        <v>0</v>
      </c>
      <c r="I34" s="243">
        <f t="shared" si="11"/>
        <v>0</v>
      </c>
      <c r="J34"/>
      <c r="K34"/>
      <c r="L34"/>
      <c r="M34"/>
    </row>
    <row r="35" spans="1:13" x14ac:dyDescent="0.25">
      <c r="A35" s="235" t="s">
        <v>161</v>
      </c>
      <c r="B35" s="49">
        <v>504</v>
      </c>
      <c r="C35" s="225">
        <f t="shared" si="8"/>
        <v>3.904041147354315E-3</v>
      </c>
      <c r="D35" s="49">
        <v>1890.6</v>
      </c>
      <c r="E35" s="225">
        <f t="shared" si="9"/>
        <v>1.4644801970611245E-2</v>
      </c>
      <c r="F35" s="49">
        <v>4103.8</v>
      </c>
      <c r="G35" s="225">
        <f t="shared" si="10"/>
        <v>3.1788500120064761E-2</v>
      </c>
      <c r="H35" s="244">
        <v>0</v>
      </c>
      <c r="I35" s="243">
        <f t="shared" si="11"/>
        <v>0</v>
      </c>
      <c r="J35"/>
      <c r="K35"/>
      <c r="L35"/>
      <c r="M35"/>
    </row>
    <row r="36" spans="1:13" x14ac:dyDescent="0.25">
      <c r="A36" s="235" t="s">
        <v>162</v>
      </c>
      <c r="B36" s="49">
        <v>4381.34</v>
      </c>
      <c r="C36" s="225">
        <f t="shared" si="8"/>
        <v>3.393835642966142E-2</v>
      </c>
      <c r="D36" s="49">
        <v>0</v>
      </c>
      <c r="E36" s="225">
        <f t="shared" si="9"/>
        <v>0</v>
      </c>
      <c r="F36" s="49">
        <v>19265.25</v>
      </c>
      <c r="G36" s="225">
        <f t="shared" si="10"/>
        <v>0.14923081094061055</v>
      </c>
      <c r="H36" s="244">
        <v>0</v>
      </c>
      <c r="I36" s="243">
        <f t="shared" si="11"/>
        <v>0</v>
      </c>
      <c r="J36"/>
      <c r="K36"/>
      <c r="L36"/>
      <c r="M36"/>
    </row>
    <row r="37" spans="1:13" ht="13.8" thickBot="1" x14ac:dyDescent="0.3">
      <c r="A37" s="227" t="s">
        <v>163</v>
      </c>
      <c r="B37" s="228">
        <f>SUM(B33:B36)</f>
        <v>30805.09</v>
      </c>
      <c r="C37" s="229">
        <f t="shared" si="8"/>
        <v>0.23861972005546217</v>
      </c>
      <c r="D37" s="228">
        <f>SUM(D33:D36)</f>
        <v>35781.629999999997</v>
      </c>
      <c r="E37" s="229">
        <f t="shared" si="9"/>
        <v>0.2771685631734277</v>
      </c>
      <c r="F37" s="228">
        <f>SUM(F33:F36)</f>
        <v>47491.25</v>
      </c>
      <c r="G37" s="229">
        <f t="shared" si="10"/>
        <v>0.36787260741922739</v>
      </c>
      <c r="H37" s="245">
        <f>SUM(H33:H36)</f>
        <v>0</v>
      </c>
      <c r="I37" s="230">
        <f t="shared" si="11"/>
        <v>0</v>
      </c>
      <c r="J37"/>
      <c r="K37"/>
      <c r="L37"/>
      <c r="M37"/>
    </row>
    <row r="38" spans="1:13" ht="14.4" thickTop="1" thickBot="1" x14ac:dyDescent="0.3">
      <c r="A38" s="200" t="s">
        <v>164</v>
      </c>
      <c r="B38" s="246">
        <f>B18-B31-B37</f>
        <v>342132.4499999999</v>
      </c>
      <c r="C38" s="247">
        <f t="shared" si="8"/>
        <v>2.6501967512800446</v>
      </c>
      <c r="D38" s="246">
        <f>D18-D31-D37</f>
        <v>326902.17999999993</v>
      </c>
      <c r="E38" s="247">
        <f t="shared" si="9"/>
        <v>2.5322213529361637</v>
      </c>
      <c r="F38" s="246">
        <f>F18-F31-F37</f>
        <v>195772.51</v>
      </c>
      <c r="G38" s="247">
        <f t="shared" si="10"/>
        <v>1.5164760606365757</v>
      </c>
      <c r="H38" s="246">
        <f>H18-H31-H37</f>
        <v>365268</v>
      </c>
      <c r="I38" s="248">
        <f t="shared" si="11"/>
        <v>2.8294073448647143</v>
      </c>
      <c r="J38"/>
      <c r="K38"/>
      <c r="L38"/>
      <c r="M38"/>
    </row>
    <row r="39" spans="1:13" ht="13.8" thickTop="1" x14ac:dyDescent="0.25">
      <c r="A39" s="249"/>
      <c r="J39"/>
      <c r="K39"/>
      <c r="L39"/>
      <c r="M39"/>
    </row>
    <row r="40" spans="1:13" x14ac:dyDescent="0.25">
      <c r="A40" s="198" t="s">
        <v>172</v>
      </c>
      <c r="J40"/>
      <c r="K40"/>
      <c r="L40"/>
      <c r="M40"/>
    </row>
    <row r="41" spans="1:13" x14ac:dyDescent="0.25">
      <c r="A41" s="179"/>
      <c r="J41"/>
      <c r="K41"/>
      <c r="L41"/>
      <c r="M41"/>
    </row>
    <row r="42" spans="1:13" x14ac:dyDescent="0.25">
      <c r="A42" s="179"/>
      <c r="J42"/>
      <c r="K42"/>
      <c r="L42"/>
      <c r="M42"/>
    </row>
    <row r="43" spans="1:13" x14ac:dyDescent="0.25">
      <c r="J43"/>
      <c r="K43"/>
      <c r="L43"/>
      <c r="M43"/>
    </row>
    <row r="44" spans="1:13" x14ac:dyDescent="0.25">
      <c r="A44" s="179"/>
      <c r="J44"/>
      <c r="K44"/>
      <c r="L44"/>
      <c r="M44"/>
    </row>
    <row r="45" spans="1:13" x14ac:dyDescent="0.25">
      <c r="J45"/>
      <c r="K45"/>
      <c r="L45"/>
      <c r="M45"/>
    </row>
    <row r="46" spans="1:13" x14ac:dyDescent="0.25">
      <c r="A46" s="179"/>
      <c r="J46"/>
      <c r="K46"/>
      <c r="L46"/>
      <c r="M46"/>
    </row>
    <row r="47" spans="1:13" x14ac:dyDescent="0.25">
      <c r="J47"/>
      <c r="K47"/>
      <c r="L47"/>
      <c r="M47"/>
    </row>
    <row r="48" spans="1:13" x14ac:dyDescent="0.25">
      <c r="A48" s="179"/>
      <c r="J48"/>
      <c r="K48"/>
      <c r="L48"/>
      <c r="M48"/>
    </row>
    <row r="50" spans="1:13" x14ac:dyDescent="0.25">
      <c r="A50" s="179"/>
      <c r="B50" s="179"/>
      <c r="C50" s="179"/>
    </row>
    <row r="53" spans="1:13" x14ac:dyDescent="0.25">
      <c r="A53" s="179"/>
      <c r="B53" s="179"/>
      <c r="C53" s="179"/>
    </row>
    <row r="55" spans="1:13" ht="15.6" x14ac:dyDescent="0.25">
      <c r="A55" s="178"/>
      <c r="B55" s="178"/>
      <c r="C55" s="178"/>
      <c r="F55" s="137"/>
    </row>
    <row r="57" spans="1:13" x14ac:dyDescent="0.25">
      <c r="D57" s="49"/>
      <c r="E57" s="49"/>
    </row>
    <row r="58" spans="1:13" x14ac:dyDescent="0.25">
      <c r="D58" s="49"/>
      <c r="E58" s="49"/>
      <c r="F58" s="49"/>
      <c r="G58" s="49"/>
      <c r="L58" s="49"/>
      <c r="M58" s="49"/>
    </row>
    <row r="59" spans="1:13" x14ac:dyDescent="0.25">
      <c r="D59" s="49"/>
      <c r="E59" s="49"/>
      <c r="F59" s="49"/>
      <c r="G59" s="49"/>
      <c r="L59" s="49"/>
      <c r="M59" s="49"/>
    </row>
    <row r="60" spans="1:13" x14ac:dyDescent="0.25">
      <c r="D60" s="49"/>
      <c r="F60" s="49"/>
    </row>
    <row r="61" spans="1:13" x14ac:dyDescent="0.25">
      <c r="D61" s="49"/>
      <c r="F61" s="49"/>
    </row>
    <row r="62" spans="1:13" x14ac:dyDescent="0.25">
      <c r="D62" s="49"/>
      <c r="F62" s="49"/>
    </row>
    <row r="63" spans="1:13" x14ac:dyDescent="0.25">
      <c r="D63" s="49"/>
      <c r="F63" s="49"/>
    </row>
    <row r="64" spans="1:13" x14ac:dyDescent="0.25">
      <c r="D64" s="49"/>
      <c r="F64" s="49"/>
    </row>
    <row r="65" spans="4:6" x14ac:dyDescent="0.25">
      <c r="D65" s="49"/>
      <c r="F65" s="49"/>
    </row>
    <row r="66" spans="4:6" x14ac:dyDescent="0.25">
      <c r="D66" s="49"/>
      <c r="F66" s="49"/>
    </row>
    <row r="67" spans="4:6" x14ac:dyDescent="0.25">
      <c r="D67" s="49"/>
      <c r="F67" s="49"/>
    </row>
    <row r="68" spans="4:6" x14ac:dyDescent="0.25">
      <c r="D68" s="49"/>
    </row>
    <row r="69" spans="4:6" x14ac:dyDescent="0.25">
      <c r="D69" s="49"/>
    </row>
    <row r="70" spans="4:6" x14ac:dyDescent="0.25">
      <c r="D70" s="49"/>
    </row>
    <row r="71" spans="4:6" x14ac:dyDescent="0.25">
      <c r="D71" s="49"/>
    </row>
    <row r="72" spans="4:6" x14ac:dyDescent="0.25">
      <c r="D72" s="49"/>
    </row>
    <row r="73" spans="4:6" x14ac:dyDescent="0.25">
      <c r="D73" s="49"/>
    </row>
    <row r="74" spans="4:6" x14ac:dyDescent="0.25">
      <c r="D74" s="49"/>
    </row>
    <row r="75" spans="4:6" x14ac:dyDescent="0.25">
      <c r="D75" s="49"/>
    </row>
    <row r="76" spans="4:6" x14ac:dyDescent="0.25">
      <c r="D76" s="49"/>
    </row>
  </sheetData>
  <phoneticPr fontId="13" type="noConversion"/>
  <pageMargins left="0.75" right="0.75" top="1" bottom="1" header="0.5" footer="0.5"/>
  <pageSetup scale="91" orientation="landscape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B1:U260"/>
  <sheetViews>
    <sheetView zoomScale="90" zoomScaleNormal="90" workbookViewId="0">
      <selection activeCell="H6" sqref="H6"/>
    </sheetView>
  </sheetViews>
  <sheetFormatPr defaultColWidth="12.44140625" defaultRowHeight="13.8" x14ac:dyDescent="0.3"/>
  <cols>
    <col min="1" max="5" width="1.77734375" style="571" customWidth="1"/>
    <col min="6" max="6" width="45.44140625" style="571" customWidth="1"/>
    <col min="7" max="7" width="15.109375" style="571" customWidth="1"/>
    <col min="8" max="8" width="18.88671875" style="571" bestFit="1" customWidth="1"/>
    <col min="9" max="9" width="15" style="571" customWidth="1"/>
    <col min="10" max="10" width="16.44140625" style="571" customWidth="1"/>
    <col min="11" max="11" width="15.88671875" style="571" customWidth="1"/>
    <col min="12" max="12" width="16.44140625" style="571" bestFit="1" customWidth="1"/>
    <col min="13" max="14" width="15.88671875" style="571" customWidth="1"/>
    <col min="15" max="15" width="20.21875" style="571" customWidth="1"/>
    <col min="16" max="16" width="15.88671875" style="571" customWidth="1"/>
    <col min="17" max="17" width="21.88671875" style="571" bestFit="1" customWidth="1"/>
    <col min="18" max="19" width="15.88671875" style="571" customWidth="1"/>
    <col min="20" max="20" width="1.77734375" style="571" customWidth="1"/>
    <col min="21" max="21" width="16.77734375" style="571" customWidth="1"/>
    <col min="22" max="16384" width="12.44140625" style="571"/>
  </cols>
  <sheetData>
    <row r="1" spans="2:21" ht="14.4" thickBot="1" x14ac:dyDescent="0.35"/>
    <row r="2" spans="2:21" ht="15" thickTop="1" thickBot="1" x14ac:dyDescent="0.35">
      <c r="B2" s="572"/>
      <c r="C2" s="573"/>
      <c r="D2" s="573"/>
      <c r="E2" s="573"/>
      <c r="F2" s="573"/>
      <c r="G2" s="573"/>
      <c r="H2" s="573"/>
      <c r="I2" s="573"/>
      <c r="J2" s="573"/>
      <c r="K2" s="573"/>
      <c r="L2" s="573"/>
      <c r="M2" s="573"/>
      <c r="N2" s="573"/>
      <c r="O2" s="573"/>
      <c r="P2" s="573"/>
      <c r="Q2" s="573"/>
      <c r="R2" s="573"/>
      <c r="S2" s="573"/>
      <c r="T2" s="574"/>
    </row>
    <row r="3" spans="2:21" ht="14.4" thickBot="1" x14ac:dyDescent="0.35">
      <c r="B3" s="575"/>
      <c r="C3" s="1003" t="s">
        <v>374</v>
      </c>
      <c r="D3" s="1004"/>
      <c r="E3" s="1004"/>
      <c r="F3" s="1004"/>
      <c r="G3" s="1004"/>
      <c r="H3" s="1005"/>
      <c r="I3" s="579"/>
      <c r="J3" s="1003" t="s">
        <v>270</v>
      </c>
      <c r="K3" s="1004"/>
      <c r="L3" s="1004"/>
      <c r="M3" s="1005"/>
      <c r="N3" s="579"/>
      <c r="O3" s="1003" t="s">
        <v>299</v>
      </c>
      <c r="P3" s="1004"/>
      <c r="Q3" s="1004"/>
      <c r="R3" s="1004"/>
      <c r="S3" s="1005"/>
      <c r="T3" s="576"/>
    </row>
    <row r="4" spans="2:21" x14ac:dyDescent="0.3">
      <c r="B4" s="575"/>
      <c r="C4" s="764" t="s">
        <v>483</v>
      </c>
      <c r="H4" s="711"/>
      <c r="J4" s="742" t="s">
        <v>379</v>
      </c>
      <c r="K4" s="778" t="s">
        <v>535</v>
      </c>
      <c r="L4" s="778" t="s">
        <v>608</v>
      </c>
      <c r="M4" s="715" t="s">
        <v>609</v>
      </c>
      <c r="O4" s="742"/>
      <c r="Q4" s="577" t="s">
        <v>117</v>
      </c>
      <c r="R4" s="578" t="s">
        <v>298</v>
      </c>
      <c r="S4" s="774" t="s">
        <v>247</v>
      </c>
      <c r="T4" s="576"/>
    </row>
    <row r="5" spans="2:21" x14ac:dyDescent="0.3">
      <c r="B5" s="575"/>
      <c r="C5" s="764"/>
      <c r="E5" s="571" t="s">
        <v>494</v>
      </c>
      <c r="G5" s="560">
        <f>'Purchase Price'!O5</f>
        <v>1334287.28</v>
      </c>
      <c r="H5" s="711"/>
      <c r="J5" s="941">
        <v>589933</v>
      </c>
      <c r="K5" s="779">
        <f>J5/43560</f>
        <v>13.542998163452708</v>
      </c>
      <c r="L5" s="577" t="s">
        <v>655</v>
      </c>
      <c r="M5" s="790">
        <f>Clubhouse!C4</f>
        <v>2120</v>
      </c>
      <c r="O5" s="710" t="s">
        <v>509</v>
      </c>
      <c r="Q5" s="580">
        <f>G5</f>
        <v>1334287.28</v>
      </c>
      <c r="R5" s="581">
        <f t="shared" ref="R5:R12" si="0">Q5/K$7</f>
        <v>18531.767777777779</v>
      </c>
      <c r="S5" s="775">
        <f t="shared" ref="S5:S12" si="1">Q5/K$8</f>
        <v>20.590853086419752</v>
      </c>
      <c r="T5" s="576"/>
    </row>
    <row r="6" spans="2:21" x14ac:dyDescent="0.3">
      <c r="B6" s="575"/>
      <c r="C6" s="764"/>
      <c r="E6" s="571" t="s">
        <v>902</v>
      </c>
      <c r="G6" s="560">
        <v>0</v>
      </c>
      <c r="H6" s="711"/>
      <c r="J6" s="764"/>
      <c r="L6" s="599" t="s">
        <v>802</v>
      </c>
      <c r="M6" s="711"/>
      <c r="O6" s="710" t="s">
        <v>296</v>
      </c>
      <c r="Q6" s="580">
        <v>0</v>
      </c>
      <c r="R6" s="581">
        <f t="shared" si="0"/>
        <v>0</v>
      </c>
      <c r="S6" s="775">
        <f t="shared" si="1"/>
        <v>0</v>
      </c>
      <c r="T6" s="576"/>
    </row>
    <row r="7" spans="2:21" x14ac:dyDescent="0.3">
      <c r="B7" s="575"/>
      <c r="C7" s="764"/>
      <c r="D7" s="571" t="s">
        <v>265</v>
      </c>
      <c r="G7" s="560">
        <f>-K22</f>
        <v>-1175000</v>
      </c>
      <c r="H7" s="792">
        <f>-G7/SUM(G5:G6)</f>
        <v>0.88061995164939288</v>
      </c>
      <c r="J7" s="889" t="s">
        <v>657</v>
      </c>
      <c r="K7" s="781">
        <f>'Rent Roll'!C3</f>
        <v>72</v>
      </c>
      <c r="M7" s="711"/>
      <c r="O7" s="710" t="s">
        <v>297</v>
      </c>
      <c r="Q7" s="580">
        <f>Infrastructure!D34</f>
        <v>1368706</v>
      </c>
      <c r="R7" s="581">
        <f t="shared" si="0"/>
        <v>19009.805555555555</v>
      </c>
      <c r="S7" s="775">
        <f t="shared" si="1"/>
        <v>21.122006172839505</v>
      </c>
      <c r="T7" s="576"/>
      <c r="U7" s="582"/>
    </row>
    <row r="8" spans="2:21" x14ac:dyDescent="0.3">
      <c r="B8" s="575"/>
      <c r="C8" s="764"/>
      <c r="D8" s="571" t="s">
        <v>292</v>
      </c>
      <c r="G8" s="560">
        <f>-K23</f>
        <v>0</v>
      </c>
      <c r="H8" s="711"/>
      <c r="J8" s="824" t="s">
        <v>654</v>
      </c>
      <c r="K8" s="780">
        <f>K7*900</f>
        <v>64800</v>
      </c>
      <c r="L8" s="845" t="s">
        <v>899</v>
      </c>
      <c r="M8" s="908" t="s">
        <v>900</v>
      </c>
      <c r="O8" s="710" t="s">
        <v>610</v>
      </c>
      <c r="Q8" s="580">
        <f>'Cost Curves'!F22</f>
        <v>631000</v>
      </c>
      <c r="R8" s="581">
        <f t="shared" si="0"/>
        <v>8763.8888888888887</v>
      </c>
      <c r="S8" s="775">
        <f t="shared" si="1"/>
        <v>9.7376543209876552</v>
      </c>
      <c r="T8" s="576"/>
    </row>
    <row r="9" spans="2:21" x14ac:dyDescent="0.3">
      <c r="B9" s="575"/>
      <c r="C9" s="764"/>
      <c r="D9" s="571" t="s">
        <v>266</v>
      </c>
      <c r="G9" s="560">
        <f>'Org. &amp; Closing Costs'!G28</f>
        <v>17000</v>
      </c>
      <c r="H9" s="711"/>
      <c r="J9" s="824" t="s">
        <v>776</v>
      </c>
      <c r="K9" s="599">
        <v>2</v>
      </c>
      <c r="L9" s="909">
        <v>0.7</v>
      </c>
      <c r="M9" s="910">
        <v>0.5</v>
      </c>
      <c r="O9" s="710" t="s">
        <v>249</v>
      </c>
      <c r="Q9" s="580">
        <f>'Cost Curves'!F35</f>
        <v>498000</v>
      </c>
      <c r="R9" s="581">
        <f t="shared" si="0"/>
        <v>6916.666666666667</v>
      </c>
      <c r="S9" s="775">
        <f t="shared" si="1"/>
        <v>7.6851851851851851</v>
      </c>
      <c r="T9" s="576"/>
    </row>
    <row r="10" spans="2:21" x14ac:dyDescent="0.3">
      <c r="B10" s="575"/>
      <c r="C10" s="764"/>
      <c r="D10" s="571" t="s">
        <v>267</v>
      </c>
      <c r="G10" s="560">
        <f>(K22*Q22+R22)+(K24*Q24+R24)</f>
        <v>37745</v>
      </c>
      <c r="H10" s="793"/>
      <c r="I10" s="579"/>
      <c r="J10" s="824" t="s">
        <v>777</v>
      </c>
      <c r="K10" s="599">
        <v>2</v>
      </c>
      <c r="M10" s="711"/>
      <c r="O10" s="710" t="s">
        <v>383</v>
      </c>
      <c r="P10" s="583"/>
      <c r="Q10" s="560">
        <f>S127</f>
        <v>120000</v>
      </c>
      <c r="R10" s="581">
        <f t="shared" si="0"/>
        <v>1666.6666666666667</v>
      </c>
      <c r="S10" s="775">
        <f t="shared" si="1"/>
        <v>1.8518518518518519</v>
      </c>
      <c r="T10" s="576"/>
    </row>
    <row r="11" spans="2:21" x14ac:dyDescent="0.3">
      <c r="B11" s="575"/>
      <c r="C11" s="764"/>
      <c r="D11" s="571" t="s">
        <v>501</v>
      </c>
      <c r="G11" s="950">
        <v>0</v>
      </c>
      <c r="H11" s="794"/>
      <c r="J11" s="764"/>
      <c r="M11" s="711"/>
      <c r="O11" s="710" t="s">
        <v>261</v>
      </c>
      <c r="P11" s="583">
        <f>G133</f>
        <v>7.4999999999999997E-2</v>
      </c>
      <c r="Q11" s="581">
        <f>S133</f>
        <v>204000</v>
      </c>
      <c r="R11" s="585">
        <f t="shared" si="0"/>
        <v>2833.3333333333335</v>
      </c>
      <c r="S11" s="776">
        <f t="shared" si="1"/>
        <v>3.1481481481481484</v>
      </c>
      <c r="T11" s="576"/>
    </row>
    <row r="12" spans="2:21" x14ac:dyDescent="0.3">
      <c r="B12" s="575"/>
      <c r="C12" s="764"/>
      <c r="D12" s="571" t="s">
        <v>268</v>
      </c>
      <c r="G12" s="588">
        <v>1241134</v>
      </c>
      <c r="H12" s="711"/>
      <c r="I12" s="579"/>
      <c r="J12" s="1006" t="s">
        <v>519</v>
      </c>
      <c r="K12" s="1007"/>
      <c r="L12" s="1007"/>
      <c r="M12" s="1008"/>
      <c r="O12" s="770" t="s">
        <v>252</v>
      </c>
      <c r="P12" s="586"/>
      <c r="Q12" s="587">
        <f>SUM(Q5:Q11)</f>
        <v>4155993.2800000003</v>
      </c>
      <c r="R12" s="581">
        <f t="shared" si="0"/>
        <v>57722.128888888896</v>
      </c>
      <c r="S12" s="775">
        <f t="shared" si="1"/>
        <v>64.135698765432096</v>
      </c>
      <c r="T12" s="576"/>
    </row>
    <row r="13" spans="2:21" x14ac:dyDescent="0.3">
      <c r="B13" s="575"/>
      <c r="C13" s="795"/>
      <c r="D13" s="589" t="s">
        <v>503</v>
      </c>
      <c r="E13" s="589"/>
      <c r="F13" s="589"/>
      <c r="G13" s="590"/>
      <c r="H13" s="711"/>
      <c r="J13" s="782" t="s">
        <v>523</v>
      </c>
      <c r="K13" s="577" t="s">
        <v>524</v>
      </c>
      <c r="L13" s="577" t="s">
        <v>518</v>
      </c>
      <c r="M13" s="715" t="s">
        <v>515</v>
      </c>
      <c r="O13" s="764"/>
      <c r="S13" s="711"/>
      <c r="T13" s="576"/>
    </row>
    <row r="14" spans="2:21" x14ac:dyDescent="0.3">
      <c r="B14" s="575"/>
      <c r="C14" s="764" t="s">
        <v>5</v>
      </c>
      <c r="G14" s="560">
        <f>SUM(G5:G13)</f>
        <v>1455166.28</v>
      </c>
      <c r="H14" s="711"/>
      <c r="J14" s="783">
        <f>'Members Capital'!I14</f>
        <v>1127750.06</v>
      </c>
      <c r="K14" s="560">
        <f>Worksheet!D23</f>
        <v>1127750.06</v>
      </c>
      <c r="L14" s="560">
        <f>K22+K24</f>
        <v>3675000</v>
      </c>
      <c r="M14" s="768">
        <f>Worksheet!D34</f>
        <v>3358369.5577787054</v>
      </c>
      <c r="O14" s="710" t="s">
        <v>611</v>
      </c>
      <c r="Q14" s="837">
        <f>'FF&amp;E'!L49</f>
        <v>222000</v>
      </c>
      <c r="R14" s="673">
        <f>Q14/K7</f>
        <v>3083.3333333333335</v>
      </c>
      <c r="S14" s="775">
        <f>Q14/$K$8</f>
        <v>3.425925925925926</v>
      </c>
      <c r="T14" s="576"/>
    </row>
    <row r="15" spans="2:21" x14ac:dyDescent="0.3">
      <c r="B15" s="575"/>
      <c r="C15" s="764"/>
      <c r="G15" s="560"/>
      <c r="H15" s="711"/>
      <c r="J15" s="784"/>
      <c r="M15" s="711"/>
      <c r="O15" s="764"/>
      <c r="S15" s="711"/>
      <c r="T15" s="576"/>
    </row>
    <row r="16" spans="2:21" x14ac:dyDescent="0.3">
      <c r="B16" s="575"/>
      <c r="C16" s="764"/>
      <c r="D16" s="571" t="s">
        <v>269</v>
      </c>
      <c r="G16" s="560">
        <f>-G11</f>
        <v>0</v>
      </c>
      <c r="H16" s="711"/>
      <c r="J16" s="785">
        <f>'Members Capital'!G8</f>
        <v>281774.21999999997</v>
      </c>
      <c r="K16" s="786" t="s">
        <v>525</v>
      </c>
      <c r="L16" s="787"/>
      <c r="M16" s="711"/>
      <c r="O16" s="713" t="s">
        <v>325</v>
      </c>
      <c r="P16" s="589"/>
      <c r="Q16" s="585">
        <f>SUM(S111:S113)+G10</f>
        <v>1282364.8864891769</v>
      </c>
      <c r="R16" s="585">
        <f>Q16/$K$7</f>
        <v>17810.623423460791</v>
      </c>
      <c r="S16" s="776">
        <f>Q16/$K$8</f>
        <v>19.7895815816231</v>
      </c>
      <c r="T16" s="576"/>
    </row>
    <row r="17" spans="2:21" x14ac:dyDescent="0.3">
      <c r="B17" s="575"/>
      <c r="C17" s="795"/>
      <c r="D17" s="589" t="s">
        <v>915</v>
      </c>
      <c r="E17" s="589"/>
      <c r="F17" s="589"/>
      <c r="G17" s="591">
        <f>-'Members Capital'!G7-'Members Capital'!G8-'Members Capital'!G16-'Members Capital'!G17-'Members Capital'!G18</f>
        <v>-1428416.22</v>
      </c>
      <c r="H17" s="711"/>
      <c r="J17" s="788">
        <f>'Members Capital'!G7</f>
        <v>45642</v>
      </c>
      <c r="K17" s="592" t="s">
        <v>526</v>
      </c>
      <c r="L17" s="593"/>
      <c r="M17" s="711"/>
      <c r="O17" s="771" t="s">
        <v>117</v>
      </c>
      <c r="P17" s="772"/>
      <c r="Q17" s="773">
        <f>SUM(Q12:Q16)</f>
        <v>5660358.1664891774</v>
      </c>
      <c r="R17" s="773">
        <f>Q17/$K$7</f>
        <v>78616.085645683022</v>
      </c>
      <c r="S17" s="777">
        <f>Q17/$K$8</f>
        <v>87.35120627298113</v>
      </c>
      <c r="T17" s="576"/>
    </row>
    <row r="18" spans="2:21" x14ac:dyDescent="0.3">
      <c r="B18" s="575"/>
      <c r="C18" s="764" t="s">
        <v>323</v>
      </c>
      <c r="G18" s="560">
        <f>SUM(G14:G17)</f>
        <v>26750.060000000056</v>
      </c>
      <c r="H18" s="711"/>
      <c r="J18" s="789">
        <f>SUM(J14:J17)</f>
        <v>1455166.28</v>
      </c>
      <c r="K18" s="595" t="s">
        <v>527</v>
      </c>
      <c r="L18" s="594"/>
      <c r="M18" s="791"/>
      <c r="T18" s="576"/>
    </row>
    <row r="19" spans="2:21" ht="14.4" thickBot="1" x14ac:dyDescent="0.35">
      <c r="B19" s="575"/>
      <c r="C19" s="764"/>
      <c r="G19" s="560"/>
      <c r="H19" s="711"/>
      <c r="J19" s="584"/>
      <c r="K19" s="560"/>
      <c r="L19" s="560"/>
      <c r="M19" s="579"/>
      <c r="N19" s="579"/>
      <c r="P19" s="581"/>
      <c r="Q19" s="581"/>
      <c r="R19" s="581"/>
      <c r="S19" s="581"/>
      <c r="T19" s="576"/>
    </row>
    <row r="20" spans="2:21" ht="14.4" thickBot="1" x14ac:dyDescent="0.35">
      <c r="B20" s="575"/>
      <c r="C20" s="795"/>
      <c r="D20" s="589" t="s">
        <v>537</v>
      </c>
      <c r="E20" s="589"/>
      <c r="F20" s="589"/>
      <c r="G20" s="697">
        <v>0</v>
      </c>
      <c r="H20" s="711"/>
      <c r="I20" s="579"/>
      <c r="J20" s="1003" t="s">
        <v>271</v>
      </c>
      <c r="K20" s="1004"/>
      <c r="L20" s="1004"/>
      <c r="M20" s="1004"/>
      <c r="N20" s="1004"/>
      <c r="O20" s="1004"/>
      <c r="P20" s="1004"/>
      <c r="Q20" s="1004"/>
      <c r="R20" s="1004"/>
      <c r="S20" s="1005"/>
      <c r="T20" s="576"/>
    </row>
    <row r="21" spans="2:21" x14ac:dyDescent="0.3">
      <c r="B21" s="575"/>
      <c r="C21" s="764" t="s">
        <v>254</v>
      </c>
      <c r="G21" s="560">
        <f>G18+G20</f>
        <v>26750.060000000056</v>
      </c>
      <c r="H21" s="711"/>
      <c r="J21" s="714"/>
      <c r="K21" s="577" t="s">
        <v>197</v>
      </c>
      <c r="L21" s="577" t="s">
        <v>747</v>
      </c>
      <c r="M21" s="577" t="s">
        <v>274</v>
      </c>
      <c r="N21" s="577" t="s">
        <v>275</v>
      </c>
      <c r="O21" s="577" t="s">
        <v>276</v>
      </c>
      <c r="P21" s="577" t="s">
        <v>302</v>
      </c>
      <c r="Q21" s="577" t="s">
        <v>277</v>
      </c>
      <c r="R21" s="577" t="s">
        <v>291</v>
      </c>
      <c r="S21" s="766" t="s">
        <v>278</v>
      </c>
      <c r="T21" s="576"/>
    </row>
    <row r="22" spans="2:21" x14ac:dyDescent="0.3">
      <c r="B22" s="575"/>
      <c r="C22" s="795" t="s">
        <v>538</v>
      </c>
      <c r="D22" s="589"/>
      <c r="E22" s="589"/>
      <c r="F22" s="589"/>
      <c r="G22" s="590">
        <f>G14+G20</f>
        <v>1455166.28</v>
      </c>
      <c r="H22" s="761"/>
      <c r="J22" s="710" t="s">
        <v>497</v>
      </c>
      <c r="K22" s="588">
        <v>1175000</v>
      </c>
      <c r="L22" s="528">
        <f>K22/SUM(G5:G6)</f>
        <v>0.88061995164939288</v>
      </c>
      <c r="M22" s="598">
        <v>9.5000000000000001E-2</v>
      </c>
      <c r="N22" s="599" t="s">
        <v>279</v>
      </c>
      <c r="O22" s="599">
        <v>1</v>
      </c>
      <c r="P22" s="599" t="s">
        <v>246</v>
      </c>
      <c r="Q22" s="500">
        <v>0.01</v>
      </c>
      <c r="R22" s="588">
        <v>995</v>
      </c>
      <c r="S22" s="711"/>
      <c r="T22" s="576"/>
    </row>
    <row r="23" spans="2:21" ht="14.4" thickBot="1" x14ac:dyDescent="0.35">
      <c r="B23" s="575"/>
      <c r="G23" s="560"/>
      <c r="J23" s="710" t="s">
        <v>293</v>
      </c>
      <c r="K23" s="600">
        <v>0</v>
      </c>
      <c r="M23" s="598">
        <v>0</v>
      </c>
      <c r="N23" s="599" t="s">
        <v>279</v>
      </c>
      <c r="O23" s="599">
        <v>1</v>
      </c>
      <c r="P23" s="599" t="s">
        <v>246</v>
      </c>
      <c r="Q23" s="598">
        <v>0</v>
      </c>
      <c r="R23" s="601" t="s">
        <v>294</v>
      </c>
      <c r="S23" s="712"/>
      <c r="T23" s="576"/>
    </row>
    <row r="24" spans="2:21" ht="14.4" thickBot="1" x14ac:dyDescent="0.35">
      <c r="B24" s="575"/>
      <c r="C24" s="1003" t="s">
        <v>792</v>
      </c>
      <c r="D24" s="1004"/>
      <c r="E24" s="1004"/>
      <c r="F24" s="1004"/>
      <c r="G24" s="1004"/>
      <c r="H24" s="1005"/>
      <c r="J24" s="710" t="s">
        <v>273</v>
      </c>
      <c r="K24" s="588">
        <v>2500000</v>
      </c>
      <c r="L24" s="528"/>
      <c r="M24" s="528">
        <f>M22</f>
        <v>9.5000000000000001E-2</v>
      </c>
      <c r="N24" s="599" t="s">
        <v>279</v>
      </c>
      <c r="O24" s="599">
        <v>1</v>
      </c>
      <c r="P24" s="599" t="s">
        <v>246</v>
      </c>
      <c r="Q24" s="603">
        <f>Q22</f>
        <v>0.01</v>
      </c>
      <c r="R24" s="588">
        <v>0</v>
      </c>
      <c r="S24" s="767">
        <v>36</v>
      </c>
      <c r="T24" s="576"/>
    </row>
    <row r="25" spans="2:21" x14ac:dyDescent="0.3">
      <c r="B25" s="575"/>
      <c r="C25" s="764"/>
      <c r="G25" s="845" t="s">
        <v>750</v>
      </c>
      <c r="H25" s="796" t="s">
        <v>751</v>
      </c>
      <c r="J25" s="763" t="s">
        <v>117</v>
      </c>
      <c r="K25" s="560">
        <f>SUM(K22:K24)</f>
        <v>3675000</v>
      </c>
      <c r="L25" s="528">
        <f>MAX(Balances!I37:AR37)</f>
        <v>0.56761110652229696</v>
      </c>
      <c r="M25" s="560"/>
      <c r="N25" s="560"/>
      <c r="O25" s="560"/>
      <c r="P25" s="560"/>
      <c r="Q25" s="560"/>
      <c r="R25" s="560"/>
      <c r="S25" s="768"/>
      <c r="T25" s="596"/>
    </row>
    <row r="26" spans="2:21" x14ac:dyDescent="0.3">
      <c r="B26" s="575"/>
      <c r="C26" s="764"/>
      <c r="E26" s="571" t="s">
        <v>752</v>
      </c>
      <c r="G26" s="673">
        <f>'Members Capital'!G17</f>
        <v>1000000</v>
      </c>
      <c r="H26" s="797">
        <f>G26/G31</f>
        <v>0.65443227774126811</v>
      </c>
      <c r="J26" s="764"/>
      <c r="S26" s="711"/>
      <c r="T26" s="597"/>
    </row>
    <row r="27" spans="2:21" x14ac:dyDescent="0.3">
      <c r="B27" s="575"/>
      <c r="C27" s="764"/>
      <c r="E27" s="571" t="s">
        <v>499</v>
      </c>
      <c r="G27" s="673">
        <f>'Members Capital'!G8+'Members Capital'!G18</f>
        <v>357774.22</v>
      </c>
      <c r="H27" s="797">
        <f>G27/G31</f>
        <v>0.23413899771170554</v>
      </c>
      <c r="I27" s="579"/>
      <c r="J27" s="710"/>
      <c r="K27" s="577" t="s">
        <v>740</v>
      </c>
      <c r="L27" s="577" t="s">
        <v>719</v>
      </c>
      <c r="M27" s="577" t="s">
        <v>676</v>
      </c>
      <c r="N27" s="577" t="s">
        <v>275</v>
      </c>
      <c r="O27" s="577" t="s">
        <v>663</v>
      </c>
      <c r="P27" s="577" t="s">
        <v>737</v>
      </c>
      <c r="Q27" s="577" t="s">
        <v>277</v>
      </c>
      <c r="R27" s="577" t="s">
        <v>291</v>
      </c>
      <c r="S27" s="715" t="s">
        <v>462</v>
      </c>
      <c r="T27" s="576"/>
    </row>
    <row r="28" spans="2:21" x14ac:dyDescent="0.3">
      <c r="B28" s="575"/>
      <c r="C28" s="764"/>
      <c r="E28" s="571" t="s">
        <v>507</v>
      </c>
      <c r="G28" s="673">
        <f>'Members Capital'!H22</f>
        <v>99625.77</v>
      </c>
      <c r="H28" s="797">
        <f>G28/G31</f>
        <v>6.5198319582827693E-2</v>
      </c>
      <c r="J28" s="710" t="s">
        <v>745</v>
      </c>
      <c r="K28" s="673">
        <f>'Perm Loan'!BX12</f>
        <v>2230000</v>
      </c>
      <c r="L28" s="762">
        <v>1.25</v>
      </c>
      <c r="M28" s="598">
        <v>0.06</v>
      </c>
      <c r="N28" s="598" t="s">
        <v>741</v>
      </c>
      <c r="O28" s="599">
        <v>30</v>
      </c>
      <c r="P28" s="599">
        <v>360</v>
      </c>
      <c r="Q28" s="598">
        <v>1.0999999999999999E-2</v>
      </c>
      <c r="R28" s="588">
        <v>5000</v>
      </c>
      <c r="S28" s="769" t="s">
        <v>746</v>
      </c>
      <c r="T28" s="602"/>
    </row>
    <row r="29" spans="2:21" x14ac:dyDescent="0.3">
      <c r="B29" s="575"/>
      <c r="C29" s="764"/>
      <c r="E29" s="571" t="s">
        <v>340</v>
      </c>
      <c r="G29" s="673">
        <f>'Members Capital'!G7</f>
        <v>45642</v>
      </c>
      <c r="H29" s="797">
        <f>G29/G31</f>
        <v>2.9869598020666958E-2</v>
      </c>
      <c r="J29" s="765" t="s">
        <v>748</v>
      </c>
      <c r="S29" s="711"/>
      <c r="T29" s="576"/>
    </row>
    <row r="30" spans="2:21" x14ac:dyDescent="0.3">
      <c r="B30" s="575"/>
      <c r="C30" s="764"/>
      <c r="E30" s="589" t="s">
        <v>753</v>
      </c>
      <c r="F30" s="589"/>
      <c r="G30" s="706">
        <f>'Members Capital'!G16</f>
        <v>25000</v>
      </c>
      <c r="H30" s="717">
        <f>G30/G31</f>
        <v>1.6360806943531703E-2</v>
      </c>
      <c r="J30" s="852" t="s">
        <v>749</v>
      </c>
      <c r="K30" s="589"/>
      <c r="L30" s="589"/>
      <c r="M30" s="589"/>
      <c r="N30" s="589"/>
      <c r="O30" s="589"/>
      <c r="P30" s="589"/>
      <c r="Q30" s="589"/>
      <c r="R30" s="589"/>
      <c r="S30" s="761"/>
      <c r="T30" s="576"/>
    </row>
    <row r="31" spans="2:21" x14ac:dyDescent="0.3">
      <c r="B31" s="575"/>
      <c r="C31" s="795"/>
      <c r="D31" s="589"/>
      <c r="E31" s="589"/>
      <c r="F31" s="589"/>
      <c r="G31" s="706">
        <f>SUM(G26:G30)</f>
        <v>1528041.99</v>
      </c>
      <c r="H31" s="717">
        <f>SUM(H26:H30)</f>
        <v>1</v>
      </c>
      <c r="J31" s="848"/>
      <c r="T31" s="576"/>
    </row>
    <row r="32" spans="2:21" ht="14.4" thickBot="1" x14ac:dyDescent="0.35">
      <c r="B32" s="575"/>
      <c r="E32" s="579"/>
      <c r="G32" s="673"/>
      <c r="H32" s="379"/>
      <c r="I32" s="582"/>
      <c r="J32" s="560"/>
      <c r="K32" s="582"/>
      <c r="L32" s="582"/>
      <c r="M32" s="582"/>
      <c r="N32" s="582"/>
      <c r="O32" s="582"/>
      <c r="P32" s="582"/>
      <c r="Q32" s="582"/>
      <c r="R32" s="582"/>
      <c r="S32" s="582"/>
      <c r="T32" s="605"/>
      <c r="U32" s="582"/>
    </row>
    <row r="33" spans="2:21" s="579" customFormat="1" ht="15" thickTop="1" thickBot="1" x14ac:dyDescent="0.35">
      <c r="B33" s="606"/>
      <c r="C33" s="607"/>
      <c r="D33" s="607"/>
      <c r="E33" s="607"/>
      <c r="F33" s="607"/>
      <c r="G33" s="607"/>
      <c r="H33" s="608"/>
      <c r="I33" s="609"/>
      <c r="J33" s="609" t="s">
        <v>133</v>
      </c>
      <c r="K33" s="609" t="s">
        <v>672</v>
      </c>
      <c r="L33" s="609" t="s">
        <v>673</v>
      </c>
      <c r="M33" s="609" t="s">
        <v>674</v>
      </c>
      <c r="N33" s="609" t="s">
        <v>675</v>
      </c>
      <c r="O33" s="609" t="s">
        <v>678</v>
      </c>
      <c r="P33" s="609" t="s">
        <v>679</v>
      </c>
      <c r="Q33" s="609" t="s">
        <v>698</v>
      </c>
      <c r="R33" s="609" t="s">
        <v>699</v>
      </c>
      <c r="S33" s="610" t="s">
        <v>6</v>
      </c>
      <c r="T33" s="611"/>
      <c r="U33" s="604"/>
    </row>
    <row r="34" spans="2:21" ht="14.4" thickTop="1" x14ac:dyDescent="0.3">
      <c r="B34" s="575"/>
      <c r="H34" s="528"/>
      <c r="I34" s="612"/>
      <c r="J34" s="929"/>
      <c r="K34" s="929"/>
      <c r="L34" s="929"/>
      <c r="M34" s="929"/>
      <c r="N34" s="929"/>
      <c r="O34" s="929"/>
      <c r="P34" s="929"/>
      <c r="Q34" s="929"/>
      <c r="R34" s="929"/>
      <c r="S34" s="930"/>
      <c r="T34" s="614"/>
      <c r="U34" s="582"/>
    </row>
    <row r="35" spans="2:21" x14ac:dyDescent="0.3">
      <c r="B35" s="575"/>
      <c r="C35" s="604" t="s">
        <v>688</v>
      </c>
      <c r="D35" s="582"/>
      <c r="E35" s="582"/>
      <c r="F35" s="582"/>
      <c r="G35" s="582"/>
      <c r="H35" s="615"/>
      <c r="I35" s="616"/>
      <c r="J35" s="616"/>
      <c r="K35" s="616"/>
      <c r="L35" s="616"/>
      <c r="M35" s="616"/>
      <c r="N35" s="616"/>
      <c r="O35" s="616"/>
      <c r="P35" s="616"/>
      <c r="Q35" s="616"/>
      <c r="R35" s="616"/>
      <c r="S35" s="616"/>
      <c r="T35" s="617"/>
      <c r="U35" s="582"/>
    </row>
    <row r="36" spans="2:21" x14ac:dyDescent="0.3">
      <c r="B36" s="575"/>
      <c r="C36" s="582"/>
      <c r="D36" s="582" t="s">
        <v>897</v>
      </c>
      <c r="E36" s="582"/>
      <c r="F36" s="582"/>
      <c r="G36" s="582"/>
      <c r="H36" s="615"/>
      <c r="I36" s="673"/>
      <c r="J36" s="673">
        <f>SUM(Monthly!K8:V8)</f>
        <v>0</v>
      </c>
      <c r="K36" s="673">
        <f>SUM(Monthly!W8:AH8)</f>
        <v>151200</v>
      </c>
      <c r="L36" s="673">
        <f>SUM(Monthly!AI8:AT8)</f>
        <v>163800</v>
      </c>
      <c r="M36" s="673">
        <f>SUM(Monthly!AU8:BF8)</f>
        <v>176400</v>
      </c>
      <c r="N36" s="673">
        <f>SUM(Monthly!BG8:BR8)</f>
        <v>189000</v>
      </c>
      <c r="O36" s="673">
        <f>SUM(Monthly!BS8:CD8)</f>
        <v>201600</v>
      </c>
      <c r="P36" s="673">
        <f>SUM(Monthly!CE8:CP8)</f>
        <v>214200</v>
      </c>
      <c r="Q36" s="673">
        <f>SUM(Monthly!CQ8:DB8)</f>
        <v>226800</v>
      </c>
      <c r="R36" s="673">
        <f>SUM(Monthly!DC8:DN8)</f>
        <v>239400</v>
      </c>
      <c r="S36" s="432">
        <f>SUM(J36:R36)</f>
        <v>1562400</v>
      </c>
      <c r="T36" s="617"/>
      <c r="U36" s="582"/>
    </row>
    <row r="37" spans="2:21" x14ac:dyDescent="0.3">
      <c r="B37" s="575"/>
      <c r="C37" s="591"/>
      <c r="D37" s="591" t="s">
        <v>898</v>
      </c>
      <c r="E37" s="591"/>
      <c r="F37" s="591"/>
      <c r="G37" s="591"/>
      <c r="H37" s="623"/>
      <c r="I37" s="706"/>
      <c r="J37" s="706">
        <f>SUM(Monthly!K9:V9)</f>
        <v>0</v>
      </c>
      <c r="K37" s="706">
        <f>SUM(Monthly!W9:AH9)</f>
        <v>322422</v>
      </c>
      <c r="L37" s="706">
        <f>SUM(Monthly!AI9:AT9)</f>
        <v>331905</v>
      </c>
      <c r="M37" s="706">
        <f>SUM(Monthly!AU9:BF9)</f>
        <v>341388</v>
      </c>
      <c r="N37" s="706">
        <f>SUM(Monthly!BG9:BR9)</f>
        <v>350871</v>
      </c>
      <c r="O37" s="706">
        <f>SUM(Monthly!BS9:CD9)</f>
        <v>360354</v>
      </c>
      <c r="P37" s="706">
        <f>SUM(Monthly!CE9:CP9)</f>
        <v>369837</v>
      </c>
      <c r="Q37" s="706">
        <f>SUM(Monthly!CQ9:DB9)</f>
        <v>379320</v>
      </c>
      <c r="R37" s="706">
        <f>SUM(Monthly!DC9:DN9)</f>
        <v>388803</v>
      </c>
      <c r="S37" s="343">
        <f>SUM(J37:R37)</f>
        <v>2844900</v>
      </c>
      <c r="T37" s="617"/>
      <c r="U37" s="582"/>
    </row>
    <row r="38" spans="2:21" x14ac:dyDescent="0.3">
      <c r="B38" s="575"/>
      <c r="C38" s="582" t="s">
        <v>319</v>
      </c>
      <c r="D38" s="582"/>
      <c r="E38" s="582"/>
      <c r="F38" s="582"/>
      <c r="G38" s="582"/>
      <c r="H38" s="615"/>
      <c r="I38" s="673"/>
      <c r="J38" s="673">
        <f t="shared" ref="J38:R38" si="2">SUM(J36:J37)</f>
        <v>0</v>
      </c>
      <c r="K38" s="673">
        <f t="shared" si="2"/>
        <v>473622</v>
      </c>
      <c r="L38" s="673">
        <f t="shared" si="2"/>
        <v>495705</v>
      </c>
      <c r="M38" s="673">
        <f t="shared" si="2"/>
        <v>517788</v>
      </c>
      <c r="N38" s="673">
        <f t="shared" si="2"/>
        <v>539871</v>
      </c>
      <c r="O38" s="673">
        <f t="shared" si="2"/>
        <v>561954</v>
      </c>
      <c r="P38" s="673">
        <f t="shared" si="2"/>
        <v>584037</v>
      </c>
      <c r="Q38" s="673">
        <f t="shared" si="2"/>
        <v>606120</v>
      </c>
      <c r="R38" s="673">
        <f t="shared" si="2"/>
        <v>628203</v>
      </c>
      <c r="S38" s="432">
        <f>SUM(J38:R38)</f>
        <v>4407300</v>
      </c>
      <c r="T38" s="617"/>
      <c r="U38" s="582"/>
    </row>
    <row r="39" spans="2:21" x14ac:dyDescent="0.3">
      <c r="B39" s="575"/>
      <c r="C39" s="582"/>
      <c r="D39" s="582"/>
      <c r="E39" s="582"/>
      <c r="F39" s="582"/>
      <c r="G39" s="582"/>
      <c r="H39" s="615"/>
      <c r="I39" s="616"/>
      <c r="J39" s="616"/>
      <c r="K39" s="616"/>
      <c r="L39" s="616"/>
      <c r="M39" s="616"/>
      <c r="N39" s="616"/>
      <c r="O39" s="616"/>
      <c r="P39" s="616"/>
      <c r="Q39" s="616"/>
      <c r="R39" s="616"/>
      <c r="S39" s="616"/>
      <c r="T39" s="617"/>
      <c r="U39" s="582"/>
    </row>
    <row r="40" spans="2:21" x14ac:dyDescent="0.3">
      <c r="B40" s="575"/>
      <c r="C40" s="582" t="s">
        <v>907</v>
      </c>
      <c r="D40" s="582"/>
      <c r="E40" s="582"/>
      <c r="F40" s="582"/>
      <c r="G40" s="622">
        <v>75</v>
      </c>
      <c r="H40" s="815">
        <v>4</v>
      </c>
      <c r="I40" s="673"/>
      <c r="J40" s="673">
        <f>SUM(Monthly!K12:V12)</f>
        <v>0</v>
      </c>
      <c r="K40" s="673">
        <f>SUM(Monthly!W12:AH12)</f>
        <v>76650</v>
      </c>
      <c r="L40" s="673">
        <f>SUM(Monthly!AI12:AT12)</f>
        <v>76650</v>
      </c>
      <c r="M40" s="673">
        <f>SUM(Monthly!AU12:BF12)</f>
        <v>76860</v>
      </c>
      <c r="N40" s="673">
        <f>SUM(Monthly!BG12:BR12)</f>
        <v>76650</v>
      </c>
      <c r="O40" s="673">
        <f>SUM(Monthly!BS12:CD12)</f>
        <v>76650</v>
      </c>
      <c r="P40" s="673">
        <f>SUM(Monthly!CE12:CP12)</f>
        <v>76650</v>
      </c>
      <c r="Q40" s="673">
        <f>SUM(Monthly!CQ12:DB12)</f>
        <v>76650</v>
      </c>
      <c r="R40" s="673">
        <f>SUM(Monthly!DC12:DN12)</f>
        <v>76650</v>
      </c>
      <c r="S40" s="445">
        <f>SUM(I40:R40)</f>
        <v>613410</v>
      </c>
      <c r="T40" s="617"/>
      <c r="U40" s="582"/>
    </row>
    <row r="41" spans="2:21" x14ac:dyDescent="0.3">
      <c r="B41" s="575"/>
      <c r="C41" s="591" t="s">
        <v>908</v>
      </c>
      <c r="D41" s="591"/>
      <c r="E41" s="591"/>
      <c r="F41" s="591"/>
      <c r="G41" s="817">
        <v>40</v>
      </c>
      <c r="H41" s="818">
        <v>10</v>
      </c>
      <c r="I41" s="706"/>
      <c r="J41" s="706">
        <f>SUM(Monthly!K13:V13)</f>
        <v>0</v>
      </c>
      <c r="K41" s="706">
        <f>SUM(Monthly!W13:AH13)</f>
        <v>73000</v>
      </c>
      <c r="L41" s="706">
        <f>SUM(Monthly!AI13:AT13)</f>
        <v>73000</v>
      </c>
      <c r="M41" s="706">
        <f>SUM(Monthly!AU13:BF13)</f>
        <v>73200</v>
      </c>
      <c r="N41" s="706">
        <f>SUM(Monthly!BG13:BR13)</f>
        <v>73000</v>
      </c>
      <c r="O41" s="706">
        <f>SUM(Monthly!BS13:CD13)</f>
        <v>73000</v>
      </c>
      <c r="P41" s="706">
        <f>SUM(Monthly!CE13:CP13)</f>
        <v>73000</v>
      </c>
      <c r="Q41" s="706">
        <f>SUM(Monthly!CQ13:DB13)</f>
        <v>73000</v>
      </c>
      <c r="R41" s="706">
        <f>SUM(Monthly!DC13:DN13)</f>
        <v>73000</v>
      </c>
      <c r="S41" s="825">
        <f>SUM(I41:R41)</f>
        <v>584200</v>
      </c>
      <c r="T41" s="617"/>
      <c r="U41" s="582"/>
    </row>
    <row r="42" spans="2:21" x14ac:dyDescent="0.3">
      <c r="B42" s="575"/>
      <c r="C42" s="582" t="s">
        <v>319</v>
      </c>
      <c r="D42" s="582"/>
      <c r="E42" s="582"/>
      <c r="F42" s="582"/>
      <c r="G42" s="582"/>
      <c r="H42" s="615"/>
      <c r="I42" s="673"/>
      <c r="J42" s="673">
        <f t="shared" ref="J42:R42" si="3">J40+J41</f>
        <v>0</v>
      </c>
      <c r="K42" s="673">
        <f t="shared" si="3"/>
        <v>149650</v>
      </c>
      <c r="L42" s="673">
        <f t="shared" si="3"/>
        <v>149650</v>
      </c>
      <c r="M42" s="673">
        <f t="shared" si="3"/>
        <v>150060</v>
      </c>
      <c r="N42" s="673">
        <f t="shared" si="3"/>
        <v>149650</v>
      </c>
      <c r="O42" s="673">
        <f t="shared" si="3"/>
        <v>149650</v>
      </c>
      <c r="P42" s="673">
        <f t="shared" si="3"/>
        <v>149650</v>
      </c>
      <c r="Q42" s="673">
        <f t="shared" si="3"/>
        <v>149650</v>
      </c>
      <c r="R42" s="673">
        <f t="shared" si="3"/>
        <v>149650</v>
      </c>
      <c r="S42" s="432">
        <f>SUM(J42:R42)</f>
        <v>1197610</v>
      </c>
      <c r="T42" s="617"/>
      <c r="U42" s="582"/>
    </row>
    <row r="43" spans="2:21" x14ac:dyDescent="0.3">
      <c r="B43" s="575"/>
      <c r="C43" s="582"/>
      <c r="D43" s="582"/>
      <c r="E43" s="582"/>
      <c r="F43" s="582"/>
      <c r="G43" s="582"/>
      <c r="H43" s="615"/>
      <c r="I43" s="616"/>
      <c r="J43" s="616"/>
      <c r="K43" s="616"/>
      <c r="L43" s="616"/>
      <c r="M43" s="616"/>
      <c r="N43" s="616"/>
      <c r="O43" s="616"/>
      <c r="P43" s="616"/>
      <c r="Q43" s="616"/>
      <c r="R43" s="616"/>
      <c r="S43" s="616"/>
      <c r="T43" s="617"/>
      <c r="U43" s="582"/>
    </row>
    <row r="44" spans="2:21" x14ac:dyDescent="0.3">
      <c r="B44" s="575"/>
      <c r="C44" s="604" t="s">
        <v>656</v>
      </c>
      <c r="D44" s="582"/>
      <c r="E44" s="582"/>
      <c r="F44" s="582"/>
      <c r="G44" s="582"/>
      <c r="H44" s="615"/>
      <c r="I44" s="673"/>
      <c r="J44" s="673">
        <f t="shared" ref="J44:R44" si="4">J38+J42</f>
        <v>0</v>
      </c>
      <c r="K44" s="673">
        <f t="shared" si="4"/>
        <v>623272</v>
      </c>
      <c r="L44" s="673">
        <f t="shared" si="4"/>
        <v>645355</v>
      </c>
      <c r="M44" s="673">
        <f t="shared" si="4"/>
        <v>667848</v>
      </c>
      <c r="N44" s="673">
        <f t="shared" si="4"/>
        <v>689521</v>
      </c>
      <c r="O44" s="673">
        <f t="shared" si="4"/>
        <v>711604</v>
      </c>
      <c r="P44" s="673">
        <f t="shared" si="4"/>
        <v>733687</v>
      </c>
      <c r="Q44" s="673">
        <f t="shared" si="4"/>
        <v>755770</v>
      </c>
      <c r="R44" s="673">
        <f t="shared" si="4"/>
        <v>777853</v>
      </c>
      <c r="S44" s="432">
        <f>SUM(J44:R44)</f>
        <v>5604910</v>
      </c>
      <c r="T44" s="617"/>
      <c r="U44" s="582"/>
    </row>
    <row r="45" spans="2:21" x14ac:dyDescent="0.3">
      <c r="B45" s="575"/>
      <c r="C45" s="582"/>
      <c r="D45" s="582"/>
      <c r="E45" s="582"/>
      <c r="F45" s="582"/>
      <c r="G45" s="582"/>
      <c r="H45" s="615"/>
      <c r="I45" s="616"/>
      <c r="J45" s="616"/>
      <c r="K45" s="616"/>
      <c r="L45" s="616"/>
      <c r="M45" s="616"/>
      <c r="N45" s="616"/>
      <c r="O45" s="616"/>
      <c r="P45" s="616"/>
      <c r="Q45" s="616"/>
      <c r="R45" s="616"/>
      <c r="S45" s="616"/>
      <c r="T45" s="617"/>
      <c r="U45" s="582"/>
    </row>
    <row r="46" spans="2:21" x14ac:dyDescent="0.3">
      <c r="B46" s="575"/>
      <c r="C46" s="604" t="s">
        <v>689</v>
      </c>
      <c r="D46" s="582"/>
      <c r="E46" s="582"/>
      <c r="F46" s="582"/>
      <c r="G46" s="701"/>
      <c r="H46" s="615"/>
      <c r="I46" s="616"/>
      <c r="J46" s="616"/>
      <c r="K46" s="616"/>
      <c r="L46" s="616"/>
      <c r="M46" s="616"/>
      <c r="N46" s="616"/>
      <c r="O46" s="616"/>
      <c r="P46" s="616"/>
      <c r="Q46" s="616"/>
      <c r="R46" s="616"/>
      <c r="S46" s="616"/>
      <c r="T46" s="617"/>
      <c r="U46" s="582"/>
    </row>
    <row r="47" spans="2:21" x14ac:dyDescent="0.3">
      <c r="B47" s="575"/>
      <c r="C47" s="582"/>
      <c r="D47" s="582" t="s">
        <v>769</v>
      </c>
      <c r="E47" s="582"/>
      <c r="F47" s="582"/>
      <c r="G47" s="622">
        <v>20</v>
      </c>
      <c r="I47" s="673"/>
      <c r="J47" s="673">
        <f>SUM(Monthly!K19:V19)</f>
        <v>0</v>
      </c>
      <c r="K47" s="673">
        <f>SUM(Monthly!W19:AH19)</f>
        <v>9396</v>
      </c>
      <c r="L47" s="673">
        <f>SUM(Monthly!AI19:AT19)</f>
        <v>9396</v>
      </c>
      <c r="M47" s="673">
        <f>SUM(Monthly!AU19:BF19)</f>
        <v>9396</v>
      </c>
      <c r="N47" s="673">
        <f>SUM(Monthly!BG19:BR19)</f>
        <v>9396</v>
      </c>
      <c r="O47" s="673">
        <f>SUM(Monthly!BS19:CD19)</f>
        <v>9396</v>
      </c>
      <c r="P47" s="673">
        <f>SUM(Monthly!CE19:CP19)</f>
        <v>9396</v>
      </c>
      <c r="Q47" s="673">
        <f>SUM(Monthly!CQ19:DB19)</f>
        <v>9396</v>
      </c>
      <c r="R47" s="673">
        <f>SUM(Monthly!DC19:DN19)</f>
        <v>9396</v>
      </c>
      <c r="S47" s="445">
        <f>SUM(J47:R47)</f>
        <v>75168</v>
      </c>
      <c r="T47" s="617"/>
      <c r="U47" s="582"/>
    </row>
    <row r="48" spans="2:21" x14ac:dyDescent="0.3">
      <c r="B48" s="575"/>
      <c r="C48" s="582"/>
      <c r="D48" s="582" t="s">
        <v>779</v>
      </c>
      <c r="E48" s="582"/>
      <c r="F48" s="582"/>
      <c r="G48" s="622">
        <v>150</v>
      </c>
      <c r="I48" s="673"/>
      <c r="J48" s="673">
        <f>SUM(Monthly!K20:V20)</f>
        <v>0</v>
      </c>
      <c r="K48" s="673">
        <f>SUM(Monthly!W20:AH20)</f>
        <v>54750</v>
      </c>
      <c r="L48" s="673">
        <f>SUM(Monthly!AI20:AT20)</f>
        <v>54750</v>
      </c>
      <c r="M48" s="673">
        <f>SUM(Monthly!AU20:BF20)</f>
        <v>54900</v>
      </c>
      <c r="N48" s="673">
        <f>SUM(Monthly!BG20:BR20)</f>
        <v>54750</v>
      </c>
      <c r="O48" s="673">
        <f>SUM(Monthly!BS20:CD20)</f>
        <v>54750</v>
      </c>
      <c r="P48" s="673">
        <f>SUM(Monthly!CE20:CP20)</f>
        <v>54750</v>
      </c>
      <c r="Q48" s="673">
        <f>SUM(Monthly!CQ20:DB20)</f>
        <v>54750</v>
      </c>
      <c r="R48" s="673">
        <f>SUM(Monthly!DC20:DN20)</f>
        <v>54750</v>
      </c>
      <c r="S48" s="445">
        <f t="shared" ref="S48:S51" si="5">SUM(J48:R48)</f>
        <v>438150</v>
      </c>
      <c r="T48" s="617"/>
      <c r="U48" s="582"/>
    </row>
    <row r="49" spans="2:21" x14ac:dyDescent="0.3">
      <c r="B49" s="575"/>
      <c r="C49" s="582"/>
      <c r="D49" s="582" t="s">
        <v>773</v>
      </c>
      <c r="E49" s="582"/>
      <c r="F49" s="582"/>
      <c r="G49" s="622">
        <v>10</v>
      </c>
      <c r="I49" s="673"/>
      <c r="J49" s="673">
        <f>SUM(Monthly!K21:V21)</f>
        <v>0</v>
      </c>
      <c r="K49" s="673">
        <f>SUM(Monthly!W21:AH21)</f>
        <v>4698</v>
      </c>
      <c r="L49" s="673">
        <f>SUM(Monthly!AI21:AT21)</f>
        <v>4698</v>
      </c>
      <c r="M49" s="673">
        <f>SUM(Monthly!AU21:BF21)</f>
        <v>4698</v>
      </c>
      <c r="N49" s="673">
        <f>SUM(Monthly!BG21:BR21)</f>
        <v>4698</v>
      </c>
      <c r="O49" s="673">
        <f>SUM(Monthly!BS21:CD21)</f>
        <v>4698</v>
      </c>
      <c r="P49" s="673">
        <f>SUM(Monthly!CE21:CP21)</f>
        <v>4698</v>
      </c>
      <c r="Q49" s="673">
        <f>SUM(Monthly!CQ21:DB21)</f>
        <v>4698</v>
      </c>
      <c r="R49" s="673">
        <f>SUM(Monthly!DC21:DN21)</f>
        <v>4698</v>
      </c>
      <c r="S49" s="445">
        <f t="shared" si="5"/>
        <v>37584</v>
      </c>
      <c r="T49" s="617"/>
      <c r="U49" s="582"/>
    </row>
    <row r="50" spans="2:21" x14ac:dyDescent="0.3">
      <c r="B50" s="575"/>
      <c r="C50" s="582"/>
      <c r="D50" s="582" t="s">
        <v>774</v>
      </c>
      <c r="E50" s="582"/>
      <c r="F50" s="582"/>
      <c r="G50" s="622">
        <v>250</v>
      </c>
      <c r="I50" s="673"/>
      <c r="J50" s="673">
        <f>SUM(Monthly!K22:V22)</f>
        <v>0</v>
      </c>
      <c r="K50" s="673">
        <f>SUM(Monthly!W22:AH22)</f>
        <v>6000</v>
      </c>
      <c r="L50" s="673">
        <f>SUM(Monthly!AI22:AT22)</f>
        <v>6000</v>
      </c>
      <c r="M50" s="673">
        <f>SUM(Monthly!AU22:BF22)</f>
        <v>6000</v>
      </c>
      <c r="N50" s="673">
        <f>SUM(Monthly!BG22:BR22)</f>
        <v>6000</v>
      </c>
      <c r="O50" s="673">
        <f>SUM(Monthly!BS22:CD22)</f>
        <v>6000</v>
      </c>
      <c r="P50" s="673">
        <f>SUM(Monthly!CE22:CP22)</f>
        <v>6000</v>
      </c>
      <c r="Q50" s="673">
        <f>SUM(Monthly!CQ22:DB22)</f>
        <v>6000</v>
      </c>
      <c r="R50" s="673">
        <f>SUM(Monthly!DC22:DN22)</f>
        <v>6000</v>
      </c>
      <c r="S50" s="445">
        <f t="shared" si="5"/>
        <v>48000</v>
      </c>
      <c r="T50" s="617"/>
      <c r="U50" s="582"/>
    </row>
    <row r="51" spans="2:21" x14ac:dyDescent="0.3">
      <c r="B51" s="575"/>
      <c r="C51" s="591"/>
      <c r="D51" s="591" t="s">
        <v>904</v>
      </c>
      <c r="E51" s="591"/>
      <c r="F51" s="591"/>
      <c r="G51" s="817">
        <v>60</v>
      </c>
      <c r="H51" s="589"/>
      <c r="I51" s="706"/>
      <c r="J51" s="706">
        <f>SUM(Monthly!K23:V23)</f>
        <v>0</v>
      </c>
      <c r="K51" s="706">
        <f>SUM(Monthly!W23:AH23)</f>
        <v>28188</v>
      </c>
      <c r="L51" s="706">
        <f>SUM(Monthly!AI23:AT23)</f>
        <v>28188</v>
      </c>
      <c r="M51" s="706">
        <f>SUM(Monthly!AU23:BF23)</f>
        <v>28188</v>
      </c>
      <c r="N51" s="706">
        <f>SUM(Monthly!BG23:BR23)</f>
        <v>28188</v>
      </c>
      <c r="O51" s="706">
        <f>SUM(Monthly!BS23:CD23)</f>
        <v>28188</v>
      </c>
      <c r="P51" s="706">
        <f>SUM(Monthly!CE23:CP23)</f>
        <v>28188</v>
      </c>
      <c r="Q51" s="706">
        <f>SUM(Monthly!CQ23:DB23)</f>
        <v>28188</v>
      </c>
      <c r="R51" s="706">
        <f>SUM(Monthly!DC23:DN23)</f>
        <v>28188</v>
      </c>
      <c r="S51" s="825">
        <f t="shared" si="5"/>
        <v>225504</v>
      </c>
      <c r="T51" s="617"/>
      <c r="U51" s="582"/>
    </row>
    <row r="52" spans="2:21" x14ac:dyDescent="0.3">
      <c r="B52" s="575"/>
      <c r="C52" s="582" t="s">
        <v>319</v>
      </c>
      <c r="D52" s="582"/>
      <c r="E52" s="582"/>
      <c r="F52" s="582"/>
      <c r="G52" s="582"/>
      <c r="H52" s="615"/>
      <c r="I52" s="673"/>
      <c r="J52" s="673">
        <f>SUM(J47:J51)</f>
        <v>0</v>
      </c>
      <c r="K52" s="673">
        <f t="shared" ref="K52:R52" si="6">SUM(K47:K51)</f>
        <v>103032</v>
      </c>
      <c r="L52" s="673">
        <f t="shared" si="6"/>
        <v>103032</v>
      </c>
      <c r="M52" s="673">
        <f t="shared" si="6"/>
        <v>103182</v>
      </c>
      <c r="N52" s="673">
        <f t="shared" si="6"/>
        <v>103032</v>
      </c>
      <c r="O52" s="673">
        <f t="shared" si="6"/>
        <v>103032</v>
      </c>
      <c r="P52" s="673">
        <f t="shared" si="6"/>
        <v>103032</v>
      </c>
      <c r="Q52" s="673">
        <f t="shared" si="6"/>
        <v>103032</v>
      </c>
      <c r="R52" s="673">
        <f t="shared" si="6"/>
        <v>103032</v>
      </c>
      <c r="S52" s="432">
        <f>SUM(J52:R52)</f>
        <v>824406</v>
      </c>
      <c r="T52" s="617"/>
      <c r="U52" s="582"/>
    </row>
    <row r="53" spans="2:21" x14ac:dyDescent="0.3">
      <c r="B53" s="575"/>
      <c r="C53" s="582"/>
      <c r="D53" s="582"/>
      <c r="E53" s="582"/>
      <c r="F53" s="582"/>
      <c r="G53" s="582"/>
      <c r="H53" s="615"/>
      <c r="I53" s="616"/>
      <c r="J53" s="616"/>
      <c r="K53" s="616"/>
      <c r="L53" s="616"/>
      <c r="M53" s="616"/>
      <c r="N53" s="616"/>
      <c r="O53" s="616"/>
      <c r="P53" s="616"/>
      <c r="Q53" s="616"/>
      <c r="R53" s="616"/>
      <c r="S53" s="616"/>
      <c r="T53" s="617"/>
      <c r="U53" s="582"/>
    </row>
    <row r="54" spans="2:21" x14ac:dyDescent="0.3">
      <c r="B54" s="575"/>
      <c r="C54" s="853" t="s">
        <v>729</v>
      </c>
      <c r="D54" s="618"/>
      <c r="E54" s="618"/>
      <c r="F54" s="618"/>
      <c r="G54" s="619"/>
      <c r="H54" s="620"/>
      <c r="I54" s="594"/>
      <c r="J54" s="594">
        <f t="shared" ref="J54:R54" si="7">J44+J52</f>
        <v>0</v>
      </c>
      <c r="K54" s="594">
        <f t="shared" si="7"/>
        <v>726304</v>
      </c>
      <c r="L54" s="594">
        <f t="shared" si="7"/>
        <v>748387</v>
      </c>
      <c r="M54" s="594">
        <f t="shared" si="7"/>
        <v>771030</v>
      </c>
      <c r="N54" s="594">
        <f t="shared" si="7"/>
        <v>792553</v>
      </c>
      <c r="O54" s="594">
        <f t="shared" si="7"/>
        <v>814636</v>
      </c>
      <c r="P54" s="594">
        <f t="shared" si="7"/>
        <v>836719</v>
      </c>
      <c r="Q54" s="594">
        <f t="shared" si="7"/>
        <v>858802</v>
      </c>
      <c r="R54" s="594">
        <f t="shared" si="7"/>
        <v>880885</v>
      </c>
      <c r="S54" s="594">
        <f>SUM(I54:R54)</f>
        <v>6429316</v>
      </c>
      <c r="T54" s="617"/>
      <c r="U54" s="582"/>
    </row>
    <row r="55" spans="2:21" x14ac:dyDescent="0.3">
      <c r="B55" s="575"/>
      <c r="C55" s="582"/>
      <c r="D55" s="582"/>
      <c r="E55" s="582"/>
      <c r="F55" s="582"/>
      <c r="G55" s="582"/>
      <c r="H55" s="615"/>
      <c r="I55" s="616"/>
      <c r="J55" s="616"/>
      <c r="K55" s="616"/>
      <c r="L55" s="616"/>
      <c r="M55" s="616"/>
      <c r="N55" s="616"/>
      <c r="O55" s="616"/>
      <c r="P55" s="616"/>
      <c r="Q55" s="616"/>
      <c r="R55" s="616"/>
      <c r="S55" s="616"/>
      <c r="T55" s="617"/>
      <c r="U55" s="582"/>
    </row>
    <row r="56" spans="2:21" x14ac:dyDescent="0.3">
      <c r="B56" s="575"/>
      <c r="C56" s="604" t="s">
        <v>828</v>
      </c>
      <c r="D56" s="582"/>
      <c r="E56" s="582"/>
      <c r="F56" s="582"/>
      <c r="G56" s="582"/>
      <c r="H56" s="615"/>
      <c r="I56" s="616"/>
      <c r="J56" s="616"/>
      <c r="K56" s="616"/>
      <c r="L56" s="616"/>
      <c r="M56" s="616"/>
      <c r="N56" s="616"/>
      <c r="O56" s="616"/>
      <c r="P56" s="616"/>
      <c r="Q56" s="616"/>
      <c r="R56" s="616"/>
      <c r="S56" s="616"/>
      <c r="T56" s="617"/>
      <c r="U56" s="582"/>
    </row>
    <row r="57" spans="2:21" x14ac:dyDescent="0.3">
      <c r="B57" s="575"/>
      <c r="C57" s="582"/>
      <c r="D57" s="582" t="s">
        <v>405</v>
      </c>
      <c r="E57" s="582"/>
      <c r="F57" s="582"/>
      <c r="G57" s="582"/>
      <c r="H57" s="615"/>
      <c r="I57" s="616"/>
      <c r="J57" s="616"/>
      <c r="K57" s="616"/>
      <c r="L57" s="616"/>
      <c r="M57" s="616"/>
      <c r="N57" s="616"/>
      <c r="O57" s="616"/>
      <c r="P57" s="616"/>
      <c r="Q57" s="616"/>
      <c r="R57" s="616"/>
      <c r="S57" s="616"/>
      <c r="T57" s="617"/>
      <c r="U57" s="582"/>
    </row>
    <row r="58" spans="2:21" x14ac:dyDescent="0.3">
      <c r="B58" s="575"/>
      <c r="C58" s="582"/>
      <c r="D58" s="582"/>
      <c r="E58" s="582" t="s">
        <v>829</v>
      </c>
      <c r="F58" s="582"/>
      <c r="G58" s="582"/>
      <c r="H58" s="615"/>
      <c r="I58" s="616"/>
      <c r="J58" s="616"/>
      <c r="K58" s="616"/>
      <c r="L58" s="616"/>
      <c r="M58" s="616"/>
      <c r="N58" s="616"/>
      <c r="O58" s="616"/>
      <c r="P58" s="616"/>
      <c r="Q58" s="616"/>
      <c r="R58" s="616"/>
      <c r="S58" s="616"/>
      <c r="T58" s="617"/>
      <c r="U58" s="582"/>
    </row>
    <row r="59" spans="2:21" x14ac:dyDescent="0.3">
      <c r="B59" s="575"/>
      <c r="C59" s="582"/>
      <c r="D59" s="582"/>
      <c r="E59" s="582"/>
      <c r="F59" s="582" t="s">
        <v>830</v>
      </c>
      <c r="G59" s="931">
        <v>0.03</v>
      </c>
      <c r="H59" s="615" t="s">
        <v>905</v>
      </c>
      <c r="I59" s="616"/>
      <c r="J59" s="673">
        <f>SUM(Monthly!K31:V31)</f>
        <v>0</v>
      </c>
      <c r="K59" s="673">
        <f>SUM(Monthly!W31:AH31)</f>
        <v>64999.999999999993</v>
      </c>
      <c r="L59" s="673">
        <f>SUM(Monthly!AI31:AT31)</f>
        <v>66949.999999999985</v>
      </c>
      <c r="M59" s="673">
        <f>SUM(Monthly!AU31:BF31)</f>
        <v>68958.499999999985</v>
      </c>
      <c r="N59" s="673">
        <f>SUM(Monthly!BG31:BR31)</f>
        <v>71027.255000000019</v>
      </c>
      <c r="O59" s="673">
        <f>SUM(Monthly!BS31:CD31)</f>
        <v>73158.072650000002</v>
      </c>
      <c r="P59" s="673">
        <f>SUM(Monthly!CE31:CP31)</f>
        <v>75352.814829499999</v>
      </c>
      <c r="Q59" s="673">
        <f>SUM(Monthly!CQ31:DB31)</f>
        <v>77613.399274384996</v>
      </c>
      <c r="R59" s="673">
        <f>SUM(Monthly!DC31:DN31)</f>
        <v>79941.801252616555</v>
      </c>
      <c r="S59" s="673">
        <f>SUM(J59:R59)</f>
        <v>578001.84300650144</v>
      </c>
      <c r="T59" s="617"/>
      <c r="U59" s="582"/>
    </row>
    <row r="60" spans="2:21" x14ac:dyDescent="0.3">
      <c r="B60" s="575"/>
      <c r="C60" s="582"/>
      <c r="D60" s="582"/>
      <c r="E60" s="582"/>
      <c r="F60" s="582" t="s">
        <v>831</v>
      </c>
      <c r="G60" s="932">
        <f>G59</f>
        <v>0.03</v>
      </c>
      <c r="H60" s="615" t="s">
        <v>905</v>
      </c>
      <c r="I60" s="616"/>
      <c r="J60" s="673">
        <f>SUM(Monthly!K32:V32)</f>
        <v>0</v>
      </c>
      <c r="K60" s="673">
        <f>SUM(Monthly!W32:AH32)</f>
        <v>60000</v>
      </c>
      <c r="L60" s="673">
        <f>SUM(Monthly!AI32:AT32)</f>
        <v>61800</v>
      </c>
      <c r="M60" s="673">
        <f>SUM(Monthly!AU32:BF32)</f>
        <v>63654</v>
      </c>
      <c r="N60" s="673">
        <f>SUM(Monthly!BG32:BR32)</f>
        <v>65563.62000000001</v>
      </c>
      <c r="O60" s="673">
        <f>SUM(Monthly!BS32:CD32)</f>
        <v>67530.528599999976</v>
      </c>
      <c r="P60" s="673">
        <f>SUM(Monthly!CE32:CP32)</f>
        <v>69556.444457999998</v>
      </c>
      <c r="Q60" s="673">
        <f>SUM(Monthly!CQ32:DB32)</f>
        <v>71643.137791739995</v>
      </c>
      <c r="R60" s="673">
        <f>SUM(Monthly!DC32:DN32)</f>
        <v>73792.431925492216</v>
      </c>
      <c r="S60" s="673">
        <f t="shared" ref="S60:S70" si="8">SUM(J60:R60)</f>
        <v>533540.16277523222</v>
      </c>
      <c r="T60" s="617"/>
      <c r="U60" s="582"/>
    </row>
    <row r="61" spans="2:21" x14ac:dyDescent="0.3">
      <c r="B61" s="575"/>
      <c r="C61" s="582"/>
      <c r="D61" s="582"/>
      <c r="E61" s="582"/>
      <c r="F61" s="582" t="s">
        <v>832</v>
      </c>
      <c r="G61" s="932">
        <f>G60</f>
        <v>0.03</v>
      </c>
      <c r="H61" s="615" t="s">
        <v>905</v>
      </c>
      <c r="I61" s="616"/>
      <c r="J61" s="673">
        <f>SUM(Monthly!K33:V33)</f>
        <v>0</v>
      </c>
      <c r="K61" s="673">
        <f>SUM(Monthly!W33:AH33)</f>
        <v>60000</v>
      </c>
      <c r="L61" s="673">
        <f>SUM(Monthly!AI33:AT33)</f>
        <v>61800</v>
      </c>
      <c r="M61" s="673">
        <f>SUM(Monthly!AU33:BF33)</f>
        <v>63654</v>
      </c>
      <c r="N61" s="673">
        <f>SUM(Monthly!BG33:BR33)</f>
        <v>65563.62000000001</v>
      </c>
      <c r="O61" s="673">
        <f>SUM(Monthly!BS33:CD33)</f>
        <v>67530.528599999976</v>
      </c>
      <c r="P61" s="673">
        <f>SUM(Monthly!CE33:CP33)</f>
        <v>69556.444457999998</v>
      </c>
      <c r="Q61" s="673">
        <f>SUM(Monthly!CQ33:DB33)</f>
        <v>71643.137791739995</v>
      </c>
      <c r="R61" s="673">
        <f>SUM(Monthly!DC33:DN33)</f>
        <v>73792.431925492216</v>
      </c>
      <c r="S61" s="673">
        <f t="shared" si="8"/>
        <v>533540.16277523222</v>
      </c>
      <c r="T61" s="617"/>
      <c r="U61" s="582"/>
    </row>
    <row r="62" spans="2:21" x14ac:dyDescent="0.3">
      <c r="B62" s="575"/>
      <c r="C62" s="582"/>
      <c r="D62" s="582"/>
      <c r="E62" s="582" t="s">
        <v>833</v>
      </c>
      <c r="F62" s="582"/>
      <c r="G62" s="933"/>
      <c r="H62" s="615"/>
      <c r="I62" s="616"/>
      <c r="J62" s="616"/>
      <c r="K62" s="616"/>
      <c r="L62" s="616"/>
      <c r="M62" s="616"/>
      <c r="N62" s="616"/>
      <c r="O62" s="616"/>
      <c r="P62" s="616"/>
      <c r="Q62" s="616"/>
      <c r="R62" s="616"/>
      <c r="S62" s="673"/>
      <c r="T62" s="617"/>
      <c r="U62" s="582"/>
    </row>
    <row r="63" spans="2:21" x14ac:dyDescent="0.3">
      <c r="B63" s="575"/>
      <c r="C63" s="582"/>
      <c r="D63" s="582"/>
      <c r="E63" s="582"/>
      <c r="F63" s="582" t="s">
        <v>834</v>
      </c>
      <c r="G63" s="932">
        <v>0.1</v>
      </c>
      <c r="H63" s="615" t="s">
        <v>906</v>
      </c>
      <c r="I63" s="616"/>
      <c r="J63" s="673">
        <f>SUM(Monthly!K35:V35)</f>
        <v>0</v>
      </c>
      <c r="K63" s="673">
        <f>SUM(Monthly!W35:AH35)</f>
        <v>18500.000000000007</v>
      </c>
      <c r="L63" s="673">
        <f>SUM(Monthly!AI35:AT35)</f>
        <v>19055.000000000007</v>
      </c>
      <c r="M63" s="673">
        <f>SUM(Monthly!AU35:BF35)</f>
        <v>19626.650000000001</v>
      </c>
      <c r="N63" s="673">
        <f>SUM(Monthly!BG35:BR35)</f>
        <v>20215.449500000002</v>
      </c>
      <c r="O63" s="673">
        <f>SUM(Monthly!BS35:CD35)</f>
        <v>20821.912984999999</v>
      </c>
      <c r="P63" s="673">
        <f>SUM(Monthly!CE35:CP35)</f>
        <v>21446.570374549996</v>
      </c>
      <c r="Q63" s="673">
        <f>SUM(Monthly!CQ35:DB35)</f>
        <v>22089.967485786499</v>
      </c>
      <c r="R63" s="673">
        <f>SUM(Monthly!DC35:DN35)</f>
        <v>22752.666510360097</v>
      </c>
      <c r="S63" s="673">
        <f t="shared" si="8"/>
        <v>164508.21685569658</v>
      </c>
      <c r="T63" s="617"/>
      <c r="U63" s="582"/>
    </row>
    <row r="64" spans="2:21" x14ac:dyDescent="0.3">
      <c r="B64" s="575"/>
      <c r="C64" s="582"/>
      <c r="D64" s="582"/>
      <c r="E64" s="582"/>
      <c r="F64" s="582" t="s">
        <v>835</v>
      </c>
      <c r="G64" s="932">
        <v>0.01</v>
      </c>
      <c r="H64" s="615" t="s">
        <v>906</v>
      </c>
      <c r="I64" s="616"/>
      <c r="J64" s="673">
        <f>SUM(Monthly!K36:V36)</f>
        <v>0</v>
      </c>
      <c r="K64" s="673">
        <f>SUM(Monthly!W36:AH36)</f>
        <v>1850.0000000000007</v>
      </c>
      <c r="L64" s="673">
        <f>SUM(Monthly!AI36:AT36)</f>
        <v>1905.5000000000007</v>
      </c>
      <c r="M64" s="673">
        <f>SUM(Monthly!AU36:BF36)</f>
        <v>1962.6649999999997</v>
      </c>
      <c r="N64" s="673">
        <f>SUM(Monthly!BG36:BR36)</f>
        <v>2021.5449499999997</v>
      </c>
      <c r="O64" s="673">
        <f>SUM(Monthly!BS36:CD36)</f>
        <v>2082.1912985000004</v>
      </c>
      <c r="P64" s="673">
        <f>SUM(Monthly!CE36:CP36)</f>
        <v>2144.6570374549997</v>
      </c>
      <c r="Q64" s="673">
        <f>SUM(Monthly!CQ36:DB36)</f>
        <v>2208.9967485786497</v>
      </c>
      <c r="R64" s="673">
        <f>SUM(Monthly!DC36:DN36)</f>
        <v>2275.2666510360091</v>
      </c>
      <c r="S64" s="673">
        <f t="shared" si="8"/>
        <v>16450.821685569659</v>
      </c>
      <c r="T64" s="617"/>
      <c r="U64" s="582"/>
    </row>
    <row r="65" spans="2:21" x14ac:dyDescent="0.3">
      <c r="B65" s="575"/>
      <c r="C65" s="582"/>
      <c r="D65" s="582"/>
      <c r="E65" s="582"/>
      <c r="F65" s="582" t="s">
        <v>836</v>
      </c>
      <c r="G65" s="931">
        <v>0.01</v>
      </c>
      <c r="H65" s="615" t="s">
        <v>906</v>
      </c>
      <c r="I65" s="616"/>
      <c r="J65" s="673">
        <f>SUM(Monthly!K37:V37)</f>
        <v>0</v>
      </c>
      <c r="K65" s="673">
        <f>SUM(Monthly!W37:AH37)</f>
        <v>1850.0000000000007</v>
      </c>
      <c r="L65" s="673">
        <f>SUM(Monthly!AI37:AT37)</f>
        <v>1905.5000000000007</v>
      </c>
      <c r="M65" s="673">
        <f>SUM(Monthly!AU37:BF37)</f>
        <v>1962.6649999999997</v>
      </c>
      <c r="N65" s="673">
        <f>SUM(Monthly!BG37:BR37)</f>
        <v>2021.5449499999997</v>
      </c>
      <c r="O65" s="673">
        <f>SUM(Monthly!BS37:CD37)</f>
        <v>2082.1912985000004</v>
      </c>
      <c r="P65" s="673">
        <f>SUM(Monthly!CE37:CP37)</f>
        <v>2144.6570374549997</v>
      </c>
      <c r="Q65" s="673">
        <f>SUM(Monthly!CQ37:DB37)</f>
        <v>2208.9967485786497</v>
      </c>
      <c r="R65" s="673">
        <f>SUM(Monthly!DC37:DN37)</f>
        <v>2275.2666510360091</v>
      </c>
      <c r="S65" s="673">
        <f t="shared" si="8"/>
        <v>16450.821685569659</v>
      </c>
      <c r="T65" s="617"/>
      <c r="U65" s="582"/>
    </row>
    <row r="66" spans="2:21" x14ac:dyDescent="0.3">
      <c r="B66" s="575"/>
      <c r="C66" s="582"/>
      <c r="D66" s="582" t="s">
        <v>838</v>
      </c>
      <c r="E66" s="582"/>
      <c r="F66" s="582"/>
      <c r="G66" s="582"/>
      <c r="H66" s="615"/>
      <c r="I66" s="616"/>
      <c r="J66" s="616"/>
      <c r="K66" s="616"/>
      <c r="L66" s="616"/>
      <c r="M66" s="616"/>
      <c r="N66" s="616"/>
      <c r="O66" s="616"/>
      <c r="P66" s="616"/>
      <c r="Q66" s="616"/>
      <c r="R66" s="616"/>
      <c r="S66" s="673"/>
      <c r="T66" s="617"/>
      <c r="U66" s="582"/>
    </row>
    <row r="67" spans="2:21" x14ac:dyDescent="0.3">
      <c r="B67" s="575"/>
      <c r="C67" s="582"/>
      <c r="D67" s="582"/>
      <c r="E67" s="582" t="s">
        <v>839</v>
      </c>
      <c r="F67" s="582"/>
      <c r="G67" s="931">
        <v>0.03</v>
      </c>
      <c r="H67" s="615" t="s">
        <v>905</v>
      </c>
      <c r="I67" s="616"/>
      <c r="J67" s="673">
        <f>SUM(Monthly!K39:V39)</f>
        <v>0</v>
      </c>
      <c r="K67" s="673">
        <f>SUM(Monthly!W39:AH39)</f>
        <v>3000</v>
      </c>
      <c r="L67" s="673">
        <f>SUM(Monthly!AI39:AT39)</f>
        <v>3090</v>
      </c>
      <c r="M67" s="673">
        <f>SUM(Monthly!AU39:BF39)</f>
        <v>3182.6999999999994</v>
      </c>
      <c r="N67" s="673">
        <f>SUM(Monthly!BG39:BR39)</f>
        <v>3278.1810000000009</v>
      </c>
      <c r="O67" s="673">
        <f>SUM(Monthly!BS39:CD39)</f>
        <v>3376.5264299999985</v>
      </c>
      <c r="P67" s="673">
        <f>SUM(Monthly!CE39:CP39)</f>
        <v>3477.8222228999989</v>
      </c>
      <c r="Q67" s="673">
        <f>SUM(Monthly!CQ39:DB39)</f>
        <v>3582.156889587</v>
      </c>
      <c r="R67" s="673">
        <f>SUM(Monthly!DC39:DN39)</f>
        <v>3689.6215962746101</v>
      </c>
      <c r="S67" s="673">
        <f t="shared" si="8"/>
        <v>26677.008138761608</v>
      </c>
      <c r="T67" s="617"/>
      <c r="U67" s="582"/>
    </row>
    <row r="68" spans="2:21" x14ac:dyDescent="0.3">
      <c r="B68" s="575"/>
      <c r="C68" s="582"/>
      <c r="D68" s="582"/>
      <c r="E68" s="582" t="s">
        <v>913</v>
      </c>
      <c r="F68" s="582"/>
      <c r="G68" s="931">
        <v>0.03</v>
      </c>
      <c r="H68" s="615" t="s">
        <v>905</v>
      </c>
      <c r="I68" s="616"/>
      <c r="J68" s="673">
        <f>SUM(Monthly!K40:V40)</f>
        <v>0</v>
      </c>
      <c r="K68" s="673">
        <f>SUM(Monthly!W40:AH40)</f>
        <v>42000</v>
      </c>
      <c r="L68" s="673">
        <f>SUM(Monthly!AI40:AT40)</f>
        <v>43260</v>
      </c>
      <c r="M68" s="673">
        <f>SUM(Monthly!AU40:BF40)</f>
        <v>44557.80000000001</v>
      </c>
      <c r="N68" s="673">
        <f>SUM(Monthly!BG40:BR40)</f>
        <v>45894.534000000014</v>
      </c>
      <c r="O68" s="673">
        <f>SUM(Monthly!BS40:CD40)</f>
        <v>47271.37001999998</v>
      </c>
      <c r="P68" s="673">
        <f>SUM(Monthly!CE40:CP40)</f>
        <v>48689.511120599986</v>
      </c>
      <c r="Q68" s="673">
        <f>SUM(Monthly!CQ40:DB40)</f>
        <v>50150.196454217999</v>
      </c>
      <c r="R68" s="673">
        <f>SUM(Monthly!DC40:DN40)</f>
        <v>51654.702347844526</v>
      </c>
      <c r="S68" s="673">
        <f t="shared" si="8"/>
        <v>373478.11394266255</v>
      </c>
      <c r="T68" s="617"/>
      <c r="U68" s="582"/>
    </row>
    <row r="69" spans="2:21" x14ac:dyDescent="0.3">
      <c r="B69" s="575"/>
      <c r="C69" s="582"/>
      <c r="D69" s="582" t="s">
        <v>837</v>
      </c>
      <c r="E69" s="582"/>
      <c r="F69" s="582"/>
      <c r="G69" s="582"/>
      <c r="H69" s="615"/>
      <c r="I69" s="616"/>
      <c r="J69" s="616"/>
      <c r="K69" s="616"/>
      <c r="L69" s="616"/>
      <c r="M69" s="616"/>
      <c r="N69" s="616"/>
      <c r="O69" s="616"/>
      <c r="P69" s="616"/>
      <c r="Q69" s="616"/>
      <c r="R69" s="616"/>
      <c r="S69" s="673"/>
      <c r="T69" s="617"/>
      <c r="U69" s="582"/>
    </row>
    <row r="70" spans="2:21" x14ac:dyDescent="0.3">
      <c r="B70" s="575"/>
      <c r="C70" s="582"/>
      <c r="D70" s="591"/>
      <c r="E70" s="591" t="s">
        <v>778</v>
      </c>
      <c r="F70" s="591"/>
      <c r="G70" s="934">
        <v>0.03</v>
      </c>
      <c r="H70" s="623" t="s">
        <v>905</v>
      </c>
      <c r="I70" s="854"/>
      <c r="J70" s="706">
        <f>SUM(Monthly!K42:V42)</f>
        <v>0</v>
      </c>
      <c r="K70" s="706">
        <f>SUM(Monthly!W42:AH42)</f>
        <v>42000</v>
      </c>
      <c r="L70" s="706">
        <f>SUM(Monthly!AI42:AT42)</f>
        <v>43260</v>
      </c>
      <c r="M70" s="706">
        <f>SUM(Monthly!AU42:BF42)</f>
        <v>44557.80000000001</v>
      </c>
      <c r="N70" s="706">
        <f>SUM(Monthly!BG42:BR42)</f>
        <v>45894.534000000014</v>
      </c>
      <c r="O70" s="706">
        <f>SUM(Monthly!BS42:CD42)</f>
        <v>47271.37001999998</v>
      </c>
      <c r="P70" s="706">
        <f>SUM(Monthly!CE42:CP42)</f>
        <v>48689.511120599986</v>
      </c>
      <c r="Q70" s="706">
        <f>SUM(Monthly!CQ42:DB42)</f>
        <v>50150.196454217999</v>
      </c>
      <c r="R70" s="706">
        <f>SUM(Monthly!DC42:DN42)</f>
        <v>51654.702347844526</v>
      </c>
      <c r="S70" s="706">
        <f t="shared" si="8"/>
        <v>373478.11394266255</v>
      </c>
      <c r="T70" s="617"/>
      <c r="U70" s="582"/>
    </row>
    <row r="71" spans="2:21" x14ac:dyDescent="0.3">
      <c r="B71" s="575"/>
      <c r="C71" s="582"/>
      <c r="D71" s="582" t="s">
        <v>882</v>
      </c>
      <c r="E71" s="582"/>
      <c r="F71" s="582"/>
      <c r="G71" s="582"/>
      <c r="H71" s="615"/>
      <c r="I71" s="616"/>
      <c r="J71" s="673">
        <f t="shared" ref="J71:S71" si="9">SUM(J57:J70)</f>
        <v>0</v>
      </c>
      <c r="K71" s="673">
        <f t="shared" si="9"/>
        <v>294200</v>
      </c>
      <c r="L71" s="673">
        <f t="shared" si="9"/>
        <v>303026</v>
      </c>
      <c r="M71" s="673">
        <f t="shared" si="9"/>
        <v>312116.78000000003</v>
      </c>
      <c r="N71" s="673">
        <f t="shared" si="9"/>
        <v>321480.28340000007</v>
      </c>
      <c r="O71" s="673">
        <f t="shared" si="9"/>
        <v>331124.69190199993</v>
      </c>
      <c r="P71" s="673">
        <f t="shared" si="9"/>
        <v>341058.43265906</v>
      </c>
      <c r="Q71" s="673">
        <f t="shared" si="9"/>
        <v>351290.18563883175</v>
      </c>
      <c r="R71" s="673">
        <f t="shared" si="9"/>
        <v>361828.89120799681</v>
      </c>
      <c r="S71" s="673">
        <f t="shared" si="9"/>
        <v>2616125.2648078888</v>
      </c>
      <c r="T71" s="617"/>
      <c r="U71" s="582"/>
    </row>
    <row r="72" spans="2:21" x14ac:dyDescent="0.3">
      <c r="B72" s="575"/>
      <c r="C72" s="582"/>
      <c r="D72" s="582"/>
      <c r="E72" s="582"/>
      <c r="F72" s="582"/>
      <c r="G72" s="582"/>
      <c r="H72" s="615"/>
      <c r="I72" s="616"/>
      <c r="J72" s="616"/>
      <c r="K72" s="616"/>
      <c r="L72" s="616"/>
      <c r="M72" s="616"/>
      <c r="N72" s="616"/>
      <c r="O72" s="616"/>
      <c r="P72" s="616"/>
      <c r="Q72" s="616"/>
      <c r="R72" s="616"/>
      <c r="S72" s="616"/>
      <c r="T72" s="617"/>
      <c r="U72" s="582"/>
    </row>
    <row r="73" spans="2:21" x14ac:dyDescent="0.3">
      <c r="B73" s="575"/>
      <c r="C73" s="604" t="s">
        <v>840</v>
      </c>
      <c r="D73" s="582"/>
      <c r="E73" s="582"/>
      <c r="F73" s="582"/>
      <c r="G73" s="582"/>
      <c r="H73" s="615"/>
      <c r="I73" s="616"/>
      <c r="J73" s="616"/>
      <c r="K73" s="616"/>
      <c r="L73" s="616"/>
      <c r="M73" s="616"/>
      <c r="N73" s="616"/>
      <c r="O73" s="616"/>
      <c r="P73" s="616"/>
      <c r="Q73" s="616"/>
      <c r="R73" s="616"/>
      <c r="S73" s="616"/>
      <c r="T73" s="617"/>
      <c r="U73" s="582"/>
    </row>
    <row r="74" spans="2:21" x14ac:dyDescent="0.3">
      <c r="B74" s="575"/>
      <c r="C74" s="582"/>
      <c r="D74" s="582" t="s">
        <v>841</v>
      </c>
      <c r="E74" s="582"/>
      <c r="F74" s="582"/>
      <c r="G74" s="582"/>
      <c r="H74" s="615"/>
      <c r="I74" s="616"/>
      <c r="J74" s="616"/>
      <c r="K74" s="616"/>
      <c r="L74" s="616"/>
      <c r="M74" s="616"/>
      <c r="N74" s="616"/>
      <c r="O74" s="616"/>
      <c r="P74" s="616"/>
      <c r="Q74" s="616"/>
      <c r="R74" s="616"/>
      <c r="S74" s="616"/>
      <c r="T74" s="617"/>
      <c r="U74" s="582"/>
    </row>
    <row r="75" spans="2:21" x14ac:dyDescent="0.3">
      <c r="B75" s="575"/>
      <c r="C75" s="582"/>
      <c r="D75" s="582"/>
      <c r="E75" s="582" t="s">
        <v>160</v>
      </c>
      <c r="F75" s="582"/>
      <c r="G75" s="931">
        <v>0.03</v>
      </c>
      <c r="H75" s="615" t="s">
        <v>905</v>
      </c>
      <c r="I75" s="616"/>
      <c r="J75" s="673">
        <f>SUM(Monthly!K47:V47)</f>
        <v>0</v>
      </c>
      <c r="K75" s="673">
        <f>SUM(Monthly!W47:AH47)</f>
        <v>3000</v>
      </c>
      <c r="L75" s="673">
        <f>SUM(Monthly!AI47:AT47)</f>
        <v>3090</v>
      </c>
      <c r="M75" s="673">
        <f>SUM(Monthly!AU47:BF47)</f>
        <v>3182.6999999999994</v>
      </c>
      <c r="N75" s="673">
        <f>SUM(Monthly!BG47:BR47)</f>
        <v>3278.1810000000009</v>
      </c>
      <c r="O75" s="673">
        <f>SUM(Monthly!BS47:CD47)</f>
        <v>3376.5264299999985</v>
      </c>
      <c r="P75" s="673">
        <f>SUM(Monthly!CE47:CP47)</f>
        <v>3477.8222228999989</v>
      </c>
      <c r="Q75" s="673">
        <f>SUM(Monthly!CQ47:DB47)</f>
        <v>3582.156889587</v>
      </c>
      <c r="R75" s="673">
        <f>SUM(Monthly!DC47:DN47)</f>
        <v>3689.6215962746101</v>
      </c>
      <c r="S75" s="673">
        <f>SUM(J75:R75)</f>
        <v>26677.008138761608</v>
      </c>
      <c r="T75" s="617"/>
      <c r="U75" s="582"/>
    </row>
    <row r="76" spans="2:21" x14ac:dyDescent="0.3">
      <c r="B76" s="575"/>
      <c r="C76" s="582"/>
      <c r="D76" s="582"/>
      <c r="E76" s="582" t="s">
        <v>161</v>
      </c>
      <c r="F76" s="582"/>
      <c r="G76" s="931">
        <v>0.03</v>
      </c>
      <c r="H76" s="615" t="s">
        <v>905</v>
      </c>
      <c r="I76" s="616"/>
      <c r="J76" s="673">
        <f>SUM(Monthly!K48:V48)</f>
        <v>0</v>
      </c>
      <c r="K76" s="673">
        <f>SUM(Monthly!W48:AH48)</f>
        <v>3000</v>
      </c>
      <c r="L76" s="673">
        <f>SUM(Monthly!AI48:AT48)</f>
        <v>3090</v>
      </c>
      <c r="M76" s="673">
        <f>SUM(Monthly!AU48:BF48)</f>
        <v>3182.6999999999994</v>
      </c>
      <c r="N76" s="673">
        <f>SUM(Monthly!BG48:BR48)</f>
        <v>3278.1810000000009</v>
      </c>
      <c r="O76" s="673">
        <f>SUM(Monthly!BS48:CD48)</f>
        <v>3376.5264299999985</v>
      </c>
      <c r="P76" s="673">
        <f>SUM(Monthly!CE48:CP48)</f>
        <v>3477.8222228999989</v>
      </c>
      <c r="Q76" s="673">
        <f>SUM(Monthly!CQ48:DB48)</f>
        <v>3582.156889587</v>
      </c>
      <c r="R76" s="673">
        <f>SUM(Monthly!DC48:DN48)</f>
        <v>3689.6215962746101</v>
      </c>
      <c r="S76" s="673">
        <f>SUM(J76:R76)</f>
        <v>26677.008138761608</v>
      </c>
      <c r="T76" s="617"/>
      <c r="U76" s="582"/>
    </row>
    <row r="77" spans="2:21" x14ac:dyDescent="0.3">
      <c r="B77" s="575"/>
      <c r="C77" s="582"/>
      <c r="D77" s="582"/>
      <c r="E77" s="582" t="s">
        <v>842</v>
      </c>
      <c r="F77" s="582"/>
      <c r="G77" s="931">
        <v>0.03</v>
      </c>
      <c r="H77" s="615" t="s">
        <v>905</v>
      </c>
      <c r="I77" s="616"/>
      <c r="J77" s="673">
        <f>SUM(Monthly!K49:V49)</f>
        <v>0</v>
      </c>
      <c r="K77" s="673">
        <f>SUM(Monthly!W49:AH49)</f>
        <v>3000</v>
      </c>
      <c r="L77" s="673">
        <f>SUM(Monthly!AI49:AT49)</f>
        <v>3090</v>
      </c>
      <c r="M77" s="673">
        <f>SUM(Monthly!AU49:BF49)</f>
        <v>3182.6999999999994</v>
      </c>
      <c r="N77" s="673">
        <f>SUM(Monthly!BG49:BR49)</f>
        <v>3278.1810000000009</v>
      </c>
      <c r="O77" s="673">
        <f>SUM(Monthly!BS49:CD49)</f>
        <v>3376.5264299999985</v>
      </c>
      <c r="P77" s="673">
        <f>SUM(Monthly!CE49:CP49)</f>
        <v>3477.8222228999989</v>
      </c>
      <c r="Q77" s="673">
        <f>SUM(Monthly!CQ49:DB49)</f>
        <v>3582.156889587</v>
      </c>
      <c r="R77" s="673">
        <f>SUM(Monthly!DC49:DN49)</f>
        <v>3689.6215962746101</v>
      </c>
      <c r="S77" s="673">
        <f>SUM(J77:R77)</f>
        <v>26677.008138761608</v>
      </c>
      <c r="T77" s="617"/>
      <c r="U77" s="582"/>
    </row>
    <row r="78" spans="2:21" x14ac:dyDescent="0.3">
      <c r="B78" s="575"/>
      <c r="C78" s="582"/>
      <c r="D78" s="582"/>
      <c r="E78" s="582" t="s">
        <v>843</v>
      </c>
      <c r="F78" s="582"/>
      <c r="G78" s="931">
        <v>0.03</v>
      </c>
      <c r="H78" s="615" t="s">
        <v>905</v>
      </c>
      <c r="I78" s="616"/>
      <c r="J78" s="673">
        <f>SUM(Monthly!K50:V50)</f>
        <v>0</v>
      </c>
      <c r="K78" s="673">
        <f>SUM(Monthly!W50:AH50)</f>
        <v>6000</v>
      </c>
      <c r="L78" s="673">
        <f>SUM(Monthly!AI50:AT50)</f>
        <v>6180</v>
      </c>
      <c r="M78" s="673">
        <f>SUM(Monthly!AU50:BF50)</f>
        <v>6365.3999999999987</v>
      </c>
      <c r="N78" s="673">
        <f>SUM(Monthly!BG50:BR50)</f>
        <v>6556.3620000000019</v>
      </c>
      <c r="O78" s="673">
        <f>SUM(Monthly!BS50:CD50)</f>
        <v>6753.0528599999971</v>
      </c>
      <c r="P78" s="673">
        <f>SUM(Monthly!CE50:CP50)</f>
        <v>6955.6444457999978</v>
      </c>
      <c r="Q78" s="673">
        <f>SUM(Monthly!CQ50:DB50)</f>
        <v>7164.313779174</v>
      </c>
      <c r="R78" s="673">
        <f>SUM(Monthly!DC50:DN50)</f>
        <v>7379.2431925492201</v>
      </c>
      <c r="S78" s="673">
        <f>SUM(J78:R78)</f>
        <v>53354.016277523217</v>
      </c>
      <c r="T78" s="617"/>
      <c r="U78" s="582"/>
    </row>
    <row r="79" spans="2:21" x14ac:dyDescent="0.3">
      <c r="B79" s="575"/>
      <c r="C79" s="582"/>
      <c r="D79" s="582"/>
      <c r="E79" s="582" t="s">
        <v>844</v>
      </c>
      <c r="F79" s="582"/>
      <c r="G79" s="931">
        <v>0.03</v>
      </c>
      <c r="H79" s="615" t="s">
        <v>912</v>
      </c>
      <c r="I79" s="616"/>
      <c r="J79" s="673">
        <f>SUM(Monthly!K51:V51)</f>
        <v>0</v>
      </c>
      <c r="K79" s="673">
        <f>SUM(Monthly!W51:AH51)</f>
        <v>21789.119999999999</v>
      </c>
      <c r="L79" s="673">
        <f>SUM(Monthly!AI51:AT51)</f>
        <v>22451.61</v>
      </c>
      <c r="M79" s="673">
        <f>SUM(Monthly!AU51:BF51)</f>
        <v>23130.9</v>
      </c>
      <c r="N79" s="673">
        <f>SUM(Monthly!BG51:BR51)</f>
        <v>23776.589999999997</v>
      </c>
      <c r="O79" s="673">
        <f>SUM(Monthly!BS51:CD51)</f>
        <v>24439.08</v>
      </c>
      <c r="P79" s="673">
        <f>SUM(Monthly!CE51:CP51)</f>
        <v>25101.569999999996</v>
      </c>
      <c r="Q79" s="673">
        <f>SUM(Monthly!CQ51:DB51)</f>
        <v>25764.06</v>
      </c>
      <c r="R79" s="673">
        <f>SUM(Monthly!DC51:DN51)</f>
        <v>26426.55</v>
      </c>
      <c r="S79" s="673">
        <f>SUM(J79:R79)</f>
        <v>192879.47999999998</v>
      </c>
      <c r="T79" s="617"/>
      <c r="U79" s="582"/>
    </row>
    <row r="80" spans="2:21" x14ac:dyDescent="0.3">
      <c r="B80" s="575"/>
      <c r="C80" s="582"/>
      <c r="D80" s="582" t="s">
        <v>845</v>
      </c>
      <c r="E80" s="582"/>
      <c r="F80" s="582"/>
      <c r="G80" s="931"/>
      <c r="H80" s="615"/>
      <c r="I80" s="616"/>
      <c r="J80" s="616"/>
      <c r="K80" s="616"/>
      <c r="L80" s="616"/>
      <c r="M80" s="616"/>
      <c r="N80" s="616"/>
      <c r="O80" s="616"/>
      <c r="P80" s="616"/>
      <c r="Q80" s="616"/>
      <c r="R80" s="616"/>
      <c r="S80" s="616"/>
      <c r="T80" s="617"/>
      <c r="U80" s="582"/>
    </row>
    <row r="81" spans="2:21" x14ac:dyDescent="0.3">
      <c r="B81" s="575"/>
      <c r="C81" s="582"/>
      <c r="D81" s="582"/>
      <c r="E81" s="582" t="s">
        <v>846</v>
      </c>
      <c r="F81" s="582"/>
      <c r="G81" s="931">
        <v>0.03</v>
      </c>
      <c r="H81" s="615" t="s">
        <v>905</v>
      </c>
      <c r="I81" s="616"/>
      <c r="J81" s="673">
        <f>SUM(Monthly!K53:V53)</f>
        <v>0</v>
      </c>
      <c r="K81" s="673">
        <f>SUM(Monthly!W53:AH53)</f>
        <v>2520</v>
      </c>
      <c r="L81" s="673">
        <f>SUM(Monthly!AI53:AT53)</f>
        <v>2595.6000000000004</v>
      </c>
      <c r="M81" s="673">
        <f>SUM(Monthly!AU53:BF53)</f>
        <v>2673.4679999999998</v>
      </c>
      <c r="N81" s="673">
        <f>SUM(Monthly!BG53:BR53)</f>
        <v>2753.6720400000008</v>
      </c>
      <c r="O81" s="673">
        <f>SUM(Monthly!BS53:CD53)</f>
        <v>2836.2822011999997</v>
      </c>
      <c r="P81" s="673">
        <f>SUM(Monthly!CE53:CP53)</f>
        <v>2921.3706672360004</v>
      </c>
      <c r="Q81" s="673">
        <f>SUM(Monthly!CQ53:DB53)</f>
        <v>3009.0117872530795</v>
      </c>
      <c r="R81" s="673">
        <f>SUM(Monthly!DC53:DN53)</f>
        <v>3099.2821408706718</v>
      </c>
      <c r="S81" s="673">
        <f>SUM(J81:R81)</f>
        <v>22408.686836559755</v>
      </c>
      <c r="T81" s="617"/>
      <c r="U81" s="582"/>
    </row>
    <row r="82" spans="2:21" x14ac:dyDescent="0.3">
      <c r="B82" s="575"/>
      <c r="C82" s="582"/>
      <c r="D82" s="582" t="s">
        <v>847</v>
      </c>
      <c r="E82" s="582"/>
      <c r="F82" s="582"/>
      <c r="G82" s="931"/>
      <c r="H82" s="615"/>
      <c r="I82" s="616"/>
      <c r="J82" s="616"/>
      <c r="K82" s="616"/>
      <c r="L82" s="616"/>
      <c r="M82" s="616"/>
      <c r="N82" s="616"/>
      <c r="O82" s="616"/>
      <c r="P82" s="616"/>
      <c r="Q82" s="616"/>
      <c r="R82" s="616"/>
      <c r="S82" s="616"/>
      <c r="T82" s="617"/>
      <c r="U82" s="582"/>
    </row>
    <row r="83" spans="2:21" x14ac:dyDescent="0.3">
      <c r="B83" s="575"/>
      <c r="C83" s="582"/>
      <c r="D83" s="582"/>
      <c r="E83" s="582" t="s">
        <v>848</v>
      </c>
      <c r="F83" s="582"/>
      <c r="G83" s="931">
        <v>0.03</v>
      </c>
      <c r="H83" s="615" t="s">
        <v>905</v>
      </c>
      <c r="I83" s="616"/>
      <c r="J83" s="673">
        <f>SUM(Monthly!K55:V55)</f>
        <v>5500</v>
      </c>
      <c r="K83" s="673">
        <f>SUM(Monthly!W55:AH55)</f>
        <v>3000</v>
      </c>
      <c r="L83" s="673">
        <f>SUM(Monthly!AI55:AT55)</f>
        <v>3090</v>
      </c>
      <c r="M83" s="673">
        <f>SUM(Monthly!AU55:BF55)</f>
        <v>3182.6999999999994</v>
      </c>
      <c r="N83" s="673">
        <f>SUM(Monthly!BG55:BR55)</f>
        <v>3278.1810000000009</v>
      </c>
      <c r="O83" s="673">
        <f>SUM(Monthly!BS55:CD55)</f>
        <v>3376.5264299999985</v>
      </c>
      <c r="P83" s="673">
        <f>SUM(Monthly!CE55:CP55)</f>
        <v>3477.8222228999989</v>
      </c>
      <c r="Q83" s="673">
        <f>SUM(Monthly!CQ55:DB55)</f>
        <v>3582.156889587</v>
      </c>
      <c r="R83" s="673">
        <f>SUM(Monthly!DC55:DN55)</f>
        <v>3689.6215962746101</v>
      </c>
      <c r="S83" s="673">
        <f>SUM(J83:R83)</f>
        <v>32177.008138761608</v>
      </c>
      <c r="T83" s="617"/>
      <c r="U83" s="582"/>
    </row>
    <row r="84" spans="2:21" x14ac:dyDescent="0.3">
      <c r="B84" s="575"/>
      <c r="C84" s="582"/>
      <c r="D84" s="582" t="s">
        <v>849</v>
      </c>
      <c r="E84" s="582"/>
      <c r="F84" s="582"/>
      <c r="G84" s="931"/>
      <c r="H84" s="615"/>
      <c r="I84" s="616"/>
      <c r="J84" s="616"/>
      <c r="K84" s="616"/>
      <c r="L84" s="616"/>
      <c r="M84" s="616"/>
      <c r="N84" s="616"/>
      <c r="O84" s="616"/>
      <c r="P84" s="616"/>
      <c r="Q84" s="616"/>
      <c r="R84" s="616"/>
      <c r="S84" s="616"/>
      <c r="T84" s="617"/>
      <c r="U84" s="582"/>
    </row>
    <row r="85" spans="2:21" x14ac:dyDescent="0.3">
      <c r="B85" s="575"/>
      <c r="C85" s="582"/>
      <c r="D85" s="582"/>
      <c r="E85" s="582" t="s">
        <v>850</v>
      </c>
      <c r="F85" s="582"/>
      <c r="G85" s="931">
        <v>0.03</v>
      </c>
      <c r="H85" s="615" t="s">
        <v>905</v>
      </c>
      <c r="I85" s="616"/>
      <c r="J85" s="673">
        <f>SUM(Monthly!K57:V57)</f>
        <v>0</v>
      </c>
      <c r="K85" s="673">
        <f>SUM(Monthly!W57:AH57)</f>
        <v>34560</v>
      </c>
      <c r="L85" s="673">
        <f>SUM(Monthly!AI57:AT57)</f>
        <v>35596.80000000001</v>
      </c>
      <c r="M85" s="673">
        <f>SUM(Monthly!AU57:BF57)</f>
        <v>36664.703999999998</v>
      </c>
      <c r="N85" s="673">
        <f>SUM(Monthly!BG57:BR57)</f>
        <v>37764.645119999994</v>
      </c>
      <c r="O85" s="673">
        <f>SUM(Monthly!BS57:CD57)</f>
        <v>38897.5844736</v>
      </c>
      <c r="P85" s="673">
        <f>SUM(Monthly!CE57:CP57)</f>
        <v>40064.512007807993</v>
      </c>
      <c r="Q85" s="673">
        <f>SUM(Monthly!CQ57:DB57)</f>
        <v>41266.447368042245</v>
      </c>
      <c r="R85" s="673">
        <f>SUM(Monthly!DC57:DN57)</f>
        <v>42504.440789083514</v>
      </c>
      <c r="S85" s="673">
        <f>SUM(J85:R85)</f>
        <v>307319.13375853375</v>
      </c>
      <c r="T85" s="617"/>
      <c r="U85" s="582"/>
    </row>
    <row r="86" spans="2:21" x14ac:dyDescent="0.3">
      <c r="B86" s="575"/>
      <c r="C86" s="582"/>
      <c r="D86" s="582"/>
      <c r="E86" s="582" t="s">
        <v>851</v>
      </c>
      <c r="F86" s="582"/>
      <c r="G86" s="931">
        <v>0.03</v>
      </c>
      <c r="H86" s="615" t="s">
        <v>905</v>
      </c>
      <c r="I86" s="616"/>
      <c r="J86" s="673">
        <f>SUM(Monthly!K58:V58)</f>
        <v>0</v>
      </c>
      <c r="K86" s="673">
        <f>SUM(Monthly!W58:AH58)</f>
        <v>6000</v>
      </c>
      <c r="L86" s="673">
        <f>SUM(Monthly!AI58:AT58)</f>
        <v>6180</v>
      </c>
      <c r="M86" s="673">
        <f>SUM(Monthly!AU58:BF58)</f>
        <v>6365.3999999999987</v>
      </c>
      <c r="N86" s="673">
        <f>SUM(Monthly!BG58:BR58)</f>
        <v>6556.3620000000019</v>
      </c>
      <c r="O86" s="673">
        <f>SUM(Monthly!BS58:CD58)</f>
        <v>6753.0528599999971</v>
      </c>
      <c r="P86" s="673">
        <f>SUM(Monthly!CE58:CP58)</f>
        <v>6955.6444457999978</v>
      </c>
      <c r="Q86" s="673">
        <f>SUM(Monthly!CQ58:DB58)</f>
        <v>7164.313779174</v>
      </c>
      <c r="R86" s="673">
        <f>SUM(Monthly!DC58:DN58)</f>
        <v>7379.2431925492201</v>
      </c>
      <c r="S86" s="673">
        <f>SUM(J86:R86)</f>
        <v>53354.016277523217</v>
      </c>
      <c r="T86" s="617"/>
      <c r="U86" s="582"/>
    </row>
    <row r="87" spans="2:21" x14ac:dyDescent="0.3">
      <c r="B87" s="575"/>
      <c r="C87" s="582"/>
      <c r="D87" s="582"/>
      <c r="E87" s="582" t="s">
        <v>852</v>
      </c>
      <c r="F87" s="582"/>
      <c r="G87" s="931">
        <v>0.03</v>
      </c>
      <c r="H87" s="615" t="s">
        <v>905</v>
      </c>
      <c r="I87" s="616"/>
      <c r="J87" s="673">
        <f>SUM(Monthly!K59:V59)</f>
        <v>0</v>
      </c>
      <c r="K87" s="673">
        <f>SUM(Monthly!W59:AH59)</f>
        <v>6000</v>
      </c>
      <c r="L87" s="673">
        <f>SUM(Monthly!AI59:AT59)</f>
        <v>6180</v>
      </c>
      <c r="M87" s="673">
        <f>SUM(Monthly!AU59:BF59)</f>
        <v>6365.3999999999987</v>
      </c>
      <c r="N87" s="673">
        <f>SUM(Monthly!BG59:BR59)</f>
        <v>6556.3620000000019</v>
      </c>
      <c r="O87" s="673">
        <f>SUM(Monthly!BS59:CD59)</f>
        <v>6753.0528599999971</v>
      </c>
      <c r="P87" s="673">
        <f>SUM(Monthly!CE59:CP59)</f>
        <v>6955.6444457999978</v>
      </c>
      <c r="Q87" s="673">
        <f>SUM(Monthly!CQ59:DB59)</f>
        <v>7164.313779174</v>
      </c>
      <c r="R87" s="673">
        <f>SUM(Monthly!DC59:DN59)</f>
        <v>7379.2431925492201</v>
      </c>
      <c r="S87" s="673">
        <f>SUM(J87:R87)</f>
        <v>53354.016277523217</v>
      </c>
      <c r="T87" s="617"/>
      <c r="U87" s="582"/>
    </row>
    <row r="88" spans="2:21" x14ac:dyDescent="0.3">
      <c r="B88" s="575"/>
      <c r="C88" s="582"/>
      <c r="D88" s="582"/>
      <c r="E88" s="582" t="s">
        <v>853</v>
      </c>
      <c r="F88" s="582"/>
      <c r="G88" s="931">
        <v>0.03</v>
      </c>
      <c r="H88" s="615" t="s">
        <v>905</v>
      </c>
      <c r="I88" s="616"/>
      <c r="J88" s="673">
        <f>SUM(Monthly!K60:V60)</f>
        <v>0</v>
      </c>
      <c r="K88" s="673">
        <f>SUM(Monthly!W60:AH60)</f>
        <v>6000</v>
      </c>
      <c r="L88" s="673">
        <f>SUM(Monthly!AI60:AT60)</f>
        <v>6180</v>
      </c>
      <c r="M88" s="673">
        <f>SUM(Monthly!AU60:BF60)</f>
        <v>6365.3999999999987</v>
      </c>
      <c r="N88" s="673">
        <f>SUM(Monthly!BG60:BR60)</f>
        <v>6556.3620000000019</v>
      </c>
      <c r="O88" s="673">
        <f>SUM(Monthly!BS60:CD60)</f>
        <v>6753.0528599999971</v>
      </c>
      <c r="P88" s="673">
        <f>SUM(Monthly!CE60:CP60)</f>
        <v>6955.6444457999978</v>
      </c>
      <c r="Q88" s="673">
        <f>SUM(Monthly!CQ60:DB60)</f>
        <v>7164.313779174</v>
      </c>
      <c r="R88" s="673">
        <f>SUM(Monthly!DC60:DN60)</f>
        <v>7379.2431925492201</v>
      </c>
      <c r="S88" s="673">
        <f>SUM(J88:R88)</f>
        <v>53354.016277523217</v>
      </c>
      <c r="T88" s="617"/>
      <c r="U88" s="582"/>
    </row>
    <row r="89" spans="2:21" x14ac:dyDescent="0.3">
      <c r="B89" s="575"/>
      <c r="C89" s="582"/>
      <c r="D89" s="582" t="s">
        <v>150</v>
      </c>
      <c r="E89" s="582"/>
      <c r="F89" s="582"/>
      <c r="G89" s="931"/>
      <c r="H89" s="615"/>
      <c r="I89" s="616"/>
      <c r="J89" s="616"/>
      <c r="K89" s="616"/>
      <c r="L89" s="616"/>
      <c r="M89" s="616"/>
      <c r="N89" s="616"/>
      <c r="O89" s="616"/>
      <c r="P89" s="616"/>
      <c r="Q89" s="616"/>
      <c r="R89" s="616"/>
      <c r="S89" s="616"/>
      <c r="T89" s="617"/>
      <c r="U89" s="582"/>
    </row>
    <row r="90" spans="2:21" x14ac:dyDescent="0.3">
      <c r="B90" s="575"/>
      <c r="C90" s="582"/>
      <c r="D90" s="582"/>
      <c r="E90" s="582" t="s">
        <v>854</v>
      </c>
      <c r="F90" s="582"/>
      <c r="G90" s="931">
        <v>0.03</v>
      </c>
      <c r="H90" s="615" t="s">
        <v>905</v>
      </c>
      <c r="I90" s="616"/>
      <c r="J90" s="673">
        <f>SUM(Monthly!K62:V62)</f>
        <v>0</v>
      </c>
      <c r="K90" s="673">
        <f>SUM(Monthly!W62:AH62)</f>
        <v>13800</v>
      </c>
      <c r="L90" s="673">
        <f>SUM(Monthly!AI62:AT62)</f>
        <v>14214</v>
      </c>
      <c r="M90" s="673">
        <f>SUM(Monthly!AU62:BF62)</f>
        <v>14640.419999999998</v>
      </c>
      <c r="N90" s="673">
        <f>SUM(Monthly!BG62:BR62)</f>
        <v>15079.632600000004</v>
      </c>
      <c r="O90" s="673">
        <f>SUM(Monthly!BS62:CD62)</f>
        <v>15532.021578</v>
      </c>
      <c r="P90" s="673">
        <f>SUM(Monthly!CE62:CP62)</f>
        <v>15997.982225339996</v>
      </c>
      <c r="Q90" s="673">
        <f>SUM(Monthly!CQ62:DB62)</f>
        <v>16477.921692100197</v>
      </c>
      <c r="R90" s="673">
        <f>SUM(Monthly!DC62:DN62)</f>
        <v>16972.259342863203</v>
      </c>
      <c r="S90" s="673">
        <f t="shared" ref="S90:S98" si="10">SUM(J90:R90)</f>
        <v>122714.23743830339</v>
      </c>
      <c r="T90" s="617"/>
      <c r="U90" s="582"/>
    </row>
    <row r="91" spans="2:21" x14ac:dyDescent="0.3">
      <c r="B91" s="575"/>
      <c r="C91" s="582"/>
      <c r="D91" s="582"/>
      <c r="E91" s="582" t="s">
        <v>855</v>
      </c>
      <c r="F91" s="582"/>
      <c r="G91" s="931">
        <v>0.03</v>
      </c>
      <c r="H91" s="615" t="s">
        <v>905</v>
      </c>
      <c r="I91" s="616"/>
      <c r="J91" s="673">
        <f>SUM(Monthly!K63:V63)</f>
        <v>0</v>
      </c>
      <c r="K91" s="673">
        <f>SUM(Monthly!W63:AH63)</f>
        <v>3000</v>
      </c>
      <c r="L91" s="673">
        <f>SUM(Monthly!AI63:AT63)</f>
        <v>3090</v>
      </c>
      <c r="M91" s="673">
        <f>SUM(Monthly!AU63:BF63)</f>
        <v>3182.6999999999994</v>
      </c>
      <c r="N91" s="673">
        <f>SUM(Monthly!BG63:BR63)</f>
        <v>3278.1810000000009</v>
      </c>
      <c r="O91" s="673">
        <f>SUM(Monthly!BS63:CD63)</f>
        <v>3376.5264299999985</v>
      </c>
      <c r="P91" s="673">
        <f>SUM(Monthly!CE63:CP63)</f>
        <v>3477.8222228999989</v>
      </c>
      <c r="Q91" s="673">
        <f>SUM(Monthly!CQ63:DB63)</f>
        <v>3582.156889587</v>
      </c>
      <c r="R91" s="673">
        <f>SUM(Monthly!DC63:DN63)</f>
        <v>3689.6215962746101</v>
      </c>
      <c r="S91" s="673">
        <f t="shared" si="10"/>
        <v>26677.008138761608</v>
      </c>
      <c r="T91" s="617"/>
      <c r="U91" s="582"/>
    </row>
    <row r="92" spans="2:21" x14ac:dyDescent="0.3">
      <c r="B92" s="575"/>
      <c r="C92" s="582"/>
      <c r="D92" s="582"/>
      <c r="E92" s="582" t="s">
        <v>856</v>
      </c>
      <c r="F92" s="582"/>
      <c r="G92" s="931">
        <v>0.03</v>
      </c>
      <c r="H92" s="615" t="s">
        <v>905</v>
      </c>
      <c r="I92" s="616"/>
      <c r="J92" s="673">
        <f>SUM(Monthly!K64:V64)</f>
        <v>0</v>
      </c>
      <c r="K92" s="673">
        <f>SUM(Monthly!W64:AH64)</f>
        <v>14400</v>
      </c>
      <c r="L92" s="673">
        <f>SUM(Monthly!AI64:AT64)</f>
        <v>14832</v>
      </c>
      <c r="M92" s="673">
        <f>SUM(Monthly!AU64:BF64)</f>
        <v>15276.96</v>
      </c>
      <c r="N92" s="673">
        <f>SUM(Monthly!BG64:BR64)</f>
        <v>15735.2688</v>
      </c>
      <c r="O92" s="673">
        <f>SUM(Monthly!BS64:CD64)</f>
        <v>16207.326863999997</v>
      </c>
      <c r="P92" s="673">
        <f>SUM(Monthly!CE64:CP64)</f>
        <v>16693.546669919997</v>
      </c>
      <c r="Q92" s="673">
        <f>SUM(Monthly!CQ64:DB64)</f>
        <v>17194.353070017598</v>
      </c>
      <c r="R92" s="673">
        <f>SUM(Monthly!DC64:DN64)</f>
        <v>17710.183662118128</v>
      </c>
      <c r="S92" s="673">
        <f t="shared" si="10"/>
        <v>128049.63906605571</v>
      </c>
      <c r="T92" s="617"/>
      <c r="U92" s="582"/>
    </row>
    <row r="93" spans="2:21" x14ac:dyDescent="0.3">
      <c r="B93" s="575"/>
      <c r="C93" s="582"/>
      <c r="D93" s="582"/>
      <c r="E93" s="582" t="s">
        <v>408</v>
      </c>
      <c r="F93" s="582"/>
      <c r="G93" s="931">
        <v>0.03</v>
      </c>
      <c r="H93" s="615" t="s">
        <v>905</v>
      </c>
      <c r="I93" s="616"/>
      <c r="J93" s="673">
        <f>SUM(Monthly!K65:V65)</f>
        <v>0</v>
      </c>
      <c r="K93" s="673">
        <f>SUM(Monthly!W65:AH65)</f>
        <v>18000</v>
      </c>
      <c r="L93" s="673">
        <f>SUM(Monthly!AI65:AT65)</f>
        <v>18540</v>
      </c>
      <c r="M93" s="673">
        <f>SUM(Monthly!AU65:BF65)</f>
        <v>19096.2</v>
      </c>
      <c r="N93" s="673">
        <f>SUM(Monthly!BG65:BR65)</f>
        <v>19669.085999999996</v>
      </c>
      <c r="O93" s="673">
        <f>SUM(Monthly!BS65:CD65)</f>
        <v>20259.158579999992</v>
      </c>
      <c r="P93" s="673">
        <f>SUM(Monthly!CE65:CP65)</f>
        <v>20866.933337399998</v>
      </c>
      <c r="Q93" s="673">
        <f>SUM(Monthly!CQ65:DB65)</f>
        <v>21492.941337521999</v>
      </c>
      <c r="R93" s="673">
        <f>SUM(Monthly!DC65:DN65)</f>
        <v>22137.729577647653</v>
      </c>
      <c r="S93" s="673">
        <f t="shared" si="10"/>
        <v>160062.04883256962</v>
      </c>
      <c r="T93" s="617"/>
      <c r="U93" s="582"/>
    </row>
    <row r="94" spans="2:21" x14ac:dyDescent="0.3">
      <c r="B94" s="575"/>
      <c r="C94" s="582"/>
      <c r="D94" s="582"/>
      <c r="E94" s="582" t="s">
        <v>857</v>
      </c>
      <c r="F94" s="582"/>
      <c r="G94" s="931">
        <v>0.03</v>
      </c>
      <c r="H94" s="615" t="s">
        <v>905</v>
      </c>
      <c r="I94" s="616"/>
      <c r="J94" s="673">
        <f>SUM(Monthly!K66:V66)</f>
        <v>0</v>
      </c>
      <c r="K94" s="673">
        <f>SUM(Monthly!W66:AH66)</f>
        <v>12000</v>
      </c>
      <c r="L94" s="673">
        <f>SUM(Monthly!AI66:AT66)</f>
        <v>12360</v>
      </c>
      <c r="M94" s="673">
        <f>SUM(Monthly!AU66:BF66)</f>
        <v>12730.799999999997</v>
      </c>
      <c r="N94" s="673">
        <f>SUM(Monthly!BG66:BR66)</f>
        <v>13112.724000000004</v>
      </c>
      <c r="O94" s="673">
        <f>SUM(Monthly!BS66:CD66)</f>
        <v>13506.105719999994</v>
      </c>
      <c r="P94" s="673">
        <f>SUM(Monthly!CE66:CP66)</f>
        <v>13911.288891599996</v>
      </c>
      <c r="Q94" s="673">
        <f>SUM(Monthly!CQ66:DB66)</f>
        <v>14328.627558348</v>
      </c>
      <c r="R94" s="673">
        <f>SUM(Monthly!DC66:DN66)</f>
        <v>14758.48638509844</v>
      </c>
      <c r="S94" s="673">
        <f t="shared" si="10"/>
        <v>106708.03255504643</v>
      </c>
      <c r="T94" s="617"/>
      <c r="U94" s="582"/>
    </row>
    <row r="95" spans="2:21" x14ac:dyDescent="0.3">
      <c r="B95" s="575"/>
      <c r="C95" s="582"/>
      <c r="D95" s="582"/>
      <c r="E95" s="582" t="s">
        <v>858</v>
      </c>
      <c r="F95" s="582"/>
      <c r="G95" s="931">
        <v>0.03</v>
      </c>
      <c r="H95" s="615" t="s">
        <v>905</v>
      </c>
      <c r="I95" s="616"/>
      <c r="J95" s="673">
        <f>SUM(Monthly!K67:V67)</f>
        <v>0</v>
      </c>
      <c r="K95" s="673">
        <f>SUM(Monthly!W67:AH67)</f>
        <v>6000</v>
      </c>
      <c r="L95" s="673">
        <f>SUM(Monthly!AI67:AT67)</f>
        <v>6180</v>
      </c>
      <c r="M95" s="673">
        <f>SUM(Monthly!AU67:BF67)</f>
        <v>6365.3999999999987</v>
      </c>
      <c r="N95" s="673">
        <f>SUM(Monthly!BG67:BR67)</f>
        <v>6556.3620000000019</v>
      </c>
      <c r="O95" s="673">
        <f>SUM(Monthly!BS67:CD67)</f>
        <v>6753.0528599999971</v>
      </c>
      <c r="P95" s="673">
        <f>SUM(Monthly!CE67:CP67)</f>
        <v>6955.6444457999978</v>
      </c>
      <c r="Q95" s="673">
        <f>SUM(Monthly!CQ67:DB67)</f>
        <v>7164.313779174</v>
      </c>
      <c r="R95" s="673">
        <f>SUM(Monthly!DC67:DN67)</f>
        <v>7379.2431925492201</v>
      </c>
      <c r="S95" s="673">
        <f t="shared" si="10"/>
        <v>53354.016277523217</v>
      </c>
      <c r="T95" s="617"/>
      <c r="U95" s="582"/>
    </row>
    <row r="96" spans="2:21" x14ac:dyDescent="0.3">
      <c r="B96" s="575"/>
      <c r="C96" s="582"/>
      <c r="D96" s="582"/>
      <c r="E96" s="582" t="s">
        <v>859</v>
      </c>
      <c r="F96" s="582"/>
      <c r="G96" s="931">
        <v>0.03</v>
      </c>
      <c r="H96" s="615" t="s">
        <v>905</v>
      </c>
      <c r="I96" s="616"/>
      <c r="J96" s="673">
        <f>SUM(Monthly!K68:V68)</f>
        <v>0</v>
      </c>
      <c r="K96" s="673">
        <f>SUM(Monthly!W68:AH68)</f>
        <v>3000</v>
      </c>
      <c r="L96" s="673">
        <f>SUM(Monthly!AI68:AT68)</f>
        <v>3090</v>
      </c>
      <c r="M96" s="673">
        <f>SUM(Monthly!AU68:BF68)</f>
        <v>3182.6999999999994</v>
      </c>
      <c r="N96" s="673">
        <f>SUM(Monthly!BG68:BR68)</f>
        <v>3278.1810000000009</v>
      </c>
      <c r="O96" s="673">
        <f>SUM(Monthly!BS68:CD68)</f>
        <v>3376.5264299999985</v>
      </c>
      <c r="P96" s="673">
        <f>SUM(Monthly!CE68:CP68)</f>
        <v>3477.8222228999989</v>
      </c>
      <c r="Q96" s="673">
        <f>SUM(Monthly!CQ68:DB68)</f>
        <v>3582.156889587</v>
      </c>
      <c r="R96" s="673">
        <f>SUM(Monthly!DC68:DN68)</f>
        <v>3689.6215962746101</v>
      </c>
      <c r="S96" s="673">
        <f t="shared" si="10"/>
        <v>26677.008138761608</v>
      </c>
      <c r="T96" s="617"/>
      <c r="U96" s="582"/>
    </row>
    <row r="97" spans="2:21" x14ac:dyDescent="0.3">
      <c r="B97" s="575"/>
      <c r="C97" s="582"/>
      <c r="D97" s="582"/>
      <c r="E97" s="582" t="s">
        <v>860</v>
      </c>
      <c r="F97" s="582"/>
      <c r="G97" s="931">
        <v>0.03</v>
      </c>
      <c r="H97" s="615" t="s">
        <v>905</v>
      </c>
      <c r="I97" s="616"/>
      <c r="J97" s="673">
        <f>SUM(Monthly!K69:V69)</f>
        <v>0</v>
      </c>
      <c r="K97" s="673">
        <f>SUM(Monthly!W69:AH69)</f>
        <v>3000</v>
      </c>
      <c r="L97" s="673">
        <f>SUM(Monthly!AI69:AT69)</f>
        <v>3090</v>
      </c>
      <c r="M97" s="673">
        <f>SUM(Monthly!AU69:BF69)</f>
        <v>3182.6999999999994</v>
      </c>
      <c r="N97" s="673">
        <f>SUM(Monthly!BG69:BR69)</f>
        <v>3278.1810000000009</v>
      </c>
      <c r="O97" s="673">
        <f>SUM(Monthly!BS69:CD69)</f>
        <v>3376.5264299999985</v>
      </c>
      <c r="P97" s="673">
        <f>SUM(Monthly!CE69:CP69)</f>
        <v>3477.8222228999989</v>
      </c>
      <c r="Q97" s="673">
        <f>SUM(Monthly!CQ69:DB69)</f>
        <v>3582.156889587</v>
      </c>
      <c r="R97" s="673">
        <f>SUM(Monthly!DC69:DN69)</f>
        <v>3689.6215962746101</v>
      </c>
      <c r="S97" s="673">
        <f t="shared" si="10"/>
        <v>26677.008138761608</v>
      </c>
      <c r="T97" s="617"/>
      <c r="U97" s="582"/>
    </row>
    <row r="98" spans="2:21" x14ac:dyDescent="0.3">
      <c r="B98" s="575"/>
      <c r="C98" s="582"/>
      <c r="D98" s="582" t="s">
        <v>861</v>
      </c>
      <c r="E98" s="582"/>
      <c r="F98" s="582"/>
      <c r="G98" s="931">
        <v>0.12</v>
      </c>
      <c r="H98" s="615" t="s">
        <v>905</v>
      </c>
      <c r="I98" s="616"/>
      <c r="J98" s="673">
        <f>SUM(Monthly!K70:V70)</f>
        <v>40000</v>
      </c>
      <c r="K98" s="673">
        <f>SUM(Monthly!W70:AH70)</f>
        <v>44800.000000000007</v>
      </c>
      <c r="L98" s="673">
        <f>SUM(Monthly!AI70:AT70)</f>
        <v>50176.000000000015</v>
      </c>
      <c r="M98" s="673">
        <f>SUM(Monthly!AU70:BF70)</f>
        <v>56197.120000000024</v>
      </c>
      <c r="N98" s="673">
        <f>SUM(Monthly!BG70:BR70)</f>
        <v>62940.774400000031</v>
      </c>
      <c r="O98" s="673">
        <f>SUM(Monthly!BS70:CD70)</f>
        <v>70493.66732800004</v>
      </c>
      <c r="P98" s="673">
        <f>SUM(Monthly!CE70:CP70)</f>
        <v>78952.90740736005</v>
      </c>
      <c r="Q98" s="673">
        <f>SUM(Monthly!CQ70:DB70)</f>
        <v>88427.256296243257</v>
      </c>
      <c r="R98" s="673">
        <f>SUM(Monthly!DC70:DN70)</f>
        <v>99038.527051792451</v>
      </c>
      <c r="S98" s="673">
        <f t="shared" si="10"/>
        <v>591026.25248339586</v>
      </c>
      <c r="T98" s="617"/>
      <c r="U98" s="582"/>
    </row>
    <row r="99" spans="2:21" x14ac:dyDescent="0.3">
      <c r="B99" s="575"/>
      <c r="C99" s="582"/>
      <c r="D99" s="582" t="s">
        <v>149</v>
      </c>
      <c r="E99" s="582"/>
      <c r="F99" s="582"/>
      <c r="G99" s="931"/>
      <c r="H99" s="615"/>
      <c r="I99" s="616"/>
      <c r="J99" s="673"/>
      <c r="K99" s="673"/>
      <c r="L99" s="673"/>
      <c r="M99" s="673"/>
      <c r="N99" s="673"/>
      <c r="O99" s="673"/>
      <c r="P99" s="673"/>
      <c r="Q99" s="673"/>
      <c r="R99" s="673"/>
      <c r="S99" s="673"/>
      <c r="T99" s="617"/>
      <c r="U99" s="582"/>
    </row>
    <row r="100" spans="2:21" x14ac:dyDescent="0.3">
      <c r="B100" s="575"/>
      <c r="C100" s="582"/>
      <c r="D100" s="582"/>
      <c r="E100" s="582" t="s">
        <v>862</v>
      </c>
      <c r="F100" s="582"/>
      <c r="G100" s="931">
        <v>0.1</v>
      </c>
      <c r="H100" s="615" t="s">
        <v>905</v>
      </c>
      <c r="I100" s="616"/>
      <c r="J100" s="673">
        <f>SUM(Monthly!K72:V72)</f>
        <v>5300</v>
      </c>
      <c r="K100" s="673">
        <f>SUM(Monthly!W72:AH72)</f>
        <v>5830.0000000000009</v>
      </c>
      <c r="L100" s="673">
        <f>SUM(Monthly!AI72:AT72)</f>
        <v>6413.0000000000018</v>
      </c>
      <c r="M100" s="673">
        <f>SUM(Monthly!AU72:BF72)</f>
        <v>7054.3000000000029</v>
      </c>
      <c r="N100" s="673">
        <f>SUM(Monthly!BG72:BR72)</f>
        <v>7759.7300000000041</v>
      </c>
      <c r="O100" s="673">
        <f>SUM(Monthly!BS72:CD72)</f>
        <v>8535.703000000005</v>
      </c>
      <c r="P100" s="673">
        <f>SUM(Monthly!CE72:CP72)</f>
        <v>9389.2733000000062</v>
      </c>
      <c r="Q100" s="673">
        <f>SUM(Monthly!CQ72:DB72)</f>
        <v>10328.200630000008</v>
      </c>
      <c r="R100" s="673">
        <f>SUM(Monthly!DC72:DN72)</f>
        <v>11361.020693000009</v>
      </c>
      <c r="S100" s="673">
        <f>SUM(J100:R100)</f>
        <v>71971.227623000028</v>
      </c>
      <c r="T100" s="617"/>
      <c r="U100" s="582"/>
    </row>
    <row r="101" spans="2:21" x14ac:dyDescent="0.3">
      <c r="B101" s="575"/>
      <c r="C101" s="582"/>
      <c r="D101" s="582"/>
      <c r="E101" s="582" t="s">
        <v>963</v>
      </c>
      <c r="F101" s="582"/>
      <c r="G101" s="931"/>
      <c r="H101" s="615"/>
      <c r="I101" s="616"/>
      <c r="J101" s="673">
        <f>SUM(Monthly!K73:V73)</f>
        <v>3000</v>
      </c>
      <c r="K101" s="673">
        <f>SUM(Monthly!W73:AH73)</f>
        <v>0</v>
      </c>
      <c r="L101" s="673">
        <f>SUM(Monthly!AI73:AT73)</f>
        <v>0</v>
      </c>
      <c r="M101" s="673">
        <f>SUM(Monthly!AU73:BF73)</f>
        <v>0</v>
      </c>
      <c r="N101" s="673">
        <f>SUM(Monthly!BG73:BR73)</f>
        <v>0</v>
      </c>
      <c r="O101" s="673">
        <f>SUM(Monthly!BS73:CD73)</f>
        <v>0</v>
      </c>
      <c r="P101" s="673">
        <f>SUM(Monthly!CE73:CP73)</f>
        <v>0</v>
      </c>
      <c r="Q101" s="673">
        <f>SUM(Monthly!CQ73:DB73)</f>
        <v>0</v>
      </c>
      <c r="R101" s="673">
        <f>SUM(Monthly!DC73:DN73)</f>
        <v>0</v>
      </c>
      <c r="S101" s="673">
        <f>SUM(J101:R101)</f>
        <v>3000</v>
      </c>
      <c r="T101" s="617"/>
      <c r="U101" s="582"/>
    </row>
    <row r="102" spans="2:21" x14ac:dyDescent="0.3">
      <c r="B102" s="575"/>
      <c r="C102" s="582"/>
      <c r="D102" s="591"/>
      <c r="E102" s="591" t="s">
        <v>289</v>
      </c>
      <c r="F102" s="591"/>
      <c r="G102" s="935"/>
      <c r="H102" s="623"/>
      <c r="I102" s="854"/>
      <c r="J102" s="706">
        <f>SUM(Monthly!K74:V74)</f>
        <v>0</v>
      </c>
      <c r="K102" s="706">
        <f>SUM(Monthly!W74:AH74)</f>
        <v>0</v>
      </c>
      <c r="L102" s="706">
        <f>SUM(Monthly!AI74:AT74)</f>
        <v>0</v>
      </c>
      <c r="M102" s="706">
        <f>SUM(Monthly!AU74:BF74)</f>
        <v>0</v>
      </c>
      <c r="N102" s="706">
        <f>SUM(Monthly!BG74:BR74)</f>
        <v>0</v>
      </c>
      <c r="O102" s="706">
        <f>SUM(Monthly!BS74:CD74)</f>
        <v>0</v>
      </c>
      <c r="P102" s="706">
        <f>SUM(Monthly!CE74:CP74)</f>
        <v>0</v>
      </c>
      <c r="Q102" s="706">
        <f>SUM(Monthly!CQ74:DB74)</f>
        <v>0</v>
      </c>
      <c r="R102" s="706">
        <f>SUM(Monthly!DC74:DN74)</f>
        <v>0</v>
      </c>
      <c r="S102" s="706">
        <f>SUM(J102:R102)</f>
        <v>0</v>
      </c>
      <c r="T102" s="617"/>
      <c r="U102" s="582"/>
    </row>
    <row r="103" spans="2:21" x14ac:dyDescent="0.3">
      <c r="B103" s="575"/>
      <c r="C103" s="582"/>
      <c r="D103" s="582" t="s">
        <v>863</v>
      </c>
      <c r="E103" s="582"/>
      <c r="F103" s="582"/>
      <c r="G103" s="582"/>
      <c r="H103" s="615"/>
      <c r="I103" s="616"/>
      <c r="J103" s="673">
        <f>SUM(J74:J102)</f>
        <v>53800</v>
      </c>
      <c r="K103" s="673">
        <f t="shared" ref="K103:S103" si="11">SUM(K74:K102)</f>
        <v>218699.12</v>
      </c>
      <c r="L103" s="673">
        <f t="shared" si="11"/>
        <v>229709.01</v>
      </c>
      <c r="M103" s="673">
        <f t="shared" si="11"/>
        <v>241570.772</v>
      </c>
      <c r="N103" s="673">
        <f t="shared" si="11"/>
        <v>254321.19996000011</v>
      </c>
      <c r="O103" s="673">
        <f t="shared" si="11"/>
        <v>268107.87905479997</v>
      </c>
      <c r="P103" s="673">
        <f t="shared" si="11"/>
        <v>283022.36229596403</v>
      </c>
      <c r="Q103" s="673">
        <f t="shared" si="11"/>
        <v>299185.48686250538</v>
      </c>
      <c r="R103" s="673">
        <f t="shared" si="11"/>
        <v>316732.0467791424</v>
      </c>
      <c r="S103" s="673">
        <f t="shared" si="11"/>
        <v>2165147.8769524121</v>
      </c>
      <c r="T103" s="617"/>
      <c r="U103" s="582"/>
    </row>
    <row r="104" spans="2:21" ht="14.4" thickBot="1" x14ac:dyDescent="0.35">
      <c r="B104" s="575"/>
      <c r="C104" s="633"/>
      <c r="D104" s="633"/>
      <c r="E104" s="633"/>
      <c r="F104" s="633"/>
      <c r="G104" s="633"/>
      <c r="H104" s="893"/>
      <c r="I104" s="894"/>
      <c r="J104" s="894"/>
      <c r="K104" s="894"/>
      <c r="L104" s="894"/>
      <c r="M104" s="894"/>
      <c r="N104" s="894"/>
      <c r="O104" s="894"/>
      <c r="P104" s="894"/>
      <c r="Q104" s="894"/>
      <c r="R104" s="894"/>
      <c r="S104" s="894"/>
      <c r="T104" s="617"/>
      <c r="U104" s="582"/>
    </row>
    <row r="105" spans="2:21" x14ac:dyDescent="0.3">
      <c r="B105" s="575"/>
      <c r="C105" s="582" t="s">
        <v>300</v>
      </c>
      <c r="D105" s="582"/>
      <c r="E105" s="582"/>
      <c r="F105" s="582"/>
      <c r="G105" s="582"/>
      <c r="H105" s="615"/>
      <c r="I105" s="616"/>
      <c r="J105" s="673">
        <f>J103+J71</f>
        <v>53800</v>
      </c>
      <c r="K105" s="673">
        <f t="shared" ref="K105:S105" si="12">K103+K71</f>
        <v>512899.12</v>
      </c>
      <c r="L105" s="673">
        <f t="shared" si="12"/>
        <v>532735.01</v>
      </c>
      <c r="M105" s="673">
        <f t="shared" si="12"/>
        <v>553687.55200000003</v>
      </c>
      <c r="N105" s="673">
        <f t="shared" si="12"/>
        <v>575801.48336000019</v>
      </c>
      <c r="O105" s="673">
        <f t="shared" si="12"/>
        <v>599232.5709567999</v>
      </c>
      <c r="P105" s="673">
        <f t="shared" si="12"/>
        <v>624080.79495502403</v>
      </c>
      <c r="Q105" s="673">
        <f t="shared" si="12"/>
        <v>650475.67250133713</v>
      </c>
      <c r="R105" s="673">
        <f t="shared" si="12"/>
        <v>678560.93798713922</v>
      </c>
      <c r="S105" s="673">
        <f t="shared" si="12"/>
        <v>4781273.1417603008</v>
      </c>
      <c r="T105" s="617"/>
      <c r="U105" s="582"/>
    </row>
    <row r="106" spans="2:21" x14ac:dyDescent="0.3">
      <c r="B106" s="575"/>
      <c r="C106" s="582"/>
      <c r="D106" s="582"/>
      <c r="E106" s="582"/>
      <c r="F106" s="582"/>
      <c r="G106" s="582"/>
      <c r="H106" s="615"/>
      <c r="I106" s="560"/>
      <c r="J106" s="560"/>
      <c r="K106" s="560"/>
      <c r="L106" s="560"/>
      <c r="M106" s="560"/>
      <c r="N106" s="560"/>
      <c r="O106" s="560"/>
      <c r="P106" s="560"/>
      <c r="Q106" s="560"/>
      <c r="R106" s="560"/>
      <c r="S106" s="560"/>
      <c r="T106" s="621"/>
      <c r="U106" s="582"/>
    </row>
    <row r="107" spans="2:21" x14ac:dyDescent="0.3">
      <c r="B107" s="575"/>
      <c r="C107" s="618" t="s">
        <v>245</v>
      </c>
      <c r="D107" s="618"/>
      <c r="E107" s="618"/>
      <c r="F107" s="618"/>
      <c r="G107" s="618"/>
      <c r="H107" s="618"/>
      <c r="I107" s="594"/>
      <c r="J107" s="594">
        <f t="shared" ref="J107:S107" si="13">J54-J105</f>
        <v>-53800</v>
      </c>
      <c r="K107" s="594">
        <f t="shared" si="13"/>
        <v>213404.88</v>
      </c>
      <c r="L107" s="594">
        <f t="shared" si="13"/>
        <v>215651.99</v>
      </c>
      <c r="M107" s="594">
        <f t="shared" si="13"/>
        <v>217342.44799999997</v>
      </c>
      <c r="N107" s="594">
        <f t="shared" si="13"/>
        <v>216751.51663999981</v>
      </c>
      <c r="O107" s="594">
        <f t="shared" si="13"/>
        <v>215403.4290432001</v>
      </c>
      <c r="P107" s="594">
        <f t="shared" si="13"/>
        <v>212638.20504497597</v>
      </c>
      <c r="Q107" s="594">
        <f t="shared" si="13"/>
        <v>208326.32749866287</v>
      </c>
      <c r="R107" s="594">
        <f t="shared" si="13"/>
        <v>202324.06201286078</v>
      </c>
      <c r="S107" s="594">
        <f t="shared" si="13"/>
        <v>1648042.8582396992</v>
      </c>
      <c r="T107" s="621"/>
      <c r="U107" s="582"/>
    </row>
    <row r="108" spans="2:21" x14ac:dyDescent="0.3">
      <c r="B108" s="575"/>
      <c r="C108" s="582"/>
      <c r="D108" s="582"/>
      <c r="E108" s="582"/>
      <c r="F108" s="582"/>
      <c r="G108" s="582"/>
      <c r="H108" s="624"/>
      <c r="I108" s="716"/>
      <c r="J108" s="716"/>
      <c r="K108" s="716"/>
      <c r="L108" s="716"/>
      <c r="M108" s="716"/>
      <c r="N108" s="716"/>
      <c r="O108" s="716"/>
      <c r="P108" s="716"/>
      <c r="Q108" s="716"/>
      <c r="R108" s="716"/>
      <c r="S108" s="560"/>
      <c r="T108" s="621"/>
      <c r="U108" s="516"/>
    </row>
    <row r="109" spans="2:21" x14ac:dyDescent="0.3">
      <c r="B109" s="575"/>
      <c r="C109" s="582" t="s">
        <v>303</v>
      </c>
      <c r="D109" s="582"/>
      <c r="E109" s="582"/>
      <c r="F109" s="582"/>
      <c r="G109" s="582"/>
      <c r="H109" s="624"/>
      <c r="I109" s="582"/>
      <c r="J109" s="582"/>
      <c r="K109" s="582"/>
      <c r="L109" s="582"/>
      <c r="M109" s="582"/>
      <c r="N109" s="582"/>
      <c r="O109" s="582"/>
      <c r="P109" s="582"/>
      <c r="Q109" s="582"/>
      <c r="R109" s="582"/>
      <c r="S109" s="560"/>
      <c r="T109" s="621"/>
      <c r="U109" s="516"/>
    </row>
    <row r="110" spans="2:21" x14ac:dyDescent="0.3">
      <c r="B110" s="575"/>
      <c r="D110" s="582" t="s">
        <v>244</v>
      </c>
      <c r="E110" s="582"/>
      <c r="F110" s="582"/>
      <c r="G110" s="625"/>
      <c r="H110" s="625"/>
      <c r="I110" s="582"/>
      <c r="J110" s="582"/>
      <c r="K110" s="582"/>
      <c r="L110" s="582"/>
      <c r="M110" s="582"/>
      <c r="N110" s="626"/>
      <c r="O110" s="626"/>
      <c r="P110" s="626"/>
      <c r="Q110" s="626"/>
      <c r="R110" s="626"/>
      <c r="S110" s="560"/>
      <c r="T110" s="621"/>
      <c r="U110" s="582"/>
    </row>
    <row r="111" spans="2:21" x14ac:dyDescent="0.3">
      <c r="B111" s="575"/>
      <c r="C111" s="582"/>
      <c r="E111" s="582" t="s">
        <v>721</v>
      </c>
      <c r="F111" s="582"/>
      <c r="G111" s="583">
        <f>M22</f>
        <v>9.5000000000000001E-2</v>
      </c>
      <c r="H111" s="625"/>
      <c r="I111" s="560"/>
      <c r="J111" s="673">
        <f>SUM(Monthly!K83:V83)</f>
        <v>111624.99999999999</v>
      </c>
      <c r="K111" s="673">
        <f>SUM(Monthly!W83:AH83)</f>
        <v>111624.99999999999</v>
      </c>
      <c r="L111" s="673">
        <f>SUM(Monthly!AI83:AT83)</f>
        <v>89993.14975186529</v>
      </c>
      <c r="M111" s="673">
        <f>SUM(Monthly!AU83:BF83)</f>
        <v>89133.749256549854</v>
      </c>
      <c r="N111" s="673">
        <f>SUM(Monthly!BG83:BR83)</f>
        <v>89133.749256549854</v>
      </c>
      <c r="O111" s="673">
        <f>SUM(Monthly!BS83:CD83)</f>
        <v>89133.749256549854</v>
      </c>
      <c r="P111" s="673">
        <f>SUM(Monthly!CE83:CP83)</f>
        <v>89133.749256549854</v>
      </c>
      <c r="Q111" s="673">
        <f>SUM(Monthly!CQ83:DB83)</f>
        <v>89133.749256549854</v>
      </c>
      <c r="R111" s="673">
        <f>SUM(Monthly!DC83:DN83)</f>
        <v>89133.749256549854</v>
      </c>
      <c r="S111" s="673">
        <f>SUM(J111:R111)</f>
        <v>848045.6452911644</v>
      </c>
      <c r="T111" s="621"/>
      <c r="U111" s="582"/>
    </row>
    <row r="112" spans="2:21" x14ac:dyDescent="0.3">
      <c r="B112" s="575"/>
      <c r="C112" s="582"/>
      <c r="E112" s="582" t="s">
        <v>722</v>
      </c>
      <c r="F112" s="582"/>
      <c r="G112" s="583" t="str">
        <f>IF(M23=0,"N/A",0)</f>
        <v>N/A</v>
      </c>
      <c r="H112" s="625"/>
      <c r="I112" s="560"/>
      <c r="J112" s="673">
        <f>SUM(Monthly!K84:V84)</f>
        <v>0</v>
      </c>
      <c r="K112" s="673">
        <f>SUM(Monthly!W84:AH84)</f>
        <v>0</v>
      </c>
      <c r="L112" s="673">
        <f>SUM(Monthly!AI84:AT84)</f>
        <v>0</v>
      </c>
      <c r="M112" s="673">
        <f>SUM(Monthly!AU84:BF84)</f>
        <v>0</v>
      </c>
      <c r="N112" s="673">
        <f>SUM(Monthly!BG84:BR84)</f>
        <v>0</v>
      </c>
      <c r="O112" s="673">
        <f>SUM(Monthly!BS84:CD84)</f>
        <v>0</v>
      </c>
      <c r="P112" s="673">
        <f>SUM(Monthly!CE84:CP84)</f>
        <v>0</v>
      </c>
      <c r="Q112" s="673">
        <f>SUM(Monthly!CQ84:DB84)</f>
        <v>0</v>
      </c>
      <c r="R112" s="673">
        <f>SUM(Monthly!DC84:DN84)</f>
        <v>0</v>
      </c>
      <c r="S112" s="673">
        <f>SUM(J112:R112)</f>
        <v>0</v>
      </c>
      <c r="T112" s="621"/>
      <c r="U112" s="582"/>
    </row>
    <row r="113" spans="2:21" x14ac:dyDescent="0.3">
      <c r="B113" s="575"/>
      <c r="C113" s="582"/>
      <c r="E113" s="582" t="s">
        <v>723</v>
      </c>
      <c r="F113" s="582"/>
      <c r="G113" s="583">
        <f>M24</f>
        <v>9.5000000000000001E-2</v>
      </c>
      <c r="H113" s="625"/>
      <c r="I113" s="560"/>
      <c r="J113" s="673">
        <f>SUM(Monthly!K85:V85)</f>
        <v>62899.524454367973</v>
      </c>
      <c r="K113" s="673">
        <f>SUM(Monthly!W85:AH85)</f>
        <v>195474.95136869652</v>
      </c>
      <c r="L113" s="673">
        <f>SUM(Monthly!AI85:AT85)</f>
        <v>1644.5104312905319</v>
      </c>
      <c r="M113" s="673">
        <f>SUM(Monthly!AU85:BF85)</f>
        <v>5492.7965730406713</v>
      </c>
      <c r="N113" s="673">
        <f>SUM(Monthly!BG85:BR85)</f>
        <v>10208.905723518132</v>
      </c>
      <c r="O113" s="673">
        <f>SUM(Monthly!BS85:CD85)</f>
        <v>16055.123651149786</v>
      </c>
      <c r="P113" s="673">
        <f>SUM(Monthly!CE85:CP85)</f>
        <v>24139.696716686667</v>
      </c>
      <c r="Q113" s="673">
        <f>SUM(Monthly!CQ85:DB85)</f>
        <v>34364.567956515471</v>
      </c>
      <c r="R113" s="673">
        <f>SUM(Monthly!DC85:DN85)</f>
        <v>46294.164322746721</v>
      </c>
      <c r="S113" s="673">
        <f>SUM(J113:R113)</f>
        <v>396574.24119801249</v>
      </c>
      <c r="T113" s="621"/>
      <c r="U113" s="582"/>
    </row>
    <row r="114" spans="2:21" x14ac:dyDescent="0.3">
      <c r="B114" s="575"/>
      <c r="C114" s="591"/>
      <c r="D114" s="589"/>
      <c r="E114" s="591" t="s">
        <v>724</v>
      </c>
      <c r="F114" s="591"/>
      <c r="G114" s="745">
        <f>M28</f>
        <v>0.06</v>
      </c>
      <c r="H114" s="627"/>
      <c r="I114" s="590"/>
      <c r="J114" s="706">
        <f>SUM(Monthly!K86:V86)</f>
        <v>0</v>
      </c>
      <c r="K114" s="706">
        <f>SUM(Monthly!W86:AH86)</f>
        <v>0</v>
      </c>
      <c r="L114" s="706">
        <f>SUM(Monthly!AI86:AT86)</f>
        <v>141408.29177248458</v>
      </c>
      <c r="M114" s="706">
        <f>SUM(Monthly!AU86:BF86)</f>
        <v>140804.87315278698</v>
      </c>
      <c r="N114" s="706">
        <f>SUM(Monthly!BG86:BR86)</f>
        <v>138883.01155501831</v>
      </c>
      <c r="O114" s="706">
        <f>SUM(Monthly!BS86:CD86)</f>
        <v>135652.03130986015</v>
      </c>
      <c r="P114" s="706">
        <f>SUM(Monthly!CE86:CP86)</f>
        <v>131718.911434112</v>
      </c>
      <c r="Q114" s="706">
        <f>SUM(Monthly!CQ86:DB86)</f>
        <v>126493.70896341617</v>
      </c>
      <c r="R114" s="706">
        <f>SUM(Monthly!DC86:DN86)</f>
        <v>120587.97746560164</v>
      </c>
      <c r="S114" s="706">
        <f>SUM(J114:R114)</f>
        <v>935548.80565327976</v>
      </c>
      <c r="T114" s="621"/>
      <c r="U114" s="582"/>
    </row>
    <row r="115" spans="2:21" x14ac:dyDescent="0.3">
      <c r="B115" s="575"/>
      <c r="C115" s="582"/>
      <c r="D115" s="582" t="s">
        <v>309</v>
      </c>
      <c r="E115" s="582"/>
      <c r="F115" s="582"/>
      <c r="G115" s="583"/>
      <c r="H115" s="625"/>
      <c r="I115" s="560"/>
      <c r="J115" s="560">
        <f>SUM(J111:J114)</f>
        <v>174524.52445436796</v>
      </c>
      <c r="K115" s="560">
        <f t="shared" ref="K115:S115" si="14">SUM(K111:K114)</f>
        <v>307099.95136869652</v>
      </c>
      <c r="L115" s="560">
        <f t="shared" si="14"/>
        <v>233045.9519556404</v>
      </c>
      <c r="M115" s="560">
        <f t="shared" si="14"/>
        <v>235431.41898237751</v>
      </c>
      <c r="N115" s="560">
        <f t="shared" si="14"/>
        <v>238225.66653508629</v>
      </c>
      <c r="O115" s="560">
        <f t="shared" si="14"/>
        <v>240840.90421755979</v>
      </c>
      <c r="P115" s="560">
        <f t="shared" si="14"/>
        <v>244992.35740734852</v>
      </c>
      <c r="Q115" s="560">
        <f t="shared" si="14"/>
        <v>249992.02617648151</v>
      </c>
      <c r="R115" s="560">
        <f t="shared" si="14"/>
        <v>256015.89104489822</v>
      </c>
      <c r="S115" s="560">
        <f t="shared" si="14"/>
        <v>2180168.6921424568</v>
      </c>
      <c r="T115" s="621"/>
      <c r="U115" s="582"/>
    </row>
    <row r="116" spans="2:21" x14ac:dyDescent="0.3">
      <c r="B116" s="575"/>
      <c r="C116" s="582"/>
      <c r="D116" s="582"/>
      <c r="E116" s="582"/>
      <c r="F116" s="582"/>
      <c r="G116" s="583"/>
      <c r="H116" s="625"/>
      <c r="I116" s="560"/>
      <c r="J116" s="560"/>
      <c r="K116" s="560"/>
      <c r="L116" s="560"/>
      <c r="M116" s="560"/>
      <c r="N116" s="560"/>
      <c r="O116" s="560"/>
      <c r="P116" s="560"/>
      <c r="Q116" s="560"/>
      <c r="R116" s="560"/>
      <c r="S116" s="560"/>
      <c r="T116" s="621"/>
      <c r="U116" s="582"/>
    </row>
    <row r="117" spans="2:21" x14ac:dyDescent="0.3">
      <c r="B117" s="575"/>
      <c r="C117" s="582"/>
      <c r="D117" s="582" t="s">
        <v>744</v>
      </c>
      <c r="E117" s="582"/>
      <c r="F117" s="582"/>
      <c r="G117" s="583"/>
      <c r="H117" s="625"/>
      <c r="I117" s="560"/>
      <c r="J117" s="673">
        <f>SUM(Monthly!K89:V89)</f>
        <v>0</v>
      </c>
      <c r="K117" s="673">
        <f>SUM(Monthly!W89:AH89)</f>
        <v>31070</v>
      </c>
      <c r="L117" s="673">
        <f>SUM(Monthly!AI89:AT89)</f>
        <v>5220</v>
      </c>
      <c r="M117" s="673">
        <f>SUM(Monthly!AU89:BF89)</f>
        <v>0</v>
      </c>
      <c r="N117" s="673">
        <f>SUM(Monthly!BG89:BR89)</f>
        <v>0</v>
      </c>
      <c r="O117" s="673">
        <f>SUM(Monthly!BS89:CD89)</f>
        <v>0</v>
      </c>
      <c r="P117" s="673">
        <f>SUM(Monthly!CE89:CP89)</f>
        <v>0</v>
      </c>
      <c r="Q117" s="673">
        <f>SUM(Monthly!CQ89:DB89)</f>
        <v>0</v>
      </c>
      <c r="R117" s="673">
        <f>SUM(Monthly!DC89:DN89)</f>
        <v>0</v>
      </c>
      <c r="S117" s="673">
        <f>SUM(J117:R117)</f>
        <v>36290</v>
      </c>
      <c r="T117" s="621"/>
      <c r="U117" s="582"/>
    </row>
    <row r="118" spans="2:21" x14ac:dyDescent="0.3">
      <c r="B118" s="575"/>
      <c r="C118" s="589"/>
      <c r="D118" s="591" t="s">
        <v>289</v>
      </c>
      <c r="E118" s="591"/>
      <c r="F118" s="591"/>
      <c r="G118" s="627"/>
      <c r="H118" s="628"/>
      <c r="I118" s="590"/>
      <c r="J118" s="706">
        <f>SUM(Monthly!K90:V90)</f>
        <v>0</v>
      </c>
      <c r="K118" s="706">
        <f>SUM(Monthly!W90:AH90)</f>
        <v>0</v>
      </c>
      <c r="L118" s="706">
        <f>SUM(Monthly!AI90:AT90)</f>
        <v>0</v>
      </c>
      <c r="M118" s="706">
        <f>SUM(Monthly!AU90:BF90)</f>
        <v>0</v>
      </c>
      <c r="N118" s="706">
        <f>SUM(Monthly!BG90:BR90)</f>
        <v>0</v>
      </c>
      <c r="O118" s="706">
        <f>SUM(Monthly!BS90:CD90)</f>
        <v>0</v>
      </c>
      <c r="P118" s="706">
        <f>SUM(Monthly!CE90:CP90)</f>
        <v>0</v>
      </c>
      <c r="Q118" s="706">
        <f>SUM(Monthly!CQ90:DB90)</f>
        <v>0</v>
      </c>
      <c r="R118" s="706">
        <f>SUM(Monthly!DC90:DN90)</f>
        <v>0</v>
      </c>
      <c r="S118" s="706">
        <f>SUM(J118:R118)</f>
        <v>0</v>
      </c>
      <c r="T118" s="621"/>
      <c r="U118" s="582"/>
    </row>
    <row r="119" spans="2:21" x14ac:dyDescent="0.3">
      <c r="B119" s="575"/>
      <c r="C119" s="582" t="s">
        <v>310</v>
      </c>
      <c r="D119" s="582"/>
      <c r="E119" s="582"/>
      <c r="F119" s="582"/>
      <c r="G119" s="629"/>
      <c r="I119" s="560"/>
      <c r="J119" s="560">
        <f>J115+J117+J118</f>
        <v>174524.52445436796</v>
      </c>
      <c r="K119" s="560">
        <f t="shared" ref="K119:R119" si="15">K115+K117+K118</f>
        <v>338169.95136869652</v>
      </c>
      <c r="L119" s="560">
        <f t="shared" si="15"/>
        <v>238265.9519556404</v>
      </c>
      <c r="M119" s="560">
        <f t="shared" si="15"/>
        <v>235431.41898237751</v>
      </c>
      <c r="N119" s="560">
        <f t="shared" si="15"/>
        <v>238225.66653508629</v>
      </c>
      <c r="O119" s="560">
        <f t="shared" si="15"/>
        <v>240840.90421755979</v>
      </c>
      <c r="P119" s="560">
        <f t="shared" si="15"/>
        <v>244992.35740734852</v>
      </c>
      <c r="Q119" s="560">
        <f t="shared" si="15"/>
        <v>249992.02617648151</v>
      </c>
      <c r="R119" s="560">
        <f t="shared" si="15"/>
        <v>256015.89104489822</v>
      </c>
      <c r="S119" s="560">
        <f>SUM(S111:S118)</f>
        <v>4396627.3842849135</v>
      </c>
      <c r="T119" s="621"/>
      <c r="U119" s="582"/>
    </row>
    <row r="120" spans="2:21" x14ac:dyDescent="0.3">
      <c r="B120" s="575"/>
      <c r="C120" s="582"/>
      <c r="D120" s="582"/>
      <c r="E120" s="582"/>
      <c r="F120" s="582"/>
      <c r="G120" s="629"/>
      <c r="I120" s="560"/>
      <c r="J120" s="560"/>
      <c r="K120" s="560"/>
      <c r="L120" s="560"/>
      <c r="M120" s="560"/>
      <c r="N120" s="560"/>
      <c r="O120" s="560"/>
      <c r="P120" s="560"/>
      <c r="Q120" s="560"/>
      <c r="R120" s="560"/>
      <c r="S120" s="560"/>
      <c r="T120" s="621"/>
      <c r="U120" s="582"/>
    </row>
    <row r="121" spans="2:21" x14ac:dyDescent="0.3">
      <c r="B121" s="575"/>
      <c r="C121" s="618" t="s">
        <v>730</v>
      </c>
      <c r="D121" s="618"/>
      <c r="E121" s="618"/>
      <c r="F121" s="618"/>
      <c r="G121" s="618"/>
      <c r="H121" s="618"/>
      <c r="I121" s="594"/>
      <c r="J121" s="594">
        <f t="shared" ref="J121:R121" si="16">J107-J119</f>
        <v>-228324.52445436796</v>
      </c>
      <c r="K121" s="594">
        <f t="shared" si="16"/>
        <v>-124765.07136869652</v>
      </c>
      <c r="L121" s="594">
        <f t="shared" si="16"/>
        <v>-22613.961955640407</v>
      </c>
      <c r="M121" s="594">
        <f t="shared" si="16"/>
        <v>-18088.970982377534</v>
      </c>
      <c r="N121" s="594">
        <f t="shared" si="16"/>
        <v>-21474.149895086477</v>
      </c>
      <c r="O121" s="594">
        <f t="shared" si="16"/>
        <v>-25437.475174359686</v>
      </c>
      <c r="P121" s="594">
        <f t="shared" si="16"/>
        <v>-32354.152362372552</v>
      </c>
      <c r="Q121" s="594">
        <f t="shared" si="16"/>
        <v>-41665.69867781864</v>
      </c>
      <c r="R121" s="594">
        <f t="shared" si="16"/>
        <v>-53691.829032037436</v>
      </c>
      <c r="S121" s="594">
        <f>SUM(I121:R121)</f>
        <v>-568415.83390275715</v>
      </c>
      <c r="T121" s="621"/>
      <c r="U121" s="582"/>
    </row>
    <row r="122" spans="2:21" x14ac:dyDescent="0.3">
      <c r="B122" s="575"/>
      <c r="C122" s="582"/>
      <c r="D122" s="582"/>
      <c r="E122" s="582"/>
      <c r="F122" s="582"/>
      <c r="G122" s="582"/>
      <c r="H122" s="630"/>
      <c r="I122" s="560"/>
      <c r="J122" s="560"/>
      <c r="K122" s="560"/>
      <c r="L122" s="560"/>
      <c r="M122" s="560"/>
      <c r="N122" s="560"/>
      <c r="O122" s="560"/>
      <c r="P122" s="560"/>
      <c r="Q122" s="560"/>
      <c r="R122" s="560"/>
      <c r="S122" s="560"/>
      <c r="T122" s="621"/>
      <c r="U122" s="582"/>
    </row>
    <row r="123" spans="2:21" x14ac:dyDescent="0.3">
      <c r="B123" s="575"/>
      <c r="C123" s="582" t="s">
        <v>311</v>
      </c>
      <c r="D123" s="582"/>
      <c r="E123" s="582"/>
      <c r="F123" s="582"/>
      <c r="G123" s="582"/>
      <c r="H123" s="630"/>
      <c r="I123" s="560"/>
      <c r="J123" s="560"/>
      <c r="K123" s="560"/>
      <c r="L123" s="560"/>
      <c r="M123" s="560"/>
      <c r="N123" s="560"/>
      <c r="O123" s="560"/>
      <c r="P123" s="560"/>
      <c r="Q123" s="560"/>
      <c r="R123" s="560"/>
      <c r="S123" s="560"/>
      <c r="T123" s="621"/>
      <c r="U123" s="582"/>
    </row>
    <row r="124" spans="2:21" x14ac:dyDescent="0.3">
      <c r="B124" s="575"/>
      <c r="C124" s="582"/>
      <c r="D124" s="582" t="s">
        <v>250</v>
      </c>
      <c r="E124" s="582"/>
      <c r="F124" s="582"/>
      <c r="G124" s="582"/>
      <c r="H124" s="630"/>
      <c r="I124" s="560"/>
      <c r="J124" s="560"/>
      <c r="K124" s="560"/>
      <c r="L124" s="560"/>
      <c r="M124" s="560"/>
      <c r="N124" s="560"/>
      <c r="O124" s="560"/>
      <c r="P124" s="560"/>
      <c r="Q124" s="560"/>
      <c r="R124" s="560"/>
      <c r="S124" s="560"/>
      <c r="T124" s="621"/>
      <c r="U124" s="582"/>
    </row>
    <row r="125" spans="2:21" x14ac:dyDescent="0.3">
      <c r="B125" s="575"/>
      <c r="C125" s="582"/>
      <c r="D125" s="582"/>
      <c r="E125" s="582" t="s">
        <v>312</v>
      </c>
      <c r="F125" s="582"/>
      <c r="G125" s="582"/>
      <c r="H125" s="630"/>
      <c r="I125" s="560"/>
      <c r="J125" s="673">
        <f>SUM(Monthly!K97:V97)</f>
        <v>0</v>
      </c>
      <c r="K125" s="673">
        <f>SUM(Monthly!W97:AH97)</f>
        <v>0</v>
      </c>
      <c r="L125" s="673">
        <f>SUM(Monthly!AI97:AT97)</f>
        <v>0</v>
      </c>
      <c r="M125" s="673">
        <f>SUM(Monthly!AU97:BF97)</f>
        <v>0</v>
      </c>
      <c r="N125" s="673">
        <f>SUM(Monthly!BG97:BR97)</f>
        <v>0</v>
      </c>
      <c r="O125" s="673">
        <f>SUM(Monthly!BS97:CD97)</f>
        <v>0</v>
      </c>
      <c r="P125" s="673">
        <f>SUM(Monthly!CE97:CP97)</f>
        <v>0</v>
      </c>
      <c r="Q125" s="673">
        <f>SUM(Monthly!CQ97:DB97)</f>
        <v>0</v>
      </c>
      <c r="R125" s="673">
        <f>SUM(Monthly!DC97:DN97)</f>
        <v>0</v>
      </c>
      <c r="S125" s="560">
        <f t="shared" ref="S125:S134" si="17">SUM(I125:R125)</f>
        <v>0</v>
      </c>
      <c r="T125" s="621"/>
      <c r="U125" s="582"/>
    </row>
    <row r="126" spans="2:21" x14ac:dyDescent="0.3">
      <c r="B126" s="575"/>
      <c r="C126" s="582"/>
      <c r="D126" s="582"/>
      <c r="E126" s="582" t="s">
        <v>313</v>
      </c>
      <c r="F126" s="582"/>
      <c r="G126" s="582"/>
      <c r="H126" s="630"/>
      <c r="I126" s="560"/>
      <c r="J126" s="673">
        <f>SUM(Monthly!K98:V98)</f>
        <v>1369000</v>
      </c>
      <c r="K126" s="673">
        <f>SUM(Monthly!W98:AH98)</f>
        <v>0</v>
      </c>
      <c r="L126" s="673">
        <f>SUM(Monthly!AI98:AT98)</f>
        <v>0</v>
      </c>
      <c r="M126" s="673">
        <f>SUM(Monthly!AU98:BF98)</f>
        <v>0</v>
      </c>
      <c r="N126" s="673">
        <f>SUM(Monthly!BG98:BR98)</f>
        <v>0</v>
      </c>
      <c r="O126" s="673">
        <f>SUM(Monthly!BS98:CD98)</f>
        <v>0</v>
      </c>
      <c r="P126" s="673">
        <f>SUM(Monthly!CE98:CP98)</f>
        <v>0</v>
      </c>
      <c r="Q126" s="673">
        <f>SUM(Monthly!CQ98:DB98)</f>
        <v>0</v>
      </c>
      <c r="R126" s="673">
        <f>SUM(Monthly!DC98:DN98)</f>
        <v>0</v>
      </c>
      <c r="S126" s="560">
        <f t="shared" si="17"/>
        <v>1369000</v>
      </c>
      <c r="T126" s="621"/>
      <c r="U126" s="582"/>
    </row>
    <row r="127" spans="2:21" x14ac:dyDescent="0.3">
      <c r="B127" s="575"/>
      <c r="C127" s="582"/>
      <c r="D127" s="582"/>
      <c r="E127" s="582" t="s">
        <v>684</v>
      </c>
      <c r="F127" s="582"/>
      <c r="G127" s="598"/>
      <c r="H127" s="651"/>
      <c r="I127" s="560"/>
      <c r="J127" s="673">
        <f>SUM(Monthly!K99:V99)</f>
        <v>120000</v>
      </c>
      <c r="K127" s="673">
        <f>SUM(Monthly!W99:AH99)</f>
        <v>0</v>
      </c>
      <c r="L127" s="673">
        <f>SUM(Monthly!AI99:AT99)</f>
        <v>0</v>
      </c>
      <c r="M127" s="673">
        <f>SUM(Monthly!AU99:BF99)</f>
        <v>0</v>
      </c>
      <c r="N127" s="673">
        <f>SUM(Monthly!BG99:BR99)</f>
        <v>0</v>
      </c>
      <c r="O127" s="673">
        <f>SUM(Monthly!BS99:CD99)</f>
        <v>0</v>
      </c>
      <c r="P127" s="673">
        <f>SUM(Monthly!CE99:CP99)</f>
        <v>0</v>
      </c>
      <c r="Q127" s="673">
        <f>SUM(Monthly!CQ99:DB99)</f>
        <v>0</v>
      </c>
      <c r="R127" s="673">
        <f>SUM(Monthly!DC99:DN99)</f>
        <v>0</v>
      </c>
      <c r="S127" s="560">
        <f t="shared" si="17"/>
        <v>120000</v>
      </c>
      <c r="T127" s="621"/>
      <c r="U127" s="582"/>
    </row>
    <row r="128" spans="2:21" x14ac:dyDescent="0.3">
      <c r="B128" s="575"/>
      <c r="C128" s="582"/>
      <c r="D128" s="582"/>
      <c r="E128" s="582" t="s">
        <v>685</v>
      </c>
      <c r="F128" s="582"/>
      <c r="G128" s="598"/>
      <c r="H128" s="651">
        <v>0</v>
      </c>
      <c r="I128" s="560"/>
      <c r="J128" s="673">
        <f>SUM(Monthly!K100:V100)</f>
        <v>0</v>
      </c>
      <c r="K128" s="673">
        <f>SUM(Monthly!W100:AH100)</f>
        <v>0</v>
      </c>
      <c r="L128" s="673">
        <f>SUM(Monthly!AI100:AT100)</f>
        <v>0</v>
      </c>
      <c r="M128" s="673">
        <f>SUM(Monthly!AU100:BF100)</f>
        <v>0</v>
      </c>
      <c r="N128" s="673">
        <f>SUM(Monthly!BG100:BR100)</f>
        <v>0</v>
      </c>
      <c r="O128" s="673">
        <f>SUM(Monthly!BS100:CD100)</f>
        <v>0</v>
      </c>
      <c r="P128" s="673">
        <f>SUM(Monthly!CE100:CP100)</f>
        <v>0</v>
      </c>
      <c r="Q128" s="673">
        <f>SUM(Monthly!CQ100:DB100)</f>
        <v>0</v>
      </c>
      <c r="R128" s="673">
        <f>SUM(Monthly!DC100:DN100)</f>
        <v>0</v>
      </c>
      <c r="S128" s="560">
        <f t="shared" si="17"/>
        <v>0</v>
      </c>
      <c r="T128" s="621"/>
      <c r="U128" s="582"/>
    </row>
    <row r="129" spans="2:21" x14ac:dyDescent="0.3">
      <c r="B129" s="575"/>
      <c r="C129" s="582"/>
      <c r="D129" s="582"/>
      <c r="E129" s="582" t="s">
        <v>616</v>
      </c>
      <c r="F129" s="582"/>
      <c r="G129" s="582"/>
      <c r="H129" s="630"/>
      <c r="I129" s="560"/>
      <c r="J129" s="673">
        <f>SUM(Monthly!K101:V101)</f>
        <v>631000</v>
      </c>
      <c r="K129" s="673">
        <f>SUM(Monthly!W101:AH101)</f>
        <v>0</v>
      </c>
      <c r="L129" s="673">
        <f>SUM(Monthly!AI101:AT101)</f>
        <v>0</v>
      </c>
      <c r="M129" s="673">
        <f>SUM(Monthly!AU101:BF101)</f>
        <v>0</v>
      </c>
      <c r="N129" s="673">
        <f>SUM(Monthly!BG101:BR101)</f>
        <v>0</v>
      </c>
      <c r="O129" s="673">
        <f>SUM(Monthly!BS101:CD101)</f>
        <v>0</v>
      </c>
      <c r="P129" s="673">
        <f>SUM(Monthly!CE101:CP101)</f>
        <v>0</v>
      </c>
      <c r="Q129" s="673">
        <f>SUM(Monthly!CQ101:DB101)</f>
        <v>0</v>
      </c>
      <c r="R129" s="673">
        <f>SUM(Monthly!DC101:DN101)</f>
        <v>0</v>
      </c>
      <c r="S129" s="560">
        <f t="shared" si="17"/>
        <v>631000</v>
      </c>
      <c r="T129" s="621"/>
      <c r="U129" s="582"/>
    </row>
    <row r="130" spans="2:21" x14ac:dyDescent="0.3">
      <c r="B130" s="575"/>
      <c r="C130" s="582"/>
      <c r="D130" s="582"/>
      <c r="E130" s="582" t="s">
        <v>611</v>
      </c>
      <c r="F130" s="582"/>
      <c r="G130" s="582"/>
      <c r="H130" s="630"/>
      <c r="I130" s="560"/>
      <c r="J130" s="673">
        <f>SUM(Monthly!K102:V102)</f>
        <v>222000</v>
      </c>
      <c r="K130" s="673">
        <f>SUM(Monthly!W102:AH102)</f>
        <v>0</v>
      </c>
      <c r="L130" s="673">
        <f>SUM(Monthly!AI102:AT102)</f>
        <v>0</v>
      </c>
      <c r="M130" s="673">
        <f>SUM(Monthly!AU102:BF102)</f>
        <v>0</v>
      </c>
      <c r="N130" s="673">
        <f>SUM(Monthly!BG102:BR102)</f>
        <v>0</v>
      </c>
      <c r="O130" s="673">
        <f>SUM(Monthly!BS102:CD102)</f>
        <v>0</v>
      </c>
      <c r="P130" s="673">
        <f>SUM(Monthly!CE102:CP102)</f>
        <v>0</v>
      </c>
      <c r="Q130" s="673">
        <f>SUM(Monthly!CQ102:DB102)</f>
        <v>0</v>
      </c>
      <c r="R130" s="673">
        <f>SUM(Monthly!DC102:DN102)</f>
        <v>0</v>
      </c>
      <c r="S130" s="560">
        <f t="shared" ref="S130:S132" si="18">SUM(I130:R130)</f>
        <v>222000</v>
      </c>
      <c r="T130" s="621"/>
      <c r="U130" s="582"/>
    </row>
    <row r="131" spans="2:21" x14ac:dyDescent="0.3">
      <c r="B131" s="575"/>
      <c r="C131" s="582"/>
      <c r="D131" s="582"/>
      <c r="E131" s="582" t="s">
        <v>964</v>
      </c>
      <c r="F131" s="582"/>
      <c r="G131" s="582"/>
      <c r="H131" s="630"/>
      <c r="I131" s="560"/>
      <c r="J131" s="673">
        <f>SUM(Monthly!K103:V103)</f>
        <v>3000</v>
      </c>
      <c r="K131" s="673">
        <f>SUM(Monthly!W103:AH103)</f>
        <v>0</v>
      </c>
      <c r="L131" s="673">
        <f>SUM(Monthly!AI103:AT103)</f>
        <v>0</v>
      </c>
      <c r="M131" s="673">
        <f>SUM(Monthly!AU103:BF103)</f>
        <v>0</v>
      </c>
      <c r="N131" s="673">
        <f>SUM(Monthly!BG103:BR103)</f>
        <v>0</v>
      </c>
      <c r="O131" s="673">
        <f>SUM(Monthly!BS103:CD103)</f>
        <v>0</v>
      </c>
      <c r="P131" s="673">
        <f>SUM(Monthly!CE103:CP103)</f>
        <v>0</v>
      </c>
      <c r="Q131" s="673">
        <f>SUM(Monthly!CQ103:DB103)</f>
        <v>0</v>
      </c>
      <c r="R131" s="673">
        <f>SUM(Monthly!DC103:DN103)</f>
        <v>0</v>
      </c>
      <c r="S131" s="560">
        <f t="shared" si="18"/>
        <v>3000</v>
      </c>
      <c r="T131" s="621"/>
      <c r="U131" s="582"/>
    </row>
    <row r="132" spans="2:21" x14ac:dyDescent="0.3">
      <c r="B132" s="575"/>
      <c r="C132" s="582"/>
      <c r="D132" s="582"/>
      <c r="E132" s="582" t="s">
        <v>965</v>
      </c>
      <c r="F132" s="582"/>
      <c r="G132" s="582"/>
      <c r="H132" s="630"/>
      <c r="I132" s="560"/>
      <c r="J132" s="673">
        <f>SUM(Monthly!K104:V104)</f>
        <v>1800</v>
      </c>
      <c r="K132" s="673">
        <f>SUM(Monthly!W104:AH104)</f>
        <v>0</v>
      </c>
      <c r="L132" s="673">
        <f>SUM(Monthly!AI104:AT104)</f>
        <v>0</v>
      </c>
      <c r="M132" s="673">
        <f>SUM(Monthly!AU104:BF104)</f>
        <v>0</v>
      </c>
      <c r="N132" s="673">
        <f>SUM(Monthly!BG104:BR104)</f>
        <v>0</v>
      </c>
      <c r="O132" s="673">
        <f>SUM(Monthly!BS104:CD104)</f>
        <v>0</v>
      </c>
      <c r="P132" s="673">
        <f>SUM(Monthly!CE104:CP104)</f>
        <v>0</v>
      </c>
      <c r="Q132" s="673">
        <f>SUM(Monthly!CQ104:DB104)</f>
        <v>0</v>
      </c>
      <c r="R132" s="673">
        <f>SUM(Monthly!DC104:DN104)</f>
        <v>0</v>
      </c>
      <c r="S132" s="560">
        <f t="shared" si="18"/>
        <v>1800</v>
      </c>
      <c r="T132" s="621"/>
      <c r="U132" s="582"/>
    </row>
    <row r="133" spans="2:21" x14ac:dyDescent="0.3">
      <c r="B133" s="575"/>
      <c r="C133" s="582"/>
      <c r="D133" s="591"/>
      <c r="E133" s="591" t="s">
        <v>386</v>
      </c>
      <c r="F133" s="591"/>
      <c r="G133" s="631">
        <v>7.4999999999999997E-2</v>
      </c>
      <c r="H133" s="632"/>
      <c r="I133" s="590"/>
      <c r="J133" s="706">
        <f>SUM(Monthly!K105:V105)</f>
        <v>204000</v>
      </c>
      <c r="K133" s="706">
        <f>SUM(Monthly!W105:AH105)</f>
        <v>0</v>
      </c>
      <c r="L133" s="706">
        <f>SUM(Monthly!AI105:AT105)</f>
        <v>0</v>
      </c>
      <c r="M133" s="706">
        <f>SUM(Monthly!AU105:BF105)</f>
        <v>0</v>
      </c>
      <c r="N133" s="706">
        <f>SUM(Monthly!BG105:BR105)</f>
        <v>0</v>
      </c>
      <c r="O133" s="706">
        <f>SUM(Monthly!BS105:CD105)</f>
        <v>0</v>
      </c>
      <c r="P133" s="706">
        <f>SUM(Monthly!CE105:CP105)</f>
        <v>0</v>
      </c>
      <c r="Q133" s="706">
        <f>SUM(Monthly!CQ105:DB105)</f>
        <v>0</v>
      </c>
      <c r="R133" s="706">
        <f>SUM(Monthly!DC105:DN105)</f>
        <v>0</v>
      </c>
      <c r="S133" s="590">
        <f t="shared" si="17"/>
        <v>204000</v>
      </c>
      <c r="T133" s="621"/>
      <c r="U133" s="582"/>
    </row>
    <row r="134" spans="2:21" x14ac:dyDescent="0.3">
      <c r="B134" s="575"/>
      <c r="C134" s="582"/>
      <c r="D134" s="582" t="s">
        <v>314</v>
      </c>
      <c r="E134" s="582"/>
      <c r="F134" s="582"/>
      <c r="G134" s="582"/>
      <c r="H134" s="630"/>
      <c r="I134" s="560"/>
      <c r="J134" s="560">
        <f t="shared" ref="J134:R134" si="19">SUM(J125:J133)</f>
        <v>2550800</v>
      </c>
      <c r="K134" s="560">
        <f t="shared" si="19"/>
        <v>0</v>
      </c>
      <c r="L134" s="560">
        <f t="shared" si="19"/>
        <v>0</v>
      </c>
      <c r="M134" s="560">
        <f t="shared" si="19"/>
        <v>0</v>
      </c>
      <c r="N134" s="560">
        <f t="shared" si="19"/>
        <v>0</v>
      </c>
      <c r="O134" s="560">
        <f t="shared" si="19"/>
        <v>0</v>
      </c>
      <c r="P134" s="560">
        <f t="shared" si="19"/>
        <v>0</v>
      </c>
      <c r="Q134" s="560">
        <f t="shared" si="19"/>
        <v>0</v>
      </c>
      <c r="R134" s="560">
        <f t="shared" si="19"/>
        <v>0</v>
      </c>
      <c r="S134" s="560">
        <f t="shared" si="17"/>
        <v>2550800</v>
      </c>
      <c r="T134" s="621"/>
      <c r="U134" s="582"/>
    </row>
    <row r="135" spans="2:21" x14ac:dyDescent="0.3">
      <c r="B135" s="575"/>
      <c r="C135" s="582"/>
      <c r="D135" s="582"/>
      <c r="E135" s="582"/>
      <c r="F135" s="582"/>
      <c r="G135" s="582"/>
      <c r="H135" s="630"/>
      <c r="I135" s="560"/>
      <c r="J135" s="560"/>
      <c r="K135" s="560"/>
      <c r="L135" s="560"/>
      <c r="M135" s="560"/>
      <c r="N135" s="560"/>
      <c r="O135" s="560"/>
      <c r="P135" s="560"/>
      <c r="Q135" s="560"/>
      <c r="R135" s="560"/>
      <c r="S135" s="560"/>
      <c r="T135" s="621"/>
      <c r="U135" s="582"/>
    </row>
    <row r="136" spans="2:21" x14ac:dyDescent="0.3">
      <c r="B136" s="575"/>
      <c r="C136" s="582"/>
      <c r="D136" s="582" t="s">
        <v>249</v>
      </c>
      <c r="E136" s="582"/>
      <c r="F136" s="582"/>
      <c r="G136" s="582"/>
      <c r="H136" s="630"/>
      <c r="I136" s="560"/>
      <c r="J136" s="673">
        <f>SUM(Monthly!K108:V108)</f>
        <v>498000</v>
      </c>
      <c r="K136" s="673">
        <f>SUM(Monthly!W108:AH108)</f>
        <v>0</v>
      </c>
      <c r="L136" s="673">
        <f>SUM(Monthly!AI108:AT108)</f>
        <v>0</v>
      </c>
      <c r="M136" s="673">
        <f>SUM(Monthly!AU108:BF108)</f>
        <v>0</v>
      </c>
      <c r="N136" s="673">
        <f>SUM(Monthly!BG108:BR108)</f>
        <v>0</v>
      </c>
      <c r="O136" s="673">
        <f>SUM(Monthly!BS108:CD108)</f>
        <v>0</v>
      </c>
      <c r="P136" s="673">
        <f>SUM(Monthly!CE108:CP108)</f>
        <v>0</v>
      </c>
      <c r="Q136" s="673">
        <f>SUM(Monthly!CQ108:DB108)</f>
        <v>0</v>
      </c>
      <c r="R136" s="673">
        <f>SUM(Monthly!DC108:DN108)</f>
        <v>0</v>
      </c>
      <c r="S136" s="560">
        <f>SUM(I136:R136)</f>
        <v>498000</v>
      </c>
      <c r="T136" s="621"/>
      <c r="U136" s="582"/>
    </row>
    <row r="137" spans="2:21" ht="14.4" thickBot="1" x14ac:dyDescent="0.35">
      <c r="B137" s="575"/>
      <c r="C137" s="633"/>
      <c r="D137" s="633"/>
      <c r="E137" s="633"/>
      <c r="F137" s="633"/>
      <c r="G137" s="633"/>
      <c r="H137" s="634"/>
      <c r="I137" s="635"/>
      <c r="J137" s="635"/>
      <c r="K137" s="635"/>
      <c r="L137" s="635"/>
      <c r="M137" s="635"/>
      <c r="N137" s="635"/>
      <c r="O137" s="635"/>
      <c r="P137" s="635"/>
      <c r="Q137" s="635"/>
      <c r="R137" s="635"/>
      <c r="S137" s="635"/>
      <c r="T137" s="621"/>
      <c r="U137" s="582"/>
    </row>
    <row r="138" spans="2:21" x14ac:dyDescent="0.3">
      <c r="B138" s="575"/>
      <c r="C138" s="582" t="s">
        <v>251</v>
      </c>
      <c r="D138" s="582"/>
      <c r="E138" s="582"/>
      <c r="F138" s="582"/>
      <c r="G138" s="582"/>
      <c r="H138" s="630"/>
      <c r="I138" s="560"/>
      <c r="J138" s="560">
        <f>J134+J136</f>
        <v>3048800</v>
      </c>
      <c r="K138" s="560">
        <f>K134+K136</f>
        <v>0</v>
      </c>
      <c r="L138" s="560">
        <f>L134+L136</f>
        <v>0</v>
      </c>
      <c r="M138" s="560">
        <f t="shared" ref="M138:R138" si="20">M134+M136</f>
        <v>0</v>
      </c>
      <c r="N138" s="560">
        <f t="shared" si="20"/>
        <v>0</v>
      </c>
      <c r="O138" s="560">
        <f t="shared" si="20"/>
        <v>0</v>
      </c>
      <c r="P138" s="560">
        <f t="shared" si="20"/>
        <v>0</v>
      </c>
      <c r="Q138" s="560">
        <f t="shared" si="20"/>
        <v>0</v>
      </c>
      <c r="R138" s="560">
        <f t="shared" si="20"/>
        <v>0</v>
      </c>
      <c r="S138" s="560">
        <f>SUM(I138:R138)</f>
        <v>3048800</v>
      </c>
      <c r="T138" s="621"/>
      <c r="U138" s="582"/>
    </row>
    <row r="139" spans="2:21" x14ac:dyDescent="0.3">
      <c r="B139" s="575"/>
      <c r="C139" s="582"/>
      <c r="D139" s="582"/>
      <c r="E139" s="582"/>
      <c r="F139" s="582"/>
      <c r="G139" s="582"/>
      <c r="H139" s="630"/>
      <c r="I139" s="560"/>
      <c r="J139" s="560"/>
      <c r="K139" s="560"/>
      <c r="L139" s="560"/>
      <c r="M139" s="560"/>
      <c r="N139" s="560"/>
      <c r="O139" s="560"/>
      <c r="P139" s="560"/>
      <c r="Q139" s="560"/>
      <c r="R139" s="560"/>
      <c r="S139" s="560"/>
      <c r="T139" s="621"/>
      <c r="U139" s="582"/>
    </row>
    <row r="140" spans="2:21" x14ac:dyDescent="0.3">
      <c r="B140" s="575"/>
      <c r="C140" s="582"/>
      <c r="D140" s="582" t="s">
        <v>725</v>
      </c>
      <c r="E140" s="582"/>
      <c r="F140" s="582"/>
      <c r="G140" s="582"/>
      <c r="H140" s="630"/>
      <c r="I140" s="560"/>
      <c r="J140" s="673">
        <f>SUM(Monthly!K112:V112)</f>
        <v>0</v>
      </c>
      <c r="K140" s="673">
        <f>SUM(Monthly!W112:AH112)</f>
        <v>0</v>
      </c>
      <c r="L140" s="673">
        <f>SUM(Monthly!AI112:AT112)</f>
        <v>29124.91053294114</v>
      </c>
      <c r="M140" s="673">
        <f>SUM(Monthly!AU112:BF112)</f>
        <v>31159.691624450777</v>
      </c>
      <c r="N140" s="673">
        <f>SUM(Monthly!BG112:BR112)</f>
        <v>33057.845724769482</v>
      </c>
      <c r="O140" s="673">
        <f>SUM(Monthly!BS112:CD112)</f>
        <v>34790.288911951393</v>
      </c>
      <c r="P140" s="673">
        <f>SUM(Monthly!CE112:CP112)</f>
        <v>36441.302997610452</v>
      </c>
      <c r="Q140" s="673">
        <f>SUM(Monthly!CQ112:DB112)</f>
        <v>37846.535785030537</v>
      </c>
      <c r="R140" s="673">
        <f>SUM(Monthly!DC112:DN112)</f>
        <v>39216.047366651495</v>
      </c>
      <c r="S140" s="560">
        <f>SUM(I140:R140)</f>
        <v>241636.62294340527</v>
      </c>
      <c r="T140" s="621"/>
      <c r="U140" s="582"/>
    </row>
    <row r="141" spans="2:21" x14ac:dyDescent="0.3">
      <c r="B141" s="575"/>
      <c r="C141" s="582"/>
      <c r="D141" s="582"/>
      <c r="E141" s="582"/>
      <c r="F141" s="582"/>
      <c r="G141" s="582"/>
      <c r="H141" s="630"/>
      <c r="I141" s="560"/>
      <c r="J141" s="560"/>
      <c r="K141" s="560"/>
      <c r="L141" s="560"/>
      <c r="M141" s="560"/>
      <c r="N141" s="560"/>
      <c r="O141" s="560"/>
      <c r="P141" s="560"/>
      <c r="Q141" s="560"/>
      <c r="R141" s="560"/>
      <c r="S141" s="560"/>
      <c r="T141" s="621"/>
      <c r="U141" s="582"/>
    </row>
    <row r="142" spans="2:21" x14ac:dyDescent="0.3">
      <c r="B142" s="575"/>
      <c r="C142" s="618" t="s">
        <v>726</v>
      </c>
      <c r="D142" s="618"/>
      <c r="E142" s="618"/>
      <c r="F142" s="618"/>
      <c r="G142" s="618"/>
      <c r="H142" s="618"/>
      <c r="I142" s="594"/>
      <c r="J142" s="594">
        <f t="shared" ref="J142:R142" si="21">J121-J138-J140</f>
        <v>-3277124.5244543678</v>
      </c>
      <c r="K142" s="594">
        <f t="shared" si="21"/>
        <v>-124765.07136869652</v>
      </c>
      <c r="L142" s="594">
        <f t="shared" si="21"/>
        <v>-51738.872488581546</v>
      </c>
      <c r="M142" s="594">
        <f t="shared" si="21"/>
        <v>-49248.662606828308</v>
      </c>
      <c r="N142" s="594">
        <f t="shared" si="21"/>
        <v>-54531.995619855959</v>
      </c>
      <c r="O142" s="594">
        <f t="shared" si="21"/>
        <v>-60227.764086311079</v>
      </c>
      <c r="P142" s="594">
        <f t="shared" si="21"/>
        <v>-68795.455359982996</v>
      </c>
      <c r="Q142" s="594">
        <f t="shared" si="21"/>
        <v>-79512.234462849185</v>
      </c>
      <c r="R142" s="594">
        <f t="shared" si="21"/>
        <v>-92907.876398688939</v>
      </c>
      <c r="S142" s="594">
        <f>SUM(I142:R142)</f>
        <v>-3858852.4568461627</v>
      </c>
      <c r="T142" s="621"/>
      <c r="U142" s="582"/>
    </row>
    <row r="143" spans="2:21" x14ac:dyDescent="0.3">
      <c r="B143" s="575"/>
      <c r="C143" s="582"/>
      <c r="D143" s="582"/>
      <c r="E143" s="582"/>
      <c r="F143" s="582"/>
      <c r="G143" s="582"/>
      <c r="H143" s="630"/>
      <c r="I143" s="560"/>
      <c r="J143" s="560"/>
      <c r="K143" s="560"/>
      <c r="L143" s="560"/>
      <c r="M143" s="560"/>
      <c r="N143" s="560"/>
      <c r="O143" s="560"/>
      <c r="P143" s="560"/>
      <c r="Q143" s="560"/>
      <c r="R143" s="560"/>
      <c r="S143" s="560"/>
      <c r="T143" s="621"/>
      <c r="U143" s="582"/>
    </row>
    <row r="144" spans="2:21" x14ac:dyDescent="0.3">
      <c r="B144" s="575"/>
      <c r="C144" s="582" t="s">
        <v>315</v>
      </c>
      <c r="D144" s="582"/>
      <c r="E144" s="582"/>
      <c r="F144" s="582"/>
      <c r="G144" s="582"/>
      <c r="H144" s="630"/>
      <c r="I144" s="560"/>
      <c r="J144" s="560"/>
      <c r="K144" s="560"/>
      <c r="L144" s="560"/>
      <c r="M144" s="560"/>
      <c r="N144" s="560"/>
      <c r="O144" s="560"/>
      <c r="P144" s="560"/>
      <c r="Q144" s="560"/>
      <c r="R144" s="560"/>
      <c r="S144" s="560">
        <f>SUM(I144:R144)</f>
        <v>0</v>
      </c>
      <c r="T144" s="621"/>
      <c r="U144" s="582"/>
    </row>
    <row r="145" spans="2:21" x14ac:dyDescent="0.3">
      <c r="B145" s="575"/>
      <c r="C145" s="582"/>
      <c r="D145" s="582" t="s">
        <v>316</v>
      </c>
      <c r="E145" s="582"/>
      <c r="F145" s="582"/>
      <c r="G145" s="582"/>
      <c r="H145" s="630"/>
      <c r="I145" s="560"/>
      <c r="J145" s="673">
        <f>SUM(Monthly!K117:V117)</f>
        <v>1241134</v>
      </c>
      <c r="K145" s="673">
        <f>SUM(Monthly!W117:AH117)</f>
        <v>0</v>
      </c>
      <c r="L145" s="673">
        <f>SUM(Monthly!AI117:AT117)</f>
        <v>0</v>
      </c>
      <c r="M145" s="673">
        <f>SUM(Monthly!AU117:BF117)</f>
        <v>0</v>
      </c>
      <c r="N145" s="673">
        <f>SUM(Monthly!BG117:BR117)</f>
        <v>0</v>
      </c>
      <c r="O145" s="673">
        <f>SUM(Monthly!BS117:CD117)</f>
        <v>-20000</v>
      </c>
      <c r="P145" s="673">
        <f>SUM(Monthly!CE117:CP117)</f>
        <v>-30000</v>
      </c>
      <c r="Q145" s="673">
        <f>SUM(Monthly!CQ117:DB117)</f>
        <v>-50000</v>
      </c>
      <c r="R145" s="673">
        <f>SUM(Monthly!DC117:DN117)</f>
        <v>-60000</v>
      </c>
      <c r="S145" s="560">
        <f>SUM(I145:R145)</f>
        <v>1081134</v>
      </c>
      <c r="T145" s="621"/>
      <c r="U145" s="582"/>
    </row>
    <row r="146" spans="2:21" x14ac:dyDescent="0.3">
      <c r="B146" s="575"/>
      <c r="C146" s="582"/>
      <c r="D146" s="582" t="s">
        <v>327</v>
      </c>
      <c r="E146" s="582"/>
      <c r="F146" s="582"/>
      <c r="G146" s="582"/>
      <c r="H146" s="630"/>
      <c r="I146" s="560"/>
      <c r="J146" s="673">
        <f>SUM(Monthly!K118:V118)</f>
        <v>2035990.5244543678</v>
      </c>
      <c r="K146" s="673">
        <f>SUM(Monthly!W118:AH118)</f>
        <v>129936.0602274283</v>
      </c>
      <c r="L146" s="673">
        <f>SUM(Monthly!AI118:AT118)</f>
        <v>79244.476137437101</v>
      </c>
      <c r="M146" s="673">
        <f>SUM(Monthly!AU118:BF118)</f>
        <v>79348.771905630143</v>
      </c>
      <c r="N146" s="673">
        <f>SUM(Monthly!BG118:BR118)</f>
        <v>86856.622640717236</v>
      </c>
      <c r="O146" s="673">
        <f>SUM(Monthly!BS118:CD118)</f>
        <v>115112.63093213169</v>
      </c>
      <c r="P146" s="673">
        <f>SUM(Monthly!CE118:CP118)</f>
        <v>134982.66146296053</v>
      </c>
      <c r="Q146" s="673">
        <f>SUM(Monthly!CQ118:DB118)</f>
        <v>166606.61286162684</v>
      </c>
      <c r="R146" s="673">
        <f>SUM(Monthly!DC118:DN118)</f>
        <v>156099.61886430669</v>
      </c>
      <c r="S146" s="560">
        <f>SUM(I146:R146)</f>
        <v>2984177.9794866065</v>
      </c>
      <c r="T146" s="621"/>
      <c r="U146" s="582"/>
    </row>
    <row r="147" spans="2:21" ht="14.4" thickBot="1" x14ac:dyDescent="0.35">
      <c r="B147" s="575"/>
      <c r="C147" s="633"/>
      <c r="D147" s="633" t="s">
        <v>677</v>
      </c>
      <c r="E147" s="633"/>
      <c r="F147" s="633"/>
      <c r="G147" s="633"/>
      <c r="H147" s="634"/>
      <c r="I147" s="635"/>
      <c r="J147" s="944">
        <f>SUM(Monthly!K119:V119)</f>
        <v>0</v>
      </c>
      <c r="K147" s="944">
        <f>SUM(Monthly!W119:AH119)</f>
        <v>2370000</v>
      </c>
      <c r="L147" s="944">
        <f>SUM(Monthly!AI119:AT119)</f>
        <v>20000</v>
      </c>
      <c r="M147" s="944">
        <f>SUM(Monthly!AU119:BF119)</f>
        <v>0</v>
      </c>
      <c r="N147" s="944">
        <f>SUM(Monthly!BG119:BR119)</f>
        <v>-20000</v>
      </c>
      <c r="O147" s="944">
        <f>SUM(Monthly!BS119:CD119)</f>
        <v>-30000</v>
      </c>
      <c r="P147" s="944">
        <f>SUM(Monthly!CE119:CP119)</f>
        <v>-50000</v>
      </c>
      <c r="Q147" s="944">
        <f>SUM(Monthly!CQ119:DB119)</f>
        <v>-60000</v>
      </c>
      <c r="R147" s="944">
        <f>SUM(Monthly!DC119:DN119)</f>
        <v>0</v>
      </c>
      <c r="S147" s="635">
        <f>SUM(I147:R147)</f>
        <v>2230000</v>
      </c>
      <c r="T147" s="621"/>
      <c r="U147" s="582"/>
    </row>
    <row r="148" spans="2:21" x14ac:dyDescent="0.3">
      <c r="B148" s="575"/>
      <c r="C148" s="582" t="s">
        <v>319</v>
      </c>
      <c r="D148" s="582"/>
      <c r="E148" s="582"/>
      <c r="F148" s="582"/>
      <c r="G148" s="582"/>
      <c r="H148" s="630"/>
      <c r="I148" s="560"/>
      <c r="J148" s="560">
        <f t="shared" ref="J148:R148" si="22">SUM(J144:J147)</f>
        <v>3277124.5244543678</v>
      </c>
      <c r="K148" s="560">
        <f t="shared" si="22"/>
        <v>2499936.0602274281</v>
      </c>
      <c r="L148" s="560">
        <f t="shared" si="22"/>
        <v>99244.476137437101</v>
      </c>
      <c r="M148" s="560">
        <f t="shared" si="22"/>
        <v>79348.771905630143</v>
      </c>
      <c r="N148" s="560">
        <f t="shared" si="22"/>
        <v>66856.622640717236</v>
      </c>
      <c r="O148" s="560">
        <f t="shared" si="22"/>
        <v>65112.630932131695</v>
      </c>
      <c r="P148" s="560">
        <f t="shared" si="22"/>
        <v>54982.661462960532</v>
      </c>
      <c r="Q148" s="560">
        <f t="shared" si="22"/>
        <v>56606.61286162684</v>
      </c>
      <c r="R148" s="560">
        <f t="shared" si="22"/>
        <v>96099.618864306685</v>
      </c>
      <c r="S148" s="560">
        <f>SUM(I148:R148)</f>
        <v>6295311.9794866052</v>
      </c>
      <c r="T148" s="621"/>
      <c r="U148" s="582"/>
    </row>
    <row r="149" spans="2:21" x14ac:dyDescent="0.3">
      <c r="B149" s="575"/>
      <c r="C149" s="582"/>
      <c r="G149" s="582"/>
      <c r="H149" s="630"/>
      <c r="I149" s="560"/>
      <c r="J149" s="560"/>
      <c r="K149" s="560"/>
      <c r="L149" s="560"/>
      <c r="M149" s="560"/>
      <c r="N149" s="560"/>
      <c r="O149" s="560"/>
      <c r="P149" s="560"/>
      <c r="Q149" s="560"/>
      <c r="R149" s="560"/>
      <c r="S149" s="560"/>
      <c r="T149" s="621"/>
      <c r="U149" s="582"/>
    </row>
    <row r="150" spans="2:21" x14ac:dyDescent="0.3">
      <c r="B150" s="575"/>
      <c r="C150" s="618" t="s">
        <v>727</v>
      </c>
      <c r="D150" s="618"/>
      <c r="E150" s="618"/>
      <c r="F150" s="618"/>
      <c r="G150" s="618"/>
      <c r="H150" s="618"/>
      <c r="I150" s="594"/>
      <c r="J150" s="594">
        <f t="shared" ref="J150:R150" si="23">J148</f>
        <v>3277124.5244543678</v>
      </c>
      <c r="K150" s="594">
        <f t="shared" si="23"/>
        <v>2499936.0602274281</v>
      </c>
      <c r="L150" s="594">
        <f t="shared" si="23"/>
        <v>99244.476137437101</v>
      </c>
      <c r="M150" s="594">
        <f t="shared" si="23"/>
        <v>79348.771905630143</v>
      </c>
      <c r="N150" s="594">
        <f t="shared" si="23"/>
        <v>66856.622640717236</v>
      </c>
      <c r="O150" s="594">
        <f t="shared" si="23"/>
        <v>65112.630932131695</v>
      </c>
      <c r="P150" s="594">
        <f t="shared" si="23"/>
        <v>54982.661462960532</v>
      </c>
      <c r="Q150" s="594">
        <f t="shared" si="23"/>
        <v>56606.61286162684</v>
      </c>
      <c r="R150" s="594">
        <f t="shared" si="23"/>
        <v>96099.618864306685</v>
      </c>
      <c r="S150" s="594">
        <f>SUM(I150:R150)</f>
        <v>6295311.9794866052</v>
      </c>
      <c r="T150" s="621"/>
      <c r="U150" s="582"/>
    </row>
    <row r="151" spans="2:21" x14ac:dyDescent="0.3">
      <c r="B151" s="575"/>
      <c r="C151" s="582"/>
      <c r="G151" s="582"/>
      <c r="H151" s="630"/>
      <c r="I151" s="560"/>
      <c r="J151" s="560"/>
      <c r="K151" s="560"/>
      <c r="L151" s="560"/>
      <c r="M151" s="560"/>
      <c r="N151" s="560"/>
      <c r="O151" s="560"/>
      <c r="P151" s="560"/>
      <c r="Q151" s="560"/>
      <c r="R151" s="560"/>
      <c r="S151" s="560"/>
      <c r="T151" s="621"/>
      <c r="U151" s="582"/>
    </row>
    <row r="152" spans="2:21" x14ac:dyDescent="0.3">
      <c r="B152" s="575"/>
      <c r="C152" s="582" t="s">
        <v>664</v>
      </c>
      <c r="G152" s="582"/>
      <c r="H152" s="630"/>
      <c r="I152" s="560"/>
      <c r="J152" s="560"/>
      <c r="K152" s="560"/>
      <c r="L152" s="560"/>
      <c r="M152" s="560"/>
      <c r="N152" s="560"/>
      <c r="O152" s="560"/>
      <c r="P152" s="560"/>
      <c r="Q152" s="560"/>
      <c r="R152" s="560"/>
      <c r="S152" s="560"/>
      <c r="T152" s="621"/>
      <c r="U152" s="582"/>
    </row>
    <row r="153" spans="2:21" x14ac:dyDescent="0.3">
      <c r="B153" s="575"/>
      <c r="C153" s="582"/>
      <c r="D153" s="571" t="s">
        <v>665</v>
      </c>
      <c r="G153" s="582"/>
      <c r="H153" s="630"/>
      <c r="I153" s="560"/>
      <c r="J153" s="673">
        <f>SUM(Monthly!K125:V125)</f>
        <v>0</v>
      </c>
      <c r="K153" s="673">
        <f>SUM(Monthly!W125:AH125)</f>
        <v>2165926.5846817964</v>
      </c>
      <c r="L153" s="673">
        <f>SUM(Monthly!AI125:AT125)</f>
        <v>20000</v>
      </c>
      <c r="M153" s="673">
        <f>SUM(Monthly!AU125:BF125)</f>
        <v>30100.109298801806</v>
      </c>
      <c r="N153" s="673">
        <f>SUM(Monthly!BG125:BR125)</f>
        <v>32324.627020861393</v>
      </c>
      <c r="O153" s="673">
        <f>SUM(Monthly!BS125:CD125)</f>
        <v>34884.866845820536</v>
      </c>
      <c r="P153" s="673">
        <f>SUM(Monthly!CE125:CP125)</f>
        <v>36187.20610297747</v>
      </c>
      <c r="Q153" s="673">
        <f>SUM(Monthly!CQ125:DB125)</f>
        <v>37094.378398777662</v>
      </c>
      <c r="R153" s="673">
        <f>SUM(Monthly!DC125:DN125)</f>
        <v>90432.075787880953</v>
      </c>
      <c r="S153" s="560">
        <f>SUM(I153:R153)</f>
        <v>2446949.8481369163</v>
      </c>
      <c r="T153" s="621"/>
      <c r="U153" s="582"/>
    </row>
    <row r="154" spans="2:21" x14ac:dyDescent="0.3">
      <c r="B154" s="575"/>
      <c r="C154" s="582"/>
      <c r="D154" s="571" t="s">
        <v>666</v>
      </c>
      <c r="G154" s="582"/>
      <c r="H154" s="630"/>
      <c r="I154" s="560"/>
      <c r="J154" s="673">
        <f>SUM(Monthly!K126:V126)</f>
        <v>0</v>
      </c>
      <c r="K154" s="673">
        <f>SUM(Monthly!W126:AH126)</f>
        <v>209244.40417693555</v>
      </c>
      <c r="L154" s="673">
        <f>SUM(Monthly!AI126:AT126)</f>
        <v>27505.603648855493</v>
      </c>
      <c r="M154" s="673">
        <f>SUM(Monthly!AU126:BF126)</f>
        <v>0</v>
      </c>
      <c r="N154" s="673">
        <f>SUM(Monthly!BG126:BR126)</f>
        <v>0</v>
      </c>
      <c r="O154" s="673">
        <f>SUM(Monthly!BS126:CD126)</f>
        <v>0</v>
      </c>
      <c r="P154" s="673">
        <f>SUM(Monthly!CE126:CP126)</f>
        <v>0</v>
      </c>
      <c r="Q154" s="673">
        <f>SUM(Monthly!CQ126:DB126)</f>
        <v>0</v>
      </c>
      <c r="R154" s="673">
        <f>SUM(Monthly!DC126:DN126)</f>
        <v>0</v>
      </c>
      <c r="S154" s="560">
        <f t="shared" ref="S154:S156" si="24">SUM(I154:R154)</f>
        <v>236750.00782579105</v>
      </c>
      <c r="T154" s="621"/>
      <c r="U154" s="582"/>
    </row>
    <row r="155" spans="2:21" x14ac:dyDescent="0.3">
      <c r="B155" s="575"/>
      <c r="C155" s="591"/>
      <c r="D155" s="589" t="s">
        <v>667</v>
      </c>
      <c r="E155" s="589"/>
      <c r="F155" s="589"/>
      <c r="G155" s="591"/>
      <c r="H155" s="632"/>
      <c r="I155" s="590"/>
      <c r="J155" s="706">
        <f>SUM(Monthly!K127:V127)</f>
        <v>0</v>
      </c>
      <c r="K155" s="706">
        <f>SUM(Monthly!W127:AH127)</f>
        <v>0</v>
      </c>
      <c r="L155" s="706">
        <f>SUM(Monthly!AI127:AT127)</f>
        <v>0</v>
      </c>
      <c r="M155" s="706">
        <f>SUM(Monthly!AU127:BF127)</f>
        <v>0</v>
      </c>
      <c r="N155" s="706">
        <f>SUM(Monthly!BG127:BR127)</f>
        <v>0</v>
      </c>
      <c r="O155" s="706">
        <f>SUM(Monthly!BS127:CD127)</f>
        <v>0</v>
      </c>
      <c r="P155" s="706">
        <f>SUM(Monthly!CE127:CP127)</f>
        <v>0</v>
      </c>
      <c r="Q155" s="706">
        <f>SUM(Monthly!CQ127:DB127)</f>
        <v>0</v>
      </c>
      <c r="R155" s="706">
        <f>SUM(Monthly!DC127:DN127)</f>
        <v>0</v>
      </c>
      <c r="S155" s="590">
        <f t="shared" si="24"/>
        <v>0</v>
      </c>
      <c r="T155" s="621"/>
      <c r="U155" s="582"/>
    </row>
    <row r="156" spans="2:21" x14ac:dyDescent="0.3">
      <c r="B156" s="575"/>
      <c r="C156" s="582" t="s">
        <v>396</v>
      </c>
      <c r="G156" s="582"/>
      <c r="H156" s="630"/>
      <c r="I156" s="560"/>
      <c r="J156" s="560">
        <f>SUM(Monthly!J128:R128)</f>
        <v>0</v>
      </c>
      <c r="K156" s="560">
        <f>SUM(Monthly!S128:AD128)</f>
        <v>0</v>
      </c>
      <c r="L156" s="560">
        <f>SUM(Monthly!AE128:AP128)</f>
        <v>0</v>
      </c>
      <c r="M156" s="560">
        <f>SUM(Monthly!AQ128:BB128)</f>
        <v>0</v>
      </c>
      <c r="N156" s="560">
        <f>SUM(Monthly!BC128:BN128)</f>
        <v>0</v>
      </c>
      <c r="O156" s="560">
        <f>SUM(Monthly!BO128:BZ128)</f>
        <v>-20000</v>
      </c>
      <c r="P156" s="560">
        <f>SUM(Monthly!CA128:CL128)</f>
        <v>-30000</v>
      </c>
      <c r="Q156" s="560">
        <f>SUM(Monthly!CM128:CX128)</f>
        <v>-50000</v>
      </c>
      <c r="R156" s="560">
        <f>SUM(Monthly!CY128:DJ128)</f>
        <v>-60000</v>
      </c>
      <c r="S156" s="560">
        <f t="shared" si="24"/>
        <v>-160000</v>
      </c>
      <c r="T156" s="621"/>
      <c r="U156" s="582"/>
    </row>
    <row r="157" spans="2:21" x14ac:dyDescent="0.3">
      <c r="B157" s="575"/>
      <c r="C157" s="582"/>
      <c r="G157" s="582"/>
      <c r="H157" s="630"/>
      <c r="I157" s="560"/>
      <c r="J157" s="560"/>
      <c r="K157" s="560"/>
      <c r="L157" s="560"/>
      <c r="M157" s="560"/>
      <c r="N157" s="560"/>
      <c r="O157" s="560"/>
      <c r="P157" s="560"/>
      <c r="Q157" s="560"/>
      <c r="R157" s="560"/>
      <c r="S157" s="560"/>
      <c r="T157" s="621"/>
      <c r="U157" s="582"/>
    </row>
    <row r="158" spans="2:21" x14ac:dyDescent="0.3">
      <c r="B158" s="575"/>
      <c r="C158" s="591"/>
      <c r="D158" s="589" t="s">
        <v>743</v>
      </c>
      <c r="E158" s="589"/>
      <c r="F158" s="589"/>
      <c r="G158" s="591"/>
      <c r="H158" s="632"/>
      <c r="I158" s="590"/>
      <c r="J158" s="706">
        <f>SUM(Monthly!K130:V130)</f>
        <v>2225623.9166666674</v>
      </c>
      <c r="K158" s="706">
        <f>SUM(Monthly!W130:AH130)</f>
        <v>0</v>
      </c>
      <c r="L158" s="706">
        <f>SUM(Monthly!AI130:AT130)</f>
        <v>0</v>
      </c>
      <c r="M158" s="706">
        <f>SUM(Monthly!AU130:BF130)</f>
        <v>0</v>
      </c>
      <c r="N158" s="706">
        <f>SUM(Monthly!BG130:BR130)</f>
        <v>0</v>
      </c>
      <c r="O158" s="706">
        <f>SUM(Monthly!BS130:CD130)</f>
        <v>-140000</v>
      </c>
      <c r="P158" s="706">
        <f>SUM(Monthly!CE130:CP130)</f>
        <v>-210000</v>
      </c>
      <c r="Q158" s="706">
        <f>SUM(Monthly!CQ130:DB130)</f>
        <v>-350000</v>
      </c>
      <c r="R158" s="706">
        <f>SUM(Monthly!DC130:DN130)</f>
        <v>-420000</v>
      </c>
      <c r="S158" s="590">
        <f>R158</f>
        <v>-420000</v>
      </c>
      <c r="T158" s="621"/>
      <c r="U158" s="582"/>
    </row>
    <row r="159" spans="2:21" x14ac:dyDescent="0.3">
      <c r="B159" s="575"/>
      <c r="C159" s="582"/>
      <c r="G159" s="582"/>
      <c r="H159" s="630"/>
      <c r="I159" s="560"/>
      <c r="J159" s="560"/>
      <c r="K159" s="560"/>
      <c r="L159" s="560"/>
      <c r="M159" s="560"/>
      <c r="N159" s="560"/>
      <c r="O159" s="560"/>
      <c r="P159" s="560"/>
      <c r="Q159" s="560"/>
      <c r="R159" s="560"/>
      <c r="S159" s="560"/>
      <c r="T159" s="621"/>
      <c r="U159" s="582"/>
    </row>
    <row r="160" spans="2:21" x14ac:dyDescent="0.3">
      <c r="B160" s="575"/>
      <c r="C160" s="618" t="s">
        <v>728</v>
      </c>
      <c r="D160" s="618"/>
      <c r="E160" s="618"/>
      <c r="F160" s="618"/>
      <c r="G160" s="618"/>
      <c r="H160" s="618"/>
      <c r="I160" s="594"/>
      <c r="J160" s="594">
        <f t="shared" ref="J160:R160" si="25">SUM(J164:J165)</f>
        <v>0</v>
      </c>
      <c r="K160" s="594">
        <f t="shared" si="25"/>
        <v>0</v>
      </c>
      <c r="L160" s="594">
        <f t="shared" si="25"/>
        <v>0</v>
      </c>
      <c r="M160" s="594">
        <f t="shared" si="25"/>
        <v>0</v>
      </c>
      <c r="N160" s="594">
        <f t="shared" si="25"/>
        <v>0</v>
      </c>
      <c r="O160" s="594">
        <f t="shared" si="25"/>
        <v>0</v>
      </c>
      <c r="P160" s="594">
        <f t="shared" si="25"/>
        <v>0</v>
      </c>
      <c r="Q160" s="594">
        <f t="shared" si="25"/>
        <v>0</v>
      </c>
      <c r="R160" s="594">
        <f t="shared" si="25"/>
        <v>0</v>
      </c>
      <c r="S160" s="594">
        <f>SUM(I160:R160)</f>
        <v>0</v>
      </c>
      <c r="T160" s="621"/>
      <c r="U160" s="582"/>
    </row>
    <row r="161" spans="2:21" x14ac:dyDescent="0.3">
      <c r="B161" s="575"/>
      <c r="C161" s="582"/>
      <c r="G161" s="582"/>
      <c r="H161" s="630"/>
      <c r="I161" s="560"/>
      <c r="J161" s="560"/>
      <c r="K161" s="560"/>
      <c r="L161" s="560"/>
      <c r="M161" s="560"/>
      <c r="N161" s="560"/>
      <c r="O161" s="560"/>
      <c r="P161" s="560"/>
      <c r="Q161" s="560"/>
      <c r="R161" s="560"/>
      <c r="S161" s="560"/>
      <c r="T161" s="621"/>
      <c r="U161" s="582"/>
    </row>
    <row r="162" spans="2:21" x14ac:dyDescent="0.3">
      <c r="B162" s="575"/>
      <c r="C162" s="582" t="s">
        <v>780</v>
      </c>
      <c r="G162" s="582"/>
      <c r="H162" s="630"/>
      <c r="I162" s="560"/>
      <c r="J162" s="560"/>
      <c r="K162" s="560"/>
      <c r="L162" s="560"/>
      <c r="M162" s="560"/>
      <c r="N162" s="560"/>
      <c r="O162" s="560"/>
      <c r="P162" s="560"/>
      <c r="Q162" s="560"/>
      <c r="R162" s="560"/>
      <c r="S162" s="560"/>
      <c r="T162" s="621"/>
      <c r="U162" s="582"/>
    </row>
    <row r="163" spans="2:21" x14ac:dyDescent="0.3">
      <c r="B163" s="575"/>
      <c r="C163" s="582"/>
      <c r="G163" s="582"/>
      <c r="H163" s="630"/>
      <c r="I163" s="560"/>
      <c r="J163" s="560"/>
      <c r="K163" s="560"/>
      <c r="L163" s="560"/>
      <c r="M163" s="560"/>
      <c r="N163" s="560"/>
      <c r="O163" s="560"/>
      <c r="P163" s="560"/>
      <c r="Q163" s="560"/>
      <c r="R163" s="560"/>
      <c r="S163" s="560"/>
      <c r="T163" s="621"/>
      <c r="U163" s="582"/>
    </row>
    <row r="164" spans="2:21" x14ac:dyDescent="0.3">
      <c r="B164" s="575"/>
      <c r="C164" s="582"/>
      <c r="D164" s="571" t="s">
        <v>781</v>
      </c>
      <c r="G164" s="582"/>
      <c r="H164" s="630"/>
      <c r="I164" s="560"/>
      <c r="J164" s="560">
        <f>SUM(Distributions!D9:O9)</f>
        <v>0</v>
      </c>
      <c r="K164" s="560">
        <f>SUM(Distributions!P9:AA9)</f>
        <v>0</v>
      </c>
      <c r="L164" s="560">
        <f>SUM(Distributions!AB9:AM9)</f>
        <v>0</v>
      </c>
      <c r="M164" s="560">
        <f>SUM(Distributions!AN9:AY9)</f>
        <v>0</v>
      </c>
      <c r="N164" s="560">
        <f>SUM(Distributions!AZ9:BK9)</f>
        <v>0</v>
      </c>
      <c r="O164" s="560">
        <f>SUM(Distributions!BL9:BW9)</f>
        <v>0</v>
      </c>
      <c r="P164" s="560">
        <f>SUM(Distributions!BX9:CI9)</f>
        <v>0</v>
      </c>
      <c r="Q164" s="560">
        <f>SUM(Distributions!CJ9:CU9)</f>
        <v>0</v>
      </c>
      <c r="R164" s="560">
        <f>SUM(Distributions!CV9:DG9)</f>
        <v>0</v>
      </c>
      <c r="S164" s="560">
        <f>SUM(I164:R164)</f>
        <v>0</v>
      </c>
      <c r="T164" s="621"/>
      <c r="U164" s="582"/>
    </row>
    <row r="165" spans="2:21" x14ac:dyDescent="0.3">
      <c r="B165" s="575"/>
      <c r="C165" s="582"/>
      <c r="D165" s="571" t="s">
        <v>709</v>
      </c>
      <c r="G165" s="341">
        <f>'Members Capital'!L26</f>
        <v>0.15000000000000002</v>
      </c>
      <c r="H165" s="630"/>
      <c r="I165" s="560"/>
      <c r="J165" s="560">
        <f>SUM(Distributions!D11:O11)</f>
        <v>0</v>
      </c>
      <c r="K165" s="560">
        <f>SUM(Distributions!P11:AA11)</f>
        <v>0</v>
      </c>
      <c r="L165" s="560">
        <f>SUM(Distributions!AB11:AM11)</f>
        <v>0</v>
      </c>
      <c r="M165" s="560">
        <f>SUM(Distributions!AN11:AY11)</f>
        <v>0</v>
      </c>
      <c r="N165" s="560">
        <f>SUM(Distributions!AZ11:BK11)</f>
        <v>0</v>
      </c>
      <c r="O165" s="560">
        <f>SUM(Distributions!BL11:BW11)</f>
        <v>0</v>
      </c>
      <c r="P165" s="560">
        <f>SUM(Distributions!BX11:CI11)</f>
        <v>0</v>
      </c>
      <c r="Q165" s="560">
        <f>SUM(Distributions!CJ11:CU11)</f>
        <v>0</v>
      </c>
      <c r="R165" s="560">
        <f>SUM(Distributions!CV11:DG11)</f>
        <v>0</v>
      </c>
      <c r="S165" s="560">
        <f>SUM(I165:R165)</f>
        <v>0</v>
      </c>
      <c r="T165" s="621"/>
      <c r="U165" s="582"/>
    </row>
    <row r="166" spans="2:21" x14ac:dyDescent="0.3">
      <c r="B166" s="575"/>
      <c r="C166" s="582"/>
      <c r="G166" s="582"/>
      <c r="H166" s="630"/>
      <c r="I166" s="560"/>
      <c r="J166" s="560"/>
      <c r="K166" s="560"/>
      <c r="L166" s="560"/>
      <c r="M166" s="560"/>
      <c r="N166" s="560"/>
      <c r="O166" s="560"/>
      <c r="P166" s="560"/>
      <c r="Q166" s="560"/>
      <c r="R166" s="560"/>
      <c r="S166" s="560"/>
      <c r="T166" s="621"/>
      <c r="U166" s="582"/>
    </row>
    <row r="167" spans="2:21" x14ac:dyDescent="0.3">
      <c r="B167" s="575"/>
      <c r="C167" s="618" t="s">
        <v>782</v>
      </c>
      <c r="D167" s="618"/>
      <c r="E167" s="618"/>
      <c r="F167" s="618"/>
      <c r="G167" s="618"/>
      <c r="H167" s="618"/>
      <c r="I167" s="594"/>
      <c r="J167" s="594">
        <f>J164+I167</f>
        <v>0</v>
      </c>
      <c r="K167" s="594">
        <f t="shared" ref="K167:R167" si="26">K164+J167</f>
        <v>0</v>
      </c>
      <c r="L167" s="594">
        <f t="shared" si="26"/>
        <v>0</v>
      </c>
      <c r="M167" s="594">
        <f t="shared" si="26"/>
        <v>0</v>
      </c>
      <c r="N167" s="594">
        <f t="shared" si="26"/>
        <v>0</v>
      </c>
      <c r="O167" s="594">
        <f t="shared" si="26"/>
        <v>0</v>
      </c>
      <c r="P167" s="594">
        <f t="shared" si="26"/>
        <v>0</v>
      </c>
      <c r="Q167" s="594">
        <f t="shared" si="26"/>
        <v>0</v>
      </c>
      <c r="R167" s="594">
        <f t="shared" si="26"/>
        <v>0</v>
      </c>
      <c r="S167" s="594"/>
      <c r="T167" s="621"/>
      <c r="U167" s="582"/>
    </row>
    <row r="168" spans="2:21" x14ac:dyDescent="0.3">
      <c r="B168" s="575"/>
      <c r="C168" s="582"/>
      <c r="F168" s="571" t="s">
        <v>783</v>
      </c>
      <c r="G168" s="582"/>
      <c r="H168" s="630"/>
      <c r="I168" s="851"/>
      <c r="J168" s="851">
        <f t="shared" ref="J168:R168" si="27">J164/$G$22</f>
        <v>0</v>
      </c>
      <c r="K168" s="851">
        <f t="shared" si="27"/>
        <v>0</v>
      </c>
      <c r="L168" s="851">
        <f t="shared" si="27"/>
        <v>0</v>
      </c>
      <c r="M168" s="851">
        <f t="shared" si="27"/>
        <v>0</v>
      </c>
      <c r="N168" s="851">
        <f t="shared" si="27"/>
        <v>0</v>
      </c>
      <c r="O168" s="851">
        <f t="shared" si="27"/>
        <v>0</v>
      </c>
      <c r="P168" s="851">
        <f t="shared" si="27"/>
        <v>0</v>
      </c>
      <c r="Q168" s="851">
        <f t="shared" si="27"/>
        <v>0</v>
      </c>
      <c r="R168" s="851">
        <f t="shared" si="27"/>
        <v>0</v>
      </c>
      <c r="S168" s="560"/>
      <c r="T168" s="621"/>
      <c r="U168" s="582"/>
    </row>
    <row r="169" spans="2:21" x14ac:dyDescent="0.3">
      <c r="B169" s="575"/>
      <c r="C169" s="582"/>
      <c r="F169" s="571" t="s">
        <v>784</v>
      </c>
      <c r="G169" s="582"/>
      <c r="H169" s="630"/>
      <c r="I169" s="851"/>
      <c r="J169" s="851">
        <f t="shared" ref="J169:R169" si="28">J167/$G$22</f>
        <v>0</v>
      </c>
      <c r="K169" s="851">
        <f t="shared" si="28"/>
        <v>0</v>
      </c>
      <c r="L169" s="851">
        <f t="shared" si="28"/>
        <v>0</v>
      </c>
      <c r="M169" s="851">
        <f t="shared" si="28"/>
        <v>0</v>
      </c>
      <c r="N169" s="851">
        <f t="shared" si="28"/>
        <v>0</v>
      </c>
      <c r="O169" s="851">
        <f t="shared" si="28"/>
        <v>0</v>
      </c>
      <c r="P169" s="851">
        <f t="shared" si="28"/>
        <v>0</v>
      </c>
      <c r="Q169" s="851">
        <f t="shared" si="28"/>
        <v>0</v>
      </c>
      <c r="R169" s="851">
        <f t="shared" si="28"/>
        <v>0</v>
      </c>
      <c r="S169" s="560"/>
      <c r="T169" s="621"/>
      <c r="U169" s="582"/>
    </row>
    <row r="170" spans="2:21" ht="14.4" thickBot="1" x14ac:dyDescent="0.35">
      <c r="B170" s="575"/>
      <c r="C170" s="582"/>
      <c r="G170" s="582"/>
      <c r="H170" s="630"/>
      <c r="I170" s="560"/>
      <c r="J170" s="560"/>
      <c r="K170" s="560"/>
      <c r="L170" s="560"/>
      <c r="M170" s="560"/>
      <c r="N170" s="560"/>
      <c r="O170" s="560"/>
      <c r="P170" s="560"/>
      <c r="Q170" s="560"/>
      <c r="R170" s="560"/>
      <c r="S170" s="560"/>
      <c r="T170" s="621"/>
      <c r="U170" s="582"/>
    </row>
    <row r="171" spans="2:21" ht="15" thickTop="1" thickBot="1" x14ac:dyDescent="0.35">
      <c r="B171" s="798"/>
      <c r="C171" s="744"/>
      <c r="D171" s="744"/>
      <c r="E171" s="744"/>
      <c r="F171" s="744"/>
      <c r="G171" s="744"/>
      <c r="H171" s="744"/>
      <c r="I171" s="609"/>
      <c r="J171" s="609" t="s">
        <v>133</v>
      </c>
      <c r="K171" s="609" t="s">
        <v>672</v>
      </c>
      <c r="L171" s="609" t="s">
        <v>673</v>
      </c>
      <c r="M171" s="609" t="s">
        <v>674</v>
      </c>
      <c r="N171" s="609" t="s">
        <v>675</v>
      </c>
      <c r="O171" s="609" t="s">
        <v>678</v>
      </c>
      <c r="P171" s="609" t="s">
        <v>679</v>
      </c>
      <c r="Q171" s="609" t="s">
        <v>698</v>
      </c>
      <c r="R171" s="609" t="s">
        <v>699</v>
      </c>
      <c r="S171" s="744"/>
      <c r="T171" s="799"/>
    </row>
    <row r="172" spans="2:21" ht="14.4" thickTop="1" x14ac:dyDescent="0.3">
      <c r="B172" s="575"/>
      <c r="I172" s="612"/>
      <c r="J172" s="612"/>
      <c r="K172" s="612"/>
      <c r="L172" s="612"/>
      <c r="M172" s="612"/>
      <c r="N172" s="612"/>
      <c r="O172" s="612"/>
      <c r="P172" s="612"/>
      <c r="Q172" s="612"/>
      <c r="R172" s="612"/>
      <c r="T172" s="576"/>
    </row>
    <row r="173" spans="2:21" x14ac:dyDescent="0.3">
      <c r="B173" s="575"/>
      <c r="C173" s="571" t="s">
        <v>700</v>
      </c>
      <c r="T173" s="576"/>
    </row>
    <row r="174" spans="2:21" x14ac:dyDescent="0.3">
      <c r="B174" s="575"/>
      <c r="D174" s="571" t="s">
        <v>701</v>
      </c>
      <c r="I174" s="491"/>
      <c r="J174" s="940">
        <v>0.09</v>
      </c>
      <c r="K174" s="583">
        <f t="shared" ref="K174:R174" si="29">J174</f>
        <v>0.09</v>
      </c>
      <c r="L174" s="583">
        <f t="shared" si="29"/>
        <v>0.09</v>
      </c>
      <c r="M174" s="583">
        <f t="shared" si="29"/>
        <v>0.09</v>
      </c>
      <c r="N174" s="583">
        <f t="shared" si="29"/>
        <v>0.09</v>
      </c>
      <c r="O174" s="583">
        <f t="shared" si="29"/>
        <v>0.09</v>
      </c>
      <c r="P174" s="583">
        <f t="shared" si="29"/>
        <v>0.09</v>
      </c>
      <c r="Q174" s="583">
        <f t="shared" si="29"/>
        <v>0.09</v>
      </c>
      <c r="R174" s="583">
        <f t="shared" si="29"/>
        <v>0.09</v>
      </c>
      <c r="T174" s="576"/>
    </row>
    <row r="175" spans="2:21" x14ac:dyDescent="0.3">
      <c r="B175" s="575"/>
      <c r="D175" s="571" t="s">
        <v>702</v>
      </c>
      <c r="I175" s="673"/>
      <c r="J175" s="673">
        <f t="shared" ref="J175:Q175" si="30">MAX(I175,K107/J174)</f>
        <v>2371165.3333333335</v>
      </c>
      <c r="K175" s="673">
        <f t="shared" si="30"/>
        <v>2396133.222222222</v>
      </c>
      <c r="L175" s="673">
        <f t="shared" si="30"/>
        <v>2414916.0888888887</v>
      </c>
      <c r="M175" s="673">
        <f t="shared" si="30"/>
        <v>2414916.0888888887</v>
      </c>
      <c r="N175" s="673">
        <f t="shared" si="30"/>
        <v>2414916.0888888887</v>
      </c>
      <c r="O175" s="673">
        <f t="shared" si="30"/>
        <v>2414916.0888888887</v>
      </c>
      <c r="P175" s="673">
        <f t="shared" si="30"/>
        <v>2414916.0888888887</v>
      </c>
      <c r="Q175" s="673">
        <f t="shared" si="30"/>
        <v>2414916.0888888887</v>
      </c>
      <c r="R175" s="673">
        <f>Q175*(1.06)</f>
        <v>2559811.054222222</v>
      </c>
      <c r="T175" s="576"/>
    </row>
    <row r="176" spans="2:21" x14ac:dyDescent="0.3">
      <c r="B176" s="575"/>
      <c r="D176" s="571" t="s">
        <v>703</v>
      </c>
      <c r="H176" s="491">
        <v>0.03</v>
      </c>
      <c r="I176" s="673"/>
      <c r="J176" s="673">
        <f t="shared" ref="J176:R176" si="31">$H$176*J175</f>
        <v>71134.960000000006</v>
      </c>
      <c r="K176" s="673">
        <f t="shared" si="31"/>
        <v>71883.996666666659</v>
      </c>
      <c r="L176" s="673">
        <f t="shared" si="31"/>
        <v>72447.482666666663</v>
      </c>
      <c r="M176" s="673">
        <f t="shared" si="31"/>
        <v>72447.482666666663</v>
      </c>
      <c r="N176" s="673">
        <f t="shared" si="31"/>
        <v>72447.482666666663</v>
      </c>
      <c r="O176" s="673">
        <f t="shared" si="31"/>
        <v>72447.482666666663</v>
      </c>
      <c r="P176" s="673">
        <f t="shared" si="31"/>
        <v>72447.482666666663</v>
      </c>
      <c r="Q176" s="673">
        <f t="shared" si="31"/>
        <v>72447.482666666663</v>
      </c>
      <c r="R176" s="673">
        <f t="shared" si="31"/>
        <v>76794.331626666652</v>
      </c>
      <c r="T176" s="576"/>
    </row>
    <row r="177" spans="2:21" x14ac:dyDescent="0.3">
      <c r="B177" s="575"/>
      <c r="D177" s="571" t="s">
        <v>704</v>
      </c>
      <c r="I177" s="560"/>
      <c r="J177" s="560">
        <f>Balances!T11+Balances!T18+Balances!T25+Balances!T32</f>
        <v>3210990.5244543678</v>
      </c>
      <c r="K177" s="560">
        <f>Balances!AF11+Balances!AF18+Balances!AF25+Balances!AF32</f>
        <v>3335755.5958230644</v>
      </c>
      <c r="L177" s="560">
        <f>Balances!AR11+Balances!AR18+Balances!AR25+Balances!AR32</f>
        <v>3358369.5577787054</v>
      </c>
      <c r="M177" s="560">
        <f>Balances!BD11+Balances!BD18+Balances!BD25+Balances!BD32</f>
        <v>3376458.5287610833</v>
      </c>
      <c r="N177" s="560">
        <f>Balances!BP11+Balances!BP18+Balances!BP25+Balances!BP32</f>
        <v>3377932.6786561697</v>
      </c>
      <c r="O177" s="560">
        <f>Balances!CB11+Balances!CB18+Balances!CB25+Balances!CB32</f>
        <v>3393370.1538305287</v>
      </c>
      <c r="P177" s="560">
        <f>Balances!CN11+Balances!CN18+Balances!CN25+Balances!CN32</f>
        <v>3405724.306192901</v>
      </c>
      <c r="Q177" s="560">
        <f>Balances!CZ11+Balances!CZ18+Balances!CZ25+Balances!CZ32</f>
        <v>3437390.0048707193</v>
      </c>
      <c r="R177" s="560">
        <f>Balances!DL11+Balances!DL18+Balances!DL25+Balances!DL32</f>
        <v>3463841.5005804934</v>
      </c>
      <c r="T177" s="576"/>
    </row>
    <row r="178" spans="2:21" x14ac:dyDescent="0.3">
      <c r="B178" s="575"/>
      <c r="C178" s="618" t="s">
        <v>705</v>
      </c>
      <c r="D178" s="618"/>
      <c r="E178" s="618"/>
      <c r="F178" s="618"/>
      <c r="G178" s="618"/>
      <c r="H178" s="618"/>
      <c r="I178" s="594"/>
      <c r="J178" s="594">
        <f t="shared" ref="J178:R178" si="32">J175-J176-J177</f>
        <v>-910960.15112103429</v>
      </c>
      <c r="K178" s="594">
        <f t="shared" si="32"/>
        <v>-1011506.370267509</v>
      </c>
      <c r="L178" s="594">
        <f t="shared" si="32"/>
        <v>-1015900.9515564833</v>
      </c>
      <c r="M178" s="594">
        <f t="shared" si="32"/>
        <v>-1033989.9225388612</v>
      </c>
      <c r="N178" s="594">
        <f t="shared" si="32"/>
        <v>-1035464.0724339476</v>
      </c>
      <c r="O178" s="594">
        <f t="shared" si="32"/>
        <v>-1050901.5476083066</v>
      </c>
      <c r="P178" s="594">
        <f t="shared" si="32"/>
        <v>-1063255.6999706789</v>
      </c>
      <c r="Q178" s="594">
        <f t="shared" si="32"/>
        <v>-1094921.3986484972</v>
      </c>
      <c r="R178" s="594">
        <f t="shared" si="32"/>
        <v>-980824.77798493812</v>
      </c>
      <c r="S178" s="594"/>
      <c r="T178" s="621"/>
      <c r="U178" s="582"/>
    </row>
    <row r="179" spans="2:21" x14ac:dyDescent="0.3">
      <c r="B179" s="575"/>
      <c r="T179" s="576"/>
    </row>
    <row r="180" spans="2:21" x14ac:dyDescent="0.3">
      <c r="B180" s="575"/>
      <c r="D180" s="571" t="s">
        <v>706</v>
      </c>
      <c r="I180" s="560"/>
      <c r="J180" s="560"/>
      <c r="K180" s="560"/>
      <c r="L180" s="560"/>
      <c r="M180" s="560"/>
      <c r="N180" s="560"/>
      <c r="O180" s="560"/>
      <c r="P180" s="560"/>
      <c r="Q180" s="560"/>
      <c r="R180" s="560"/>
      <c r="T180" s="576"/>
    </row>
    <row r="181" spans="2:21" ht="14.4" thickBot="1" x14ac:dyDescent="0.35">
      <c r="B181" s="575"/>
      <c r="C181" s="746"/>
      <c r="D181" s="746" t="s">
        <v>707</v>
      </c>
      <c r="E181" s="746"/>
      <c r="F181" s="746"/>
      <c r="G181" s="746"/>
      <c r="H181" s="746"/>
      <c r="I181" s="635"/>
      <c r="J181" s="635"/>
      <c r="K181" s="635"/>
      <c r="L181" s="635"/>
      <c r="M181" s="635"/>
      <c r="N181" s="635"/>
      <c r="O181" s="635"/>
      <c r="P181" s="635"/>
      <c r="Q181" s="635"/>
      <c r="R181" s="635"/>
      <c r="S181" s="746"/>
      <c r="T181" s="576"/>
    </row>
    <row r="182" spans="2:21" x14ac:dyDescent="0.3">
      <c r="B182" s="575"/>
      <c r="C182" s="571" t="s">
        <v>708</v>
      </c>
      <c r="I182" s="560"/>
      <c r="J182" s="560">
        <f t="shared" ref="J182:R182" si="33">J178-J180+J181</f>
        <v>-910960.15112103429</v>
      </c>
      <c r="K182" s="560">
        <f t="shared" si="33"/>
        <v>-1011506.370267509</v>
      </c>
      <c r="L182" s="560">
        <f t="shared" si="33"/>
        <v>-1015900.9515564833</v>
      </c>
      <c r="M182" s="560">
        <f t="shared" si="33"/>
        <v>-1033989.9225388612</v>
      </c>
      <c r="N182" s="560">
        <f t="shared" si="33"/>
        <v>-1035464.0724339476</v>
      </c>
      <c r="O182" s="560">
        <f t="shared" si="33"/>
        <v>-1050901.5476083066</v>
      </c>
      <c r="P182" s="560">
        <f t="shared" si="33"/>
        <v>-1063255.6999706789</v>
      </c>
      <c r="Q182" s="560">
        <f t="shared" si="33"/>
        <v>-1094921.3986484972</v>
      </c>
      <c r="R182" s="560">
        <f t="shared" si="33"/>
        <v>-980824.77798493812</v>
      </c>
      <c r="T182" s="576"/>
    </row>
    <row r="183" spans="2:21" x14ac:dyDescent="0.3">
      <c r="B183" s="575"/>
      <c r="C183" s="589"/>
      <c r="D183" s="589" t="s">
        <v>709</v>
      </c>
      <c r="E183" s="589"/>
      <c r="F183" s="589"/>
      <c r="G183" s="436">
        <f>'Members Capital'!L26</f>
        <v>0.15000000000000002</v>
      </c>
      <c r="H183" s="589"/>
      <c r="I183" s="560"/>
      <c r="J183" s="560">
        <f t="shared" ref="J183:R183" si="34">IF(J182&lt;0,0,$G$183*J182)</f>
        <v>0</v>
      </c>
      <c r="K183" s="560">
        <f t="shared" si="34"/>
        <v>0</v>
      </c>
      <c r="L183" s="560">
        <f t="shared" si="34"/>
        <v>0</v>
      </c>
      <c r="M183" s="560">
        <f t="shared" si="34"/>
        <v>0</v>
      </c>
      <c r="N183" s="560">
        <f t="shared" si="34"/>
        <v>0</v>
      </c>
      <c r="O183" s="560">
        <f t="shared" si="34"/>
        <v>0</v>
      </c>
      <c r="P183" s="560">
        <f t="shared" si="34"/>
        <v>0</v>
      </c>
      <c r="Q183" s="560">
        <f t="shared" si="34"/>
        <v>0</v>
      </c>
      <c r="R183" s="560">
        <f t="shared" si="34"/>
        <v>0</v>
      </c>
      <c r="S183" s="589"/>
      <c r="T183" s="576"/>
    </row>
    <row r="184" spans="2:21" x14ac:dyDescent="0.3">
      <c r="B184" s="575"/>
      <c r="C184" s="618" t="s">
        <v>801</v>
      </c>
      <c r="D184" s="618"/>
      <c r="E184" s="618"/>
      <c r="F184" s="618"/>
      <c r="G184" s="618"/>
      <c r="H184" s="618"/>
      <c r="I184" s="594"/>
      <c r="J184" s="594">
        <f t="shared" ref="J184:R184" si="35">J182-J183</f>
        <v>-910960.15112103429</v>
      </c>
      <c r="K184" s="594">
        <f t="shared" si="35"/>
        <v>-1011506.370267509</v>
      </c>
      <c r="L184" s="594">
        <f t="shared" si="35"/>
        <v>-1015900.9515564833</v>
      </c>
      <c r="M184" s="594">
        <f t="shared" si="35"/>
        <v>-1033989.9225388612</v>
      </c>
      <c r="N184" s="594">
        <f t="shared" si="35"/>
        <v>-1035464.0724339476</v>
      </c>
      <c r="O184" s="594">
        <f t="shared" si="35"/>
        <v>-1050901.5476083066</v>
      </c>
      <c r="P184" s="594">
        <f t="shared" si="35"/>
        <v>-1063255.6999706789</v>
      </c>
      <c r="Q184" s="594">
        <f t="shared" si="35"/>
        <v>-1094921.3986484972</v>
      </c>
      <c r="R184" s="594">
        <f t="shared" si="35"/>
        <v>-980824.77798493812</v>
      </c>
      <c r="S184" s="594"/>
      <c r="T184" s="621"/>
      <c r="U184" s="582"/>
    </row>
    <row r="185" spans="2:21" ht="14.4" thickBot="1" x14ac:dyDescent="0.35">
      <c r="B185" s="575"/>
      <c r="T185" s="576"/>
    </row>
    <row r="186" spans="2:21" ht="15" thickTop="1" thickBot="1" x14ac:dyDescent="0.35">
      <c r="B186" s="798"/>
      <c r="C186" s="744"/>
      <c r="D186" s="744"/>
      <c r="E186" s="744"/>
      <c r="F186" s="744"/>
      <c r="G186" s="744"/>
      <c r="H186" s="744"/>
      <c r="I186" s="744"/>
      <c r="J186" s="744"/>
      <c r="K186" s="744"/>
      <c r="L186" s="744"/>
      <c r="M186" s="744"/>
      <c r="N186" s="744"/>
      <c r="O186" s="744"/>
      <c r="P186" s="744"/>
      <c r="Q186" s="744"/>
      <c r="R186" s="744"/>
      <c r="S186" s="744"/>
      <c r="T186" s="799"/>
    </row>
    <row r="187" spans="2:21" ht="14.4" thickTop="1" x14ac:dyDescent="0.3">
      <c r="B187" s="575"/>
      <c r="C187" s="571" t="s">
        <v>754</v>
      </c>
      <c r="T187" s="576"/>
    </row>
    <row r="188" spans="2:21" x14ac:dyDescent="0.3">
      <c r="B188" s="575"/>
      <c r="C188" s="571" t="s">
        <v>710</v>
      </c>
      <c r="T188" s="576"/>
    </row>
    <row r="189" spans="2:21" x14ac:dyDescent="0.3">
      <c r="B189" s="575"/>
      <c r="G189" s="743" t="s">
        <v>364</v>
      </c>
      <c r="T189" s="576"/>
    </row>
    <row r="190" spans="2:21" x14ac:dyDescent="0.3">
      <c r="B190" s="575"/>
      <c r="D190" s="571" t="s">
        <v>789</v>
      </c>
      <c r="G190" s="819" t="str">
        <f>IFERROR(IRR(H190:J190),"N/A")</f>
        <v>N/A</v>
      </c>
      <c r="H190" s="560">
        <f>-G22</f>
        <v>-1455166.28</v>
      </c>
      <c r="I190" s="560">
        <f>I164</f>
        <v>0</v>
      </c>
      <c r="J190" s="560">
        <f>J164+J184</f>
        <v>-910960.15112103429</v>
      </c>
      <c r="T190" s="576"/>
    </row>
    <row r="191" spans="2:21" x14ac:dyDescent="0.3">
      <c r="B191" s="575"/>
      <c r="D191" s="571" t="s">
        <v>711</v>
      </c>
      <c r="G191" s="819" t="str">
        <f>IFERROR(IRR(H191:K191),"N/A")</f>
        <v>N/A</v>
      </c>
      <c r="H191" s="560">
        <f>H190</f>
        <v>-1455166.28</v>
      </c>
      <c r="I191" s="560">
        <f>I167</f>
        <v>0</v>
      </c>
      <c r="J191" s="560">
        <f>J164</f>
        <v>0</v>
      </c>
      <c r="K191" s="560">
        <f>K164+K184</f>
        <v>-1011506.370267509</v>
      </c>
      <c r="T191" s="576"/>
    </row>
    <row r="192" spans="2:21" x14ac:dyDescent="0.3">
      <c r="B192" s="575"/>
      <c r="D192" s="571" t="s">
        <v>712</v>
      </c>
      <c r="G192" s="819" t="str">
        <f>IFERROR(IRR(H192:L192),"N/A")</f>
        <v>N/A</v>
      </c>
      <c r="H192" s="560">
        <f>H191</f>
        <v>-1455166.28</v>
      </c>
      <c r="I192" s="560">
        <f>I191</f>
        <v>0</v>
      </c>
      <c r="J192" s="560">
        <f>J191</f>
        <v>0</v>
      </c>
      <c r="K192" s="560">
        <f>K164</f>
        <v>0</v>
      </c>
      <c r="L192" s="560">
        <f>L164+L184</f>
        <v>-1015900.9515564833</v>
      </c>
      <c r="T192" s="576"/>
    </row>
    <row r="193" spans="2:21" x14ac:dyDescent="0.3">
      <c r="B193" s="575"/>
      <c r="D193" s="571" t="s">
        <v>713</v>
      </c>
      <c r="G193" s="583" t="e">
        <f>IRR(H193:M193)</f>
        <v>#NUM!</v>
      </c>
      <c r="H193" s="560">
        <f t="shared" ref="H193:N198" si="36">H192</f>
        <v>-1455166.28</v>
      </c>
      <c r="I193" s="560">
        <f t="shared" si="36"/>
        <v>0</v>
      </c>
      <c r="J193" s="560">
        <f t="shared" si="36"/>
        <v>0</v>
      </c>
      <c r="K193" s="560">
        <f>K192</f>
        <v>0</v>
      </c>
      <c r="L193" s="560">
        <f>L164</f>
        <v>0</v>
      </c>
      <c r="M193" s="560">
        <f>M164+M184</f>
        <v>-1033989.9225388612</v>
      </c>
      <c r="T193" s="576"/>
    </row>
    <row r="194" spans="2:21" x14ac:dyDescent="0.3">
      <c r="B194" s="575"/>
      <c r="D194" s="571" t="s">
        <v>714</v>
      </c>
      <c r="G194" s="583" t="e">
        <f>IRR(H194:N194)</f>
        <v>#NUM!</v>
      </c>
      <c r="H194" s="560">
        <f t="shared" si="36"/>
        <v>-1455166.28</v>
      </c>
      <c r="I194" s="560">
        <f t="shared" si="36"/>
        <v>0</v>
      </c>
      <c r="J194" s="560">
        <f t="shared" si="36"/>
        <v>0</v>
      </c>
      <c r="K194" s="560">
        <f t="shared" si="36"/>
        <v>0</v>
      </c>
      <c r="L194" s="560">
        <f>L193</f>
        <v>0</v>
      </c>
      <c r="M194" s="560">
        <f>M164</f>
        <v>0</v>
      </c>
      <c r="N194" s="560">
        <f>N164+N184</f>
        <v>-1035464.0724339476</v>
      </c>
      <c r="T194" s="576"/>
    </row>
    <row r="195" spans="2:21" x14ac:dyDescent="0.3">
      <c r="B195" s="575"/>
      <c r="D195" s="571" t="s">
        <v>715</v>
      </c>
      <c r="G195" s="583" t="e">
        <f>IRR(H195:O195)</f>
        <v>#NUM!</v>
      </c>
      <c r="H195" s="560">
        <f t="shared" si="36"/>
        <v>-1455166.28</v>
      </c>
      <c r="I195" s="560">
        <f t="shared" si="36"/>
        <v>0</v>
      </c>
      <c r="J195" s="560">
        <f t="shared" si="36"/>
        <v>0</v>
      </c>
      <c r="K195" s="560">
        <f t="shared" si="36"/>
        <v>0</v>
      </c>
      <c r="L195" s="560">
        <f t="shared" si="36"/>
        <v>0</v>
      </c>
      <c r="M195" s="560">
        <f>M194</f>
        <v>0</v>
      </c>
      <c r="N195" s="560">
        <f>N164</f>
        <v>0</v>
      </c>
      <c r="O195" s="560">
        <f>O164+O184</f>
        <v>-1050901.5476083066</v>
      </c>
      <c r="T195" s="576"/>
    </row>
    <row r="196" spans="2:21" x14ac:dyDescent="0.3">
      <c r="B196" s="575"/>
      <c r="D196" s="571" t="s">
        <v>716</v>
      </c>
      <c r="G196" s="583" t="e">
        <f>IRR(H196:P196)</f>
        <v>#NUM!</v>
      </c>
      <c r="H196" s="560">
        <f t="shared" si="36"/>
        <v>-1455166.28</v>
      </c>
      <c r="I196" s="560">
        <f t="shared" si="36"/>
        <v>0</v>
      </c>
      <c r="J196" s="560">
        <f t="shared" si="36"/>
        <v>0</v>
      </c>
      <c r="K196" s="560">
        <f t="shared" si="36"/>
        <v>0</v>
      </c>
      <c r="L196" s="560">
        <f t="shared" si="36"/>
        <v>0</v>
      </c>
      <c r="M196" s="560">
        <f t="shared" si="36"/>
        <v>0</v>
      </c>
      <c r="N196" s="560">
        <f>N195</f>
        <v>0</v>
      </c>
      <c r="O196" s="560">
        <f>O164</f>
        <v>0</v>
      </c>
      <c r="P196" s="560">
        <f>P164+P184</f>
        <v>-1063255.6999706789</v>
      </c>
      <c r="T196" s="576"/>
    </row>
    <row r="197" spans="2:21" x14ac:dyDescent="0.3">
      <c r="B197" s="575"/>
      <c r="D197" s="571" t="s">
        <v>717</v>
      </c>
      <c r="G197" s="583" t="e">
        <f>IRR(H197:Q197)</f>
        <v>#NUM!</v>
      </c>
      <c r="H197" s="560">
        <f t="shared" si="36"/>
        <v>-1455166.28</v>
      </c>
      <c r="I197" s="560">
        <f t="shared" si="36"/>
        <v>0</v>
      </c>
      <c r="J197" s="560">
        <f t="shared" si="36"/>
        <v>0</v>
      </c>
      <c r="K197" s="560">
        <f t="shared" si="36"/>
        <v>0</v>
      </c>
      <c r="L197" s="560">
        <f t="shared" si="36"/>
        <v>0</v>
      </c>
      <c r="M197" s="560">
        <f t="shared" si="36"/>
        <v>0</v>
      </c>
      <c r="N197" s="560">
        <f t="shared" si="36"/>
        <v>0</v>
      </c>
      <c r="O197" s="560">
        <f>O196</f>
        <v>0</v>
      </c>
      <c r="P197" s="560">
        <f>P164</f>
        <v>0</v>
      </c>
      <c r="Q197" s="560">
        <f>Q164+Q184</f>
        <v>-1094921.3986484972</v>
      </c>
      <c r="T197" s="576"/>
    </row>
    <row r="198" spans="2:21" x14ac:dyDescent="0.3">
      <c r="B198" s="575"/>
      <c r="D198" s="571" t="s">
        <v>718</v>
      </c>
      <c r="G198" s="583" t="e">
        <f>IRR(H198:R198)</f>
        <v>#NUM!</v>
      </c>
      <c r="H198" s="560">
        <f t="shared" si="36"/>
        <v>-1455166.28</v>
      </c>
      <c r="I198" s="560">
        <f t="shared" si="36"/>
        <v>0</v>
      </c>
      <c r="J198" s="560">
        <f t="shared" si="36"/>
        <v>0</v>
      </c>
      <c r="K198" s="560">
        <f t="shared" si="36"/>
        <v>0</v>
      </c>
      <c r="L198" s="560">
        <f t="shared" si="36"/>
        <v>0</v>
      </c>
      <c r="M198" s="560">
        <f t="shared" si="36"/>
        <v>0</v>
      </c>
      <c r="N198" s="560">
        <f t="shared" si="36"/>
        <v>0</v>
      </c>
      <c r="O198" s="560">
        <f>O197</f>
        <v>0</v>
      </c>
      <c r="P198" s="560">
        <f>P197</f>
        <v>0</v>
      </c>
      <c r="Q198" s="560">
        <f>Q164</f>
        <v>0</v>
      </c>
      <c r="R198" s="560">
        <f>R164+R184</f>
        <v>-980824.77798493812</v>
      </c>
      <c r="T198" s="576"/>
    </row>
    <row r="199" spans="2:21" ht="14.4" thickBot="1" x14ac:dyDescent="0.35">
      <c r="B199" s="575"/>
      <c r="C199" s="582"/>
      <c r="D199" s="582"/>
      <c r="G199" s="582"/>
      <c r="H199" s="630"/>
      <c r="I199" s="560"/>
      <c r="J199" s="560"/>
      <c r="K199" s="560"/>
      <c r="L199" s="560"/>
      <c r="M199" s="560"/>
      <c r="N199" s="560"/>
      <c r="O199" s="560"/>
      <c r="P199" s="560"/>
      <c r="Q199" s="560"/>
      <c r="R199" s="560"/>
      <c r="S199" s="560"/>
      <c r="T199" s="621"/>
      <c r="U199" s="582"/>
    </row>
    <row r="200" spans="2:21" ht="15" thickTop="1" thickBot="1" x14ac:dyDescent="0.35">
      <c r="B200" s="798"/>
      <c r="C200" s="800"/>
      <c r="D200" s="800"/>
      <c r="E200" s="744"/>
      <c r="F200" s="744"/>
      <c r="G200" s="800"/>
      <c r="H200" s="801"/>
      <c r="I200" s="802"/>
      <c r="J200" s="802"/>
      <c r="K200" s="802"/>
      <c r="L200" s="802"/>
      <c r="M200" s="802"/>
      <c r="N200" s="802"/>
      <c r="O200" s="802"/>
      <c r="P200" s="802"/>
      <c r="Q200" s="802"/>
      <c r="R200" s="802"/>
      <c r="S200" s="802"/>
      <c r="T200" s="803"/>
      <c r="U200" s="582"/>
    </row>
    <row r="201" spans="2:21" ht="14.4" thickTop="1" x14ac:dyDescent="0.3">
      <c r="B201" s="575"/>
      <c r="C201" s="582"/>
      <c r="D201" s="582"/>
      <c r="G201" s="582"/>
      <c r="H201" s="630"/>
      <c r="I201" s="560"/>
      <c r="J201" s="560"/>
      <c r="K201" s="560"/>
      <c r="L201" s="560"/>
      <c r="M201" s="560"/>
      <c r="N201" s="560"/>
      <c r="O201" s="560"/>
      <c r="P201" s="560"/>
      <c r="Q201" s="560"/>
      <c r="R201" s="560"/>
      <c r="S201" s="560"/>
      <c r="T201" s="621"/>
      <c r="U201" s="582"/>
    </row>
    <row r="202" spans="2:21" x14ac:dyDescent="0.3">
      <c r="B202" s="575"/>
      <c r="C202" s="582" t="s">
        <v>790</v>
      </c>
      <c r="D202" s="582"/>
      <c r="G202" s="582"/>
      <c r="H202" s="630"/>
      <c r="I202" s="560"/>
      <c r="J202" s="560"/>
      <c r="K202" s="560"/>
      <c r="L202" s="560"/>
      <c r="M202" s="560"/>
      <c r="N202" s="560"/>
      <c r="O202" s="560"/>
      <c r="P202" s="560"/>
      <c r="Q202" s="560"/>
      <c r="R202" s="560"/>
      <c r="S202" s="560"/>
      <c r="T202" s="621"/>
      <c r="U202" s="582"/>
    </row>
    <row r="203" spans="2:21" ht="15.6" x14ac:dyDescent="0.45">
      <c r="B203" s="575"/>
      <c r="C203" s="582"/>
      <c r="D203" s="582"/>
      <c r="G203" s="582"/>
      <c r="H203" s="630"/>
      <c r="I203" s="839" t="s">
        <v>671</v>
      </c>
      <c r="J203" s="839" t="s">
        <v>133</v>
      </c>
      <c r="K203" s="839" t="s">
        <v>672</v>
      </c>
      <c r="L203" s="839" t="s">
        <v>673</v>
      </c>
      <c r="M203" s="839" t="s">
        <v>674</v>
      </c>
      <c r="N203" s="839" t="s">
        <v>675</v>
      </c>
      <c r="O203" s="839" t="s">
        <v>678</v>
      </c>
      <c r="P203" s="839" t="s">
        <v>679</v>
      </c>
      <c r="Q203" s="839" t="s">
        <v>698</v>
      </c>
      <c r="R203" s="839" t="s">
        <v>699</v>
      </c>
      <c r="S203" s="806" t="s">
        <v>117</v>
      </c>
      <c r="T203" s="621"/>
      <c r="U203" s="582"/>
    </row>
    <row r="204" spans="2:21" x14ac:dyDescent="0.3">
      <c r="B204" s="575"/>
      <c r="C204" s="582"/>
      <c r="D204" s="838" t="s">
        <v>344</v>
      </c>
      <c r="G204" s="804" t="s">
        <v>750</v>
      </c>
      <c r="H204" s="804" t="s">
        <v>493</v>
      </c>
      <c r="I204" s="560"/>
      <c r="J204" s="560"/>
      <c r="K204" s="560"/>
      <c r="L204" s="560"/>
      <c r="M204" s="560"/>
      <c r="N204" s="560"/>
      <c r="O204" s="560"/>
      <c r="P204" s="560"/>
      <c r="Q204" s="560"/>
      <c r="R204" s="560"/>
      <c r="S204" s="560"/>
      <c r="T204" s="621"/>
      <c r="U204" s="582"/>
    </row>
    <row r="205" spans="2:21" x14ac:dyDescent="0.3">
      <c r="B205" s="575"/>
      <c r="C205" s="582"/>
      <c r="D205" s="582" t="str">
        <f>E26</f>
        <v>Dabdoub Acquisitions</v>
      </c>
      <c r="G205" s="673">
        <f>'Members Capital'!G17</f>
        <v>1000000</v>
      </c>
      <c r="H205" s="583">
        <f>G205/'Members Capital'!I14</f>
        <v>0.88672130063996624</v>
      </c>
      <c r="I205" s="560">
        <f>$H$205*Distributions!D16</f>
        <v>0</v>
      </c>
      <c r="J205" s="560">
        <f>$H$205*Distributions!E16</f>
        <v>0</v>
      </c>
      <c r="K205" s="560">
        <f>$H$205*Distributions!F16</f>
        <v>0</v>
      </c>
      <c r="L205" s="560">
        <f>$H$205*Distributions!G16</f>
        <v>0</v>
      </c>
      <c r="M205" s="560">
        <f>$H$205*Distributions!H16</f>
        <v>0</v>
      </c>
      <c r="N205" s="560">
        <f>$H$205*Distributions!I16</f>
        <v>0</v>
      </c>
      <c r="O205" s="560">
        <f>$H$205*Distributions!J16</f>
        <v>0</v>
      </c>
      <c r="P205" s="560">
        <f>$H$205*Distributions!K16</f>
        <v>0</v>
      </c>
      <c r="Q205" s="560">
        <f>$H$205*Distributions!L16</f>
        <v>0</v>
      </c>
      <c r="R205" s="560">
        <f>$H$205*Distributions!M16</f>
        <v>0</v>
      </c>
      <c r="S205" s="560">
        <f>SUM(I205:R205)</f>
        <v>0</v>
      </c>
      <c r="T205" s="621"/>
      <c r="U205" s="582"/>
    </row>
    <row r="206" spans="2:21" x14ac:dyDescent="0.3">
      <c r="B206" s="575"/>
      <c r="C206" s="582"/>
      <c r="D206" s="582" t="str">
        <f>E27</f>
        <v>Nexus Management</v>
      </c>
      <c r="G206" s="673">
        <f>'Members Capital'!G18</f>
        <v>76000</v>
      </c>
      <c r="H206" s="583">
        <f>G206/'Members Capital'!I14</f>
        <v>6.7390818848637429E-2</v>
      </c>
      <c r="I206" s="560">
        <f>$H$206*Distributions!D16</f>
        <v>0</v>
      </c>
      <c r="J206" s="560">
        <f>$H$206*Distributions!E16</f>
        <v>0</v>
      </c>
      <c r="K206" s="560">
        <f>$H$206*Distributions!F16</f>
        <v>0</v>
      </c>
      <c r="L206" s="560">
        <f>$H$206*Distributions!G16</f>
        <v>0</v>
      </c>
      <c r="M206" s="560">
        <f>$H$206*Distributions!H16</f>
        <v>0</v>
      </c>
      <c r="N206" s="560">
        <f>$H$206*Distributions!I16</f>
        <v>0</v>
      </c>
      <c r="O206" s="560">
        <f>$H$206*Distributions!J16</f>
        <v>0</v>
      </c>
      <c r="P206" s="560">
        <f>$H$206*Distributions!K16</f>
        <v>0</v>
      </c>
      <c r="Q206" s="560">
        <f>$H$206*Distributions!L16</f>
        <v>0</v>
      </c>
      <c r="R206" s="560">
        <f>$H$206*Distributions!M16</f>
        <v>0</v>
      </c>
      <c r="S206" s="560">
        <f t="shared" ref="S206:S216" si="37">SUM(I206:R206)</f>
        <v>0</v>
      </c>
      <c r="T206" s="621"/>
      <c r="U206" s="582"/>
    </row>
    <row r="207" spans="2:21" x14ac:dyDescent="0.3">
      <c r="B207" s="575"/>
      <c r="C207" s="582"/>
      <c r="D207" s="591" t="str">
        <f>E30</f>
        <v>Cort</v>
      </c>
      <c r="E207" s="589"/>
      <c r="F207" s="589"/>
      <c r="G207" s="706">
        <f>'Members Capital'!G16</f>
        <v>25000</v>
      </c>
      <c r="H207" s="745">
        <f>G207/'Members Capital'!I14</f>
        <v>2.2168032515999157E-2</v>
      </c>
      <c r="I207" s="590">
        <f>$H$207*Distributions!D16</f>
        <v>0</v>
      </c>
      <c r="J207" s="590">
        <f>$H$207*Distributions!E16</f>
        <v>0</v>
      </c>
      <c r="K207" s="590">
        <f>$H$207*Distributions!F16</f>
        <v>0</v>
      </c>
      <c r="L207" s="590">
        <f>$H$207*Distributions!G16</f>
        <v>0</v>
      </c>
      <c r="M207" s="590">
        <f>$H$207*Distributions!H16</f>
        <v>0</v>
      </c>
      <c r="N207" s="590">
        <f>$H$207*Distributions!I16</f>
        <v>0</v>
      </c>
      <c r="O207" s="590">
        <f>$H$207*Distributions!J16</f>
        <v>0</v>
      </c>
      <c r="P207" s="590">
        <f>$H$207*Distributions!K16</f>
        <v>0</v>
      </c>
      <c r="Q207" s="590">
        <f>$H$207*Distributions!L16</f>
        <v>0</v>
      </c>
      <c r="R207" s="590">
        <f>$H$207*Distributions!M16</f>
        <v>0</v>
      </c>
      <c r="S207" s="590">
        <f t="shared" si="37"/>
        <v>0</v>
      </c>
      <c r="T207" s="621"/>
      <c r="U207" s="582"/>
    </row>
    <row r="208" spans="2:21" x14ac:dyDescent="0.3">
      <c r="B208" s="575"/>
      <c r="C208" s="582"/>
      <c r="D208" s="582" t="s">
        <v>791</v>
      </c>
      <c r="G208" s="673"/>
      <c r="H208" s="630"/>
      <c r="I208" s="560">
        <f>SUM(I205:I207)</f>
        <v>0</v>
      </c>
      <c r="J208" s="560">
        <f t="shared" ref="J208:R208" si="38">SUM(J205:J207)</f>
        <v>0</v>
      </c>
      <c r="K208" s="560">
        <f t="shared" si="38"/>
        <v>0</v>
      </c>
      <c r="L208" s="560">
        <f t="shared" si="38"/>
        <v>0</v>
      </c>
      <c r="M208" s="560">
        <f t="shared" si="38"/>
        <v>0</v>
      </c>
      <c r="N208" s="560">
        <f t="shared" si="38"/>
        <v>0</v>
      </c>
      <c r="O208" s="560">
        <f t="shared" si="38"/>
        <v>0</v>
      </c>
      <c r="P208" s="560">
        <f t="shared" si="38"/>
        <v>0</v>
      </c>
      <c r="Q208" s="560">
        <f t="shared" si="38"/>
        <v>0</v>
      </c>
      <c r="R208" s="560">
        <f t="shared" si="38"/>
        <v>0</v>
      </c>
      <c r="S208" s="560">
        <f t="shared" si="37"/>
        <v>0</v>
      </c>
      <c r="T208" s="621"/>
      <c r="U208" s="582"/>
    </row>
    <row r="209" spans="2:21" x14ac:dyDescent="0.3">
      <c r="B209" s="575"/>
      <c r="C209" s="582"/>
      <c r="D209" s="582"/>
      <c r="G209" s="582"/>
      <c r="H209" s="630"/>
      <c r="I209" s="560"/>
      <c r="J209" s="560"/>
      <c r="K209" s="560"/>
      <c r="L209" s="560"/>
      <c r="M209" s="560"/>
      <c r="N209" s="560"/>
      <c r="O209" s="560"/>
      <c r="P209" s="560"/>
      <c r="Q209" s="560"/>
      <c r="R209" s="560"/>
      <c r="S209" s="560"/>
      <c r="T209" s="621"/>
      <c r="U209" s="582"/>
    </row>
    <row r="210" spans="2:21" x14ac:dyDescent="0.3">
      <c r="B210" s="575"/>
      <c r="C210" s="582"/>
      <c r="D210" s="838" t="s">
        <v>336</v>
      </c>
      <c r="G210" s="804" t="s">
        <v>750</v>
      </c>
      <c r="H210" s="804" t="s">
        <v>493</v>
      </c>
      <c r="I210" s="560"/>
      <c r="J210" s="560"/>
      <c r="K210" s="560"/>
      <c r="L210" s="560"/>
      <c r="M210" s="560"/>
      <c r="N210" s="560"/>
      <c r="O210" s="560"/>
      <c r="P210" s="560"/>
      <c r="Q210" s="560"/>
      <c r="R210" s="560"/>
      <c r="S210" s="560"/>
      <c r="T210" s="621"/>
      <c r="U210" s="582"/>
    </row>
    <row r="211" spans="2:21" x14ac:dyDescent="0.3">
      <c r="B211" s="575"/>
      <c r="C211" s="582"/>
      <c r="D211" s="582" t="s">
        <v>499</v>
      </c>
      <c r="G211" s="673">
        <f>'Members Capital'!G8</f>
        <v>281774.21999999997</v>
      </c>
      <c r="H211" s="583">
        <f>G211/'Members Capital'!H6</f>
        <v>0.86059945350294498</v>
      </c>
      <c r="I211" s="560">
        <f>$H$211*Distributions!D17</f>
        <v>0</v>
      </c>
      <c r="J211" s="560">
        <f>$H$211*Distributions!E17</f>
        <v>0</v>
      </c>
      <c r="K211" s="560">
        <f>$H$211*Distributions!F17</f>
        <v>0</v>
      </c>
      <c r="L211" s="560">
        <f>$H$211*Distributions!G17</f>
        <v>0</v>
      </c>
      <c r="M211" s="560">
        <f>$H$211*Distributions!H17</f>
        <v>0</v>
      </c>
      <c r="N211" s="560">
        <f>$H$211*Distributions!I17</f>
        <v>0</v>
      </c>
      <c r="O211" s="560">
        <f>$H$211*Distributions!J17</f>
        <v>0</v>
      </c>
      <c r="P211" s="560">
        <f>$H$211*Distributions!K17</f>
        <v>0</v>
      </c>
      <c r="Q211" s="560">
        <f>$H$211*Distributions!L17</f>
        <v>0</v>
      </c>
      <c r="R211" s="560">
        <f>$H$211*Distributions!M17</f>
        <v>0</v>
      </c>
      <c r="S211" s="560">
        <f t="shared" si="37"/>
        <v>0</v>
      </c>
      <c r="T211" s="621"/>
      <c r="U211" s="582"/>
    </row>
    <row r="212" spans="2:21" x14ac:dyDescent="0.3">
      <c r="B212" s="575"/>
      <c r="C212" s="582"/>
      <c r="D212" s="591" t="s">
        <v>340</v>
      </c>
      <c r="E212" s="589"/>
      <c r="F212" s="589"/>
      <c r="G212" s="706">
        <f>'Members Capital'!G7</f>
        <v>45642</v>
      </c>
      <c r="H212" s="745">
        <f>G212/'Members Capital'!H6</f>
        <v>0.13940054649705505</v>
      </c>
      <c r="I212" s="590">
        <f>$H$212*Distributions!D17</f>
        <v>0</v>
      </c>
      <c r="J212" s="590">
        <f>$H$212*Distributions!E17</f>
        <v>0</v>
      </c>
      <c r="K212" s="590">
        <f>$H$212*Distributions!F17</f>
        <v>0</v>
      </c>
      <c r="L212" s="590">
        <f>$H$212*Distributions!G17</f>
        <v>0</v>
      </c>
      <c r="M212" s="590">
        <f>$H$212*Distributions!H17</f>
        <v>0</v>
      </c>
      <c r="N212" s="590">
        <f>$H$212*Distributions!I17</f>
        <v>0</v>
      </c>
      <c r="O212" s="590">
        <f>$H$212*Distributions!J17</f>
        <v>0</v>
      </c>
      <c r="P212" s="590">
        <f>$H$212*Distributions!K17</f>
        <v>0</v>
      </c>
      <c r="Q212" s="590">
        <f>$H$212*Distributions!L17</f>
        <v>0</v>
      </c>
      <c r="R212" s="590">
        <f>$H$212*Distributions!M17</f>
        <v>0</v>
      </c>
      <c r="S212" s="590">
        <f t="shared" si="37"/>
        <v>0</v>
      </c>
      <c r="T212" s="621"/>
      <c r="U212" s="582"/>
    </row>
    <row r="213" spans="2:21" x14ac:dyDescent="0.3">
      <c r="B213" s="575"/>
      <c r="C213" s="582"/>
      <c r="D213" s="582" t="s">
        <v>793</v>
      </c>
      <c r="G213" s="560"/>
      <c r="H213" s="630"/>
      <c r="I213" s="560">
        <f>SUM(I211:I212)</f>
        <v>0</v>
      </c>
      <c r="J213" s="560">
        <f t="shared" ref="J213:R213" si="39">SUM(J211:J212)</f>
        <v>0</v>
      </c>
      <c r="K213" s="560">
        <f t="shared" si="39"/>
        <v>0</v>
      </c>
      <c r="L213" s="560">
        <f t="shared" si="39"/>
        <v>0</v>
      </c>
      <c r="M213" s="560">
        <f t="shared" si="39"/>
        <v>0</v>
      </c>
      <c r="N213" s="560">
        <f t="shared" si="39"/>
        <v>0</v>
      </c>
      <c r="O213" s="560">
        <f t="shared" si="39"/>
        <v>0</v>
      </c>
      <c r="P213" s="560">
        <f t="shared" si="39"/>
        <v>0</v>
      </c>
      <c r="Q213" s="560">
        <f t="shared" si="39"/>
        <v>0</v>
      </c>
      <c r="R213" s="560">
        <f t="shared" si="39"/>
        <v>0</v>
      </c>
      <c r="S213" s="560">
        <f t="shared" si="37"/>
        <v>0</v>
      </c>
      <c r="T213" s="621"/>
      <c r="U213" s="582"/>
    </row>
    <row r="214" spans="2:21" x14ac:dyDescent="0.3">
      <c r="B214" s="575"/>
      <c r="C214" s="582"/>
      <c r="D214" s="582"/>
      <c r="G214" s="560"/>
      <c r="H214" s="630"/>
      <c r="I214" s="560"/>
      <c r="J214" s="560"/>
      <c r="K214" s="560"/>
      <c r="L214" s="560"/>
      <c r="M214" s="560"/>
      <c r="N214" s="560"/>
      <c r="O214" s="560"/>
      <c r="P214" s="560"/>
      <c r="Q214" s="560"/>
      <c r="R214" s="560"/>
      <c r="S214" s="560"/>
      <c r="T214" s="621"/>
      <c r="U214" s="582"/>
    </row>
    <row r="215" spans="2:21" ht="14.4" thickBot="1" x14ac:dyDescent="0.35">
      <c r="B215" s="575"/>
      <c r="C215" s="582"/>
      <c r="D215" s="633" t="s">
        <v>507</v>
      </c>
      <c r="E215" s="746"/>
      <c r="F215" s="746"/>
      <c r="G215" s="635"/>
      <c r="H215" s="634"/>
      <c r="I215" s="635">
        <f>Distributions!D18</f>
        <v>0</v>
      </c>
      <c r="J215" s="635">
        <f>Distributions!E18</f>
        <v>0</v>
      </c>
      <c r="K215" s="635">
        <f>Distributions!F18</f>
        <v>0</v>
      </c>
      <c r="L215" s="635">
        <f>Distributions!G18</f>
        <v>0</v>
      </c>
      <c r="M215" s="635">
        <f>Distributions!H18</f>
        <v>0</v>
      </c>
      <c r="N215" s="635">
        <f>Distributions!I18</f>
        <v>0</v>
      </c>
      <c r="O215" s="635">
        <f>Distributions!J18</f>
        <v>0</v>
      </c>
      <c r="P215" s="635">
        <f>Distributions!K18</f>
        <v>0</v>
      </c>
      <c r="Q215" s="635">
        <f>Distributions!L18</f>
        <v>0</v>
      </c>
      <c r="R215" s="635">
        <f>Distributions!M18</f>
        <v>0</v>
      </c>
      <c r="S215" s="635">
        <f t="shared" si="37"/>
        <v>0</v>
      </c>
      <c r="T215" s="621"/>
      <c r="U215" s="582"/>
    </row>
    <row r="216" spans="2:21" x14ac:dyDescent="0.3">
      <c r="B216" s="575"/>
      <c r="C216" s="582"/>
      <c r="D216" s="582" t="s">
        <v>62</v>
      </c>
      <c r="G216" s="560"/>
      <c r="H216" s="630"/>
      <c r="I216" s="560">
        <f>I215+I213+I208</f>
        <v>0</v>
      </c>
      <c r="J216" s="560">
        <f t="shared" ref="J216:R216" si="40">J215+J213+J208</f>
        <v>0</v>
      </c>
      <c r="K216" s="560">
        <f t="shared" si="40"/>
        <v>0</v>
      </c>
      <c r="L216" s="560">
        <f t="shared" si="40"/>
        <v>0</v>
      </c>
      <c r="M216" s="560">
        <f t="shared" si="40"/>
        <v>0</v>
      </c>
      <c r="N216" s="560">
        <f t="shared" si="40"/>
        <v>0</v>
      </c>
      <c r="O216" s="560">
        <f t="shared" si="40"/>
        <v>0</v>
      </c>
      <c r="P216" s="560">
        <f t="shared" si="40"/>
        <v>0</v>
      </c>
      <c r="Q216" s="560">
        <f t="shared" si="40"/>
        <v>0</v>
      </c>
      <c r="R216" s="560">
        <f t="shared" si="40"/>
        <v>0</v>
      </c>
      <c r="S216" s="560">
        <f t="shared" si="37"/>
        <v>0</v>
      </c>
      <c r="T216" s="621"/>
      <c r="U216" s="582"/>
    </row>
    <row r="217" spans="2:21" x14ac:dyDescent="0.3">
      <c r="B217" s="575"/>
      <c r="C217" s="582"/>
      <c r="D217" s="582"/>
      <c r="G217" s="560"/>
      <c r="H217" s="630"/>
      <c r="I217" s="560"/>
      <c r="J217" s="560"/>
      <c r="K217" s="560"/>
      <c r="L217" s="560"/>
      <c r="M217" s="560"/>
      <c r="N217" s="560"/>
      <c r="O217" s="560"/>
      <c r="P217" s="560"/>
      <c r="Q217" s="560"/>
      <c r="R217" s="560"/>
      <c r="S217" s="560"/>
      <c r="T217" s="621"/>
      <c r="U217" s="582"/>
    </row>
    <row r="218" spans="2:21" ht="14.4" thickBot="1" x14ac:dyDescent="0.35">
      <c r="B218" s="575"/>
      <c r="C218" s="582"/>
      <c r="D218" s="582"/>
      <c r="G218" s="560"/>
      <c r="H218" s="630"/>
      <c r="I218" s="560"/>
      <c r="J218" s="560"/>
      <c r="K218" s="560"/>
      <c r="L218" s="560"/>
      <c r="M218" s="560"/>
      <c r="N218" s="560"/>
      <c r="O218" s="560"/>
      <c r="P218" s="560"/>
      <c r="Q218" s="560"/>
      <c r="R218" s="560"/>
      <c r="S218" s="560"/>
      <c r="T218" s="621"/>
      <c r="U218" s="582"/>
    </row>
    <row r="219" spans="2:21" ht="15" thickTop="1" thickBot="1" x14ac:dyDescent="0.35">
      <c r="B219" s="798"/>
      <c r="C219" s="800"/>
      <c r="D219" s="800"/>
      <c r="E219" s="744"/>
      <c r="F219" s="744"/>
      <c r="G219" s="800"/>
      <c r="H219" s="801"/>
      <c r="I219" s="802"/>
      <c r="J219" s="802"/>
      <c r="K219" s="802"/>
      <c r="L219" s="802"/>
      <c r="M219" s="802"/>
      <c r="N219" s="802"/>
      <c r="O219" s="802"/>
      <c r="P219" s="802"/>
      <c r="Q219" s="802"/>
      <c r="R219" s="802"/>
      <c r="S219" s="802"/>
      <c r="T219" s="803"/>
      <c r="U219" s="582"/>
    </row>
    <row r="220" spans="2:21" ht="14.4" thickTop="1" x14ac:dyDescent="0.3">
      <c r="B220" s="575"/>
      <c r="C220" s="582"/>
      <c r="D220" s="582"/>
      <c r="G220" s="582"/>
      <c r="H220" s="630"/>
      <c r="I220" s="560"/>
      <c r="J220" s="560"/>
      <c r="K220" s="560"/>
      <c r="L220" s="560"/>
      <c r="M220" s="560"/>
      <c r="N220" s="560"/>
      <c r="O220" s="560"/>
      <c r="P220" s="560"/>
      <c r="Q220" s="560"/>
      <c r="R220" s="560"/>
      <c r="S220" s="560"/>
      <c r="T220" s="621"/>
      <c r="U220" s="582"/>
    </row>
    <row r="221" spans="2:21" x14ac:dyDescent="0.3">
      <c r="B221" s="575"/>
      <c r="C221" s="582" t="s">
        <v>796</v>
      </c>
      <c r="D221" s="582"/>
      <c r="G221" s="582"/>
      <c r="H221" s="630"/>
      <c r="I221" s="560"/>
      <c r="J221" s="560"/>
      <c r="K221" s="560"/>
      <c r="L221" s="560"/>
      <c r="M221" s="560"/>
      <c r="N221" s="560"/>
      <c r="O221" s="560"/>
      <c r="P221" s="560"/>
      <c r="Q221" s="560"/>
      <c r="R221" s="560"/>
      <c r="S221" s="560"/>
      <c r="T221" s="621"/>
      <c r="U221" s="582"/>
    </row>
    <row r="222" spans="2:21" x14ac:dyDescent="0.3">
      <c r="B222" s="575"/>
      <c r="C222" s="582"/>
      <c r="D222" s="582"/>
      <c r="S222" s="560"/>
      <c r="T222" s="621"/>
      <c r="U222" s="582"/>
    </row>
    <row r="223" spans="2:21" ht="15.6" x14ac:dyDescent="0.45">
      <c r="B223" s="575"/>
      <c r="C223" s="582"/>
      <c r="D223" s="838" t="s">
        <v>344</v>
      </c>
      <c r="G223" s="804" t="s">
        <v>755</v>
      </c>
      <c r="H223" s="804" t="s">
        <v>364</v>
      </c>
      <c r="I223" s="805" t="s">
        <v>368</v>
      </c>
      <c r="J223" s="1002" t="s">
        <v>757</v>
      </c>
      <c r="K223" s="1002"/>
      <c r="L223" s="1002"/>
      <c r="M223" s="1002"/>
      <c r="N223" s="1002"/>
      <c r="O223" s="806" t="s">
        <v>756</v>
      </c>
      <c r="P223" s="806"/>
      <c r="Q223" s="806" t="s">
        <v>800</v>
      </c>
      <c r="R223" s="806" t="s">
        <v>398</v>
      </c>
      <c r="S223" s="560"/>
      <c r="T223" s="621"/>
      <c r="U223" s="582"/>
    </row>
    <row r="224" spans="2:21" x14ac:dyDescent="0.3">
      <c r="B224" s="575"/>
      <c r="C224" s="582"/>
      <c r="D224" s="582" t="s">
        <v>752</v>
      </c>
      <c r="G224" s="581">
        <f>SUM(J205:N205)+O224</f>
        <v>-605706.91164086421</v>
      </c>
      <c r="H224" s="583" t="e">
        <f>G195</f>
        <v>#NUM!</v>
      </c>
      <c r="I224" s="433">
        <f>G224/G205</f>
        <v>-0.60570691164086421</v>
      </c>
      <c r="J224" s="581">
        <f>J205</f>
        <v>0</v>
      </c>
      <c r="K224" s="581">
        <f t="shared" ref="K224:N224" si="41">K205</f>
        <v>0</v>
      </c>
      <c r="L224" s="581">
        <f t="shared" si="41"/>
        <v>0</v>
      </c>
      <c r="M224" s="581">
        <f t="shared" si="41"/>
        <v>0</v>
      </c>
      <c r="N224" s="581">
        <f t="shared" si="41"/>
        <v>0</v>
      </c>
      <c r="O224" s="581">
        <f>'Members Capital'!$L$14*$H$205*O182+O205</f>
        <v>-605706.91164086421</v>
      </c>
      <c r="P224" s="847"/>
      <c r="Q224" s="560" t="s">
        <v>752</v>
      </c>
      <c r="R224" s="581">
        <f>G224-G205</f>
        <v>-1605706.9116408643</v>
      </c>
      <c r="S224" s="560"/>
      <c r="T224" s="621"/>
      <c r="U224" s="582"/>
    </row>
    <row r="225" spans="2:21" x14ac:dyDescent="0.3">
      <c r="B225" s="575"/>
      <c r="C225" s="582"/>
      <c r="D225" s="582" t="s">
        <v>499</v>
      </c>
      <c r="G225" s="581">
        <f>SUM(J206:N206)+O225</f>
        <v>-46033.725284705681</v>
      </c>
      <c r="H225" s="583" t="e">
        <f>H224</f>
        <v>#NUM!</v>
      </c>
      <c r="I225" s="433">
        <f>G225/G206</f>
        <v>-0.60570691164086421</v>
      </c>
      <c r="J225" s="581">
        <f>J206</f>
        <v>0</v>
      </c>
      <c r="K225" s="581">
        <f t="shared" ref="K225:N225" si="42">K206</f>
        <v>0</v>
      </c>
      <c r="L225" s="581">
        <f t="shared" si="42"/>
        <v>0</v>
      </c>
      <c r="M225" s="581">
        <f t="shared" si="42"/>
        <v>0</v>
      </c>
      <c r="N225" s="581">
        <f t="shared" si="42"/>
        <v>0</v>
      </c>
      <c r="O225" s="581">
        <f>'Members Capital'!$L$14*$H$206*O182+O206</f>
        <v>-46033.725284705681</v>
      </c>
      <c r="P225" s="847"/>
      <c r="Q225" s="560" t="s">
        <v>499</v>
      </c>
      <c r="R225" s="581">
        <f>(G225-G206)+(G229-G211)</f>
        <v>-494248.47504041647</v>
      </c>
      <c r="S225" s="560"/>
      <c r="T225" s="621"/>
      <c r="U225" s="582"/>
    </row>
    <row r="226" spans="2:21" x14ac:dyDescent="0.3">
      <c r="B226" s="575"/>
      <c r="C226" s="582"/>
      <c r="D226" s="582" t="s">
        <v>753</v>
      </c>
      <c r="G226" s="581">
        <f>SUM(J207:N207)+O226</f>
        <v>-15142.672791021605</v>
      </c>
      <c r="H226" s="583" t="e">
        <f>H225</f>
        <v>#NUM!</v>
      </c>
      <c r="I226" s="433">
        <f>G226/G207</f>
        <v>-0.60570691164086421</v>
      </c>
      <c r="J226" s="581">
        <f>J207</f>
        <v>0</v>
      </c>
      <c r="K226" s="581">
        <f t="shared" ref="K226:N226" si="43">K207</f>
        <v>0</v>
      </c>
      <c r="L226" s="581">
        <f t="shared" si="43"/>
        <v>0</v>
      </c>
      <c r="M226" s="581">
        <f t="shared" si="43"/>
        <v>0</v>
      </c>
      <c r="N226" s="581">
        <f t="shared" si="43"/>
        <v>0</v>
      </c>
      <c r="O226" s="581">
        <f>$H$207*'Members Capital'!$L$14*O182+O207</f>
        <v>-15142.672791021605</v>
      </c>
      <c r="P226" s="847"/>
      <c r="Q226" s="560" t="s">
        <v>753</v>
      </c>
      <c r="R226" s="581">
        <f>G226-G207</f>
        <v>-40142.672791021607</v>
      </c>
      <c r="S226" s="560"/>
      <c r="T226" s="621"/>
      <c r="U226" s="582"/>
    </row>
    <row r="227" spans="2:21" ht="15.6" x14ac:dyDescent="0.45">
      <c r="B227" s="575"/>
      <c r="C227" s="582"/>
      <c r="D227" s="582"/>
      <c r="G227" s="613"/>
      <c r="H227" s="804"/>
      <c r="I227" s="341"/>
      <c r="J227" s="806"/>
      <c r="K227" s="806"/>
      <c r="L227" s="806"/>
      <c r="M227" s="806"/>
      <c r="N227" s="806"/>
      <c r="O227" s="806"/>
      <c r="P227" s="843"/>
      <c r="Q227" s="560" t="s">
        <v>340</v>
      </c>
      <c r="R227" s="581">
        <f>(G230-G212)</f>
        <v>-60291.625005119888</v>
      </c>
      <c r="S227" s="560"/>
      <c r="T227" s="621"/>
      <c r="U227" s="582"/>
    </row>
    <row r="228" spans="2:21" ht="16.2" thickBot="1" x14ac:dyDescent="0.5">
      <c r="B228" s="575"/>
      <c r="C228" s="582"/>
      <c r="D228" s="838" t="s">
        <v>336</v>
      </c>
      <c r="G228" s="613"/>
      <c r="H228" s="804"/>
      <c r="I228" s="341"/>
      <c r="J228" s="806"/>
      <c r="K228" s="806"/>
      <c r="L228" s="806"/>
      <c r="M228" s="806"/>
      <c r="N228" s="806"/>
      <c r="O228" s="806"/>
      <c r="P228" s="843"/>
      <c r="Q228" s="635" t="s">
        <v>507</v>
      </c>
      <c r="R228" s="849">
        <f>G232-G28</f>
        <v>-204715.92476083068</v>
      </c>
      <c r="S228" s="560"/>
      <c r="T228" s="621"/>
      <c r="U228" s="582"/>
    </row>
    <row r="229" spans="2:21" ht="15.6" x14ac:dyDescent="0.45">
      <c r="B229" s="575"/>
      <c r="C229" s="582"/>
      <c r="D229" s="582" t="s">
        <v>499</v>
      </c>
      <c r="G229" s="581">
        <f>SUM(J211:N211)+O229</f>
        <v>-90440.529755710784</v>
      </c>
      <c r="H229" s="583" t="e">
        <f>H226</f>
        <v>#NUM!</v>
      </c>
      <c r="I229" s="433">
        <f>G229/G211</f>
        <v>-0.32096807775995545</v>
      </c>
      <c r="J229" s="581">
        <f t="shared" ref="J229:N230" si="44">J211</f>
        <v>0</v>
      </c>
      <c r="K229" s="581">
        <f t="shared" si="44"/>
        <v>0</v>
      </c>
      <c r="L229" s="581">
        <f t="shared" si="44"/>
        <v>0</v>
      </c>
      <c r="M229" s="581">
        <f t="shared" si="44"/>
        <v>0</v>
      </c>
      <c r="N229" s="581">
        <f t="shared" si="44"/>
        <v>0</v>
      </c>
      <c r="O229" s="581">
        <f>$H$211*'Members Capital'!$L$4*O182+O211</f>
        <v>-90440.529755710784</v>
      </c>
      <c r="P229" s="843"/>
      <c r="Q229" s="850" t="s">
        <v>117</v>
      </c>
      <c r="R229" s="581">
        <f>SUM(R224:R228)</f>
        <v>-2405105.609238253</v>
      </c>
      <c r="S229" s="560"/>
      <c r="T229" s="621"/>
      <c r="U229" s="582"/>
    </row>
    <row r="230" spans="2:21" ht="15.6" x14ac:dyDescent="0.45">
      <c r="B230" s="575"/>
      <c r="C230" s="582"/>
      <c r="D230" s="582" t="s">
        <v>340</v>
      </c>
      <c r="G230" s="581">
        <f>SUM(J212:N212)+O230</f>
        <v>-14649.625005119886</v>
      </c>
      <c r="H230" s="583" t="e">
        <f>H229</f>
        <v>#NUM!</v>
      </c>
      <c r="I230" s="433">
        <f>G230/G212</f>
        <v>-0.32096807775995545</v>
      </c>
      <c r="J230" s="581">
        <f t="shared" si="44"/>
        <v>0</v>
      </c>
      <c r="K230" s="581">
        <f t="shared" si="44"/>
        <v>0</v>
      </c>
      <c r="L230" s="581">
        <f t="shared" si="44"/>
        <v>0</v>
      </c>
      <c r="M230" s="581">
        <f t="shared" si="44"/>
        <v>0</v>
      </c>
      <c r="N230" s="581">
        <f t="shared" si="44"/>
        <v>0</v>
      </c>
      <c r="O230" s="581">
        <f>$H$212*'Members Capital'!$L$4*O182+O212</f>
        <v>-14649.625005119886</v>
      </c>
      <c r="P230" s="843"/>
      <c r="Q230" s="806"/>
      <c r="R230" s="806"/>
      <c r="S230" s="560"/>
      <c r="T230" s="621"/>
      <c r="U230" s="582"/>
    </row>
    <row r="231" spans="2:21" ht="15.6" x14ac:dyDescent="0.45">
      <c r="B231" s="575"/>
      <c r="C231" s="582"/>
      <c r="D231" s="582"/>
      <c r="G231" s="613"/>
      <c r="H231" s="804"/>
      <c r="I231" s="341"/>
      <c r="J231" s="806"/>
      <c r="K231" s="806"/>
      <c r="L231" s="806"/>
      <c r="M231" s="806"/>
      <c r="N231" s="806"/>
      <c r="O231" s="806"/>
      <c r="P231" s="843"/>
      <c r="Q231" s="806"/>
      <c r="R231" s="806"/>
      <c r="S231" s="560"/>
      <c r="T231" s="621"/>
      <c r="U231" s="582"/>
    </row>
    <row r="232" spans="2:21" ht="15.6" x14ac:dyDescent="0.45">
      <c r="B232" s="575"/>
      <c r="C232" s="582"/>
      <c r="D232" s="582" t="s">
        <v>507</v>
      </c>
      <c r="G232" s="581">
        <f>SUM(J232:N232)+O232</f>
        <v>-105090.15476083067</v>
      </c>
      <c r="H232" s="583" t="e">
        <f>H230</f>
        <v>#NUM!</v>
      </c>
      <c r="I232" s="433">
        <f>G232/'Members Capital'!H22</f>
        <v>-1.0548491094305286</v>
      </c>
      <c r="J232" s="846">
        <v>0</v>
      </c>
      <c r="K232" s="581">
        <f>J232</f>
        <v>0</v>
      </c>
      <c r="L232" s="581">
        <f t="shared" ref="L232:N232" si="45">K232</f>
        <v>0</v>
      </c>
      <c r="M232" s="581">
        <f t="shared" si="45"/>
        <v>0</v>
      </c>
      <c r="N232" s="581">
        <f t="shared" si="45"/>
        <v>0</v>
      </c>
      <c r="O232" s="581">
        <f>'Members Capital'!$L$22*O182+O215</f>
        <v>-105090.15476083067</v>
      </c>
      <c r="P232" s="843"/>
      <c r="Q232" s="806"/>
      <c r="R232" s="806"/>
      <c r="S232" s="560"/>
      <c r="T232" s="621"/>
      <c r="U232" s="582"/>
    </row>
    <row r="233" spans="2:21" x14ac:dyDescent="0.3">
      <c r="B233" s="575"/>
      <c r="C233" s="582"/>
      <c r="D233" s="582"/>
      <c r="G233" s="582"/>
      <c r="H233" s="630"/>
      <c r="I233" s="560"/>
      <c r="J233" s="560"/>
      <c r="K233" s="560"/>
      <c r="L233" s="560"/>
      <c r="M233" s="560"/>
      <c r="N233" s="560"/>
      <c r="O233" s="560"/>
      <c r="P233" s="560"/>
      <c r="Q233" s="560"/>
      <c r="R233" s="560"/>
      <c r="S233" s="560"/>
      <c r="T233" s="621"/>
      <c r="U233" s="582"/>
    </row>
    <row r="234" spans="2:21" x14ac:dyDescent="0.3">
      <c r="B234" s="575"/>
      <c r="C234" s="618" t="s">
        <v>797</v>
      </c>
      <c r="D234" s="618"/>
      <c r="E234" s="618"/>
      <c r="F234" s="618"/>
      <c r="G234" s="594">
        <f>SUM(G224:G232)</f>
        <v>-877063.61923825275</v>
      </c>
      <c r="H234" s="844" t="e">
        <f>H232</f>
        <v>#NUM!</v>
      </c>
      <c r="I234" s="594"/>
      <c r="J234" s="594">
        <f>SUM(J224:J232)</f>
        <v>0</v>
      </c>
      <c r="K234" s="594">
        <f>SUM(K224:K232)</f>
        <v>0</v>
      </c>
      <c r="L234" s="594">
        <f>SUM(L224:L232)</f>
        <v>0</v>
      </c>
      <c r="M234" s="594">
        <f>SUM(M224:M232)</f>
        <v>0</v>
      </c>
      <c r="N234" s="594">
        <f>SUM(N224:N232)</f>
        <v>0</v>
      </c>
      <c r="O234" s="594">
        <f>SUM(O224:O233)</f>
        <v>-877063.61923825275</v>
      </c>
      <c r="P234" s="594"/>
      <c r="Q234" s="594"/>
      <c r="R234" s="594"/>
      <c r="S234" s="594"/>
      <c r="T234" s="621"/>
      <c r="U234" s="582"/>
    </row>
    <row r="235" spans="2:21" x14ac:dyDescent="0.3">
      <c r="B235" s="575"/>
      <c r="C235" s="582"/>
      <c r="D235" s="582"/>
      <c r="G235" s="582"/>
      <c r="H235" s="630"/>
      <c r="I235" s="560"/>
      <c r="J235" s="560"/>
      <c r="K235" s="560"/>
      <c r="L235" s="560"/>
      <c r="M235" s="560"/>
      <c r="N235" s="560"/>
      <c r="O235" s="560"/>
      <c r="P235" s="560"/>
      <c r="Q235" s="560"/>
      <c r="R235" s="560"/>
      <c r="S235" s="560"/>
      <c r="T235" s="621"/>
      <c r="U235" s="582"/>
    </row>
    <row r="236" spans="2:21" ht="15.6" x14ac:dyDescent="0.45">
      <c r="B236" s="575"/>
      <c r="C236" s="582" t="s">
        <v>758</v>
      </c>
      <c r="D236" s="582"/>
      <c r="G236" s="804" t="s">
        <v>755</v>
      </c>
      <c r="H236" s="630"/>
      <c r="I236" s="560"/>
      <c r="J236" s="806" t="s">
        <v>760</v>
      </c>
      <c r="K236" s="806" t="s">
        <v>761</v>
      </c>
      <c r="L236" s="806" t="s">
        <v>762</v>
      </c>
      <c r="M236" s="806" t="s">
        <v>763</v>
      </c>
      <c r="N236" s="806" t="s">
        <v>764</v>
      </c>
      <c r="O236" s="806" t="s">
        <v>765</v>
      </c>
      <c r="P236" s="806"/>
      <c r="Q236" s="806"/>
      <c r="R236" s="806"/>
      <c r="S236" s="560"/>
      <c r="T236" s="621"/>
      <c r="U236" s="582"/>
    </row>
    <row r="237" spans="2:21" x14ac:dyDescent="0.3">
      <c r="B237" s="575"/>
      <c r="C237" s="582"/>
      <c r="D237" s="582" t="s">
        <v>759</v>
      </c>
      <c r="G237" s="560">
        <f>SUM(J237:O237)</f>
        <v>0</v>
      </c>
      <c r="H237" s="630"/>
      <c r="I237" s="560"/>
      <c r="J237" s="560">
        <f t="shared" ref="J237:M237" si="46">J165</f>
        <v>0</v>
      </c>
      <c r="K237" s="560">
        <f t="shared" si="46"/>
        <v>0</v>
      </c>
      <c r="L237" s="560">
        <f t="shared" si="46"/>
        <v>0</v>
      </c>
      <c r="M237" s="560">
        <f t="shared" si="46"/>
        <v>0</v>
      </c>
      <c r="N237" s="560">
        <f>N165</f>
        <v>0</v>
      </c>
      <c r="O237" s="560">
        <f>O165</f>
        <v>0</v>
      </c>
      <c r="P237" s="560"/>
      <c r="Q237" s="560"/>
      <c r="R237" s="560"/>
      <c r="S237" s="560"/>
      <c r="T237" s="621"/>
      <c r="U237" s="582"/>
    </row>
    <row r="238" spans="2:21" x14ac:dyDescent="0.3">
      <c r="B238" s="575"/>
      <c r="C238" s="582"/>
      <c r="D238" s="582" t="s">
        <v>799</v>
      </c>
      <c r="G238" s="560">
        <f>SUM(J238:O238)</f>
        <v>0</v>
      </c>
      <c r="H238" s="630"/>
      <c r="I238" s="560"/>
      <c r="J238" s="560"/>
      <c r="K238" s="560"/>
      <c r="L238" s="560"/>
      <c r="M238" s="560"/>
      <c r="N238" s="560"/>
      <c r="O238" s="560">
        <f>O183</f>
        <v>0</v>
      </c>
      <c r="P238" s="560"/>
      <c r="Q238" s="560"/>
      <c r="R238" s="560"/>
      <c r="S238" s="560"/>
      <c r="T238" s="621"/>
      <c r="U238" s="582"/>
    </row>
    <row r="239" spans="2:21" x14ac:dyDescent="0.3">
      <c r="B239" s="575"/>
      <c r="C239" s="618" t="s">
        <v>798</v>
      </c>
      <c r="D239" s="618"/>
      <c r="E239" s="618"/>
      <c r="F239" s="618"/>
      <c r="G239" s="594">
        <f>SUM(J239:O239)</f>
        <v>0</v>
      </c>
      <c r="H239" s="618"/>
      <c r="I239" s="594"/>
      <c r="J239" s="594">
        <f>SUM(J237:J238)</f>
        <v>0</v>
      </c>
      <c r="K239" s="594">
        <f t="shared" ref="K239:N239" si="47">SUM(K237:K238)</f>
        <v>0</v>
      </c>
      <c r="L239" s="594">
        <f t="shared" si="47"/>
        <v>0</v>
      </c>
      <c r="M239" s="594">
        <f t="shared" si="47"/>
        <v>0</v>
      </c>
      <c r="N239" s="594">
        <f t="shared" si="47"/>
        <v>0</v>
      </c>
      <c r="O239" s="594">
        <f>SUM(O237:O238)</f>
        <v>0</v>
      </c>
      <c r="P239" s="594"/>
      <c r="Q239" s="594"/>
      <c r="R239" s="594"/>
      <c r="S239" s="594"/>
      <c r="T239" s="621"/>
      <c r="U239" s="582"/>
    </row>
    <row r="240" spans="2:21" ht="14.4" thickBot="1" x14ac:dyDescent="0.35">
      <c r="B240" s="647"/>
      <c r="C240" s="808"/>
      <c r="D240" s="808"/>
      <c r="E240" s="648"/>
      <c r="F240" s="648"/>
      <c r="G240" s="808"/>
      <c r="H240" s="809"/>
      <c r="I240" s="810"/>
      <c r="J240" s="810"/>
      <c r="K240" s="810"/>
      <c r="L240" s="810"/>
      <c r="M240" s="810"/>
      <c r="N240" s="810"/>
      <c r="O240" s="810"/>
      <c r="P240" s="810"/>
      <c r="Q240" s="810"/>
      <c r="R240" s="810"/>
      <c r="S240" s="810"/>
      <c r="T240" s="811"/>
      <c r="U240" s="582"/>
    </row>
    <row r="241" spans="2:21" ht="14.4" thickTop="1" x14ac:dyDescent="0.3">
      <c r="C241" s="582"/>
      <c r="D241" s="582"/>
      <c r="G241" s="582"/>
      <c r="H241" s="630"/>
      <c r="I241" s="560"/>
      <c r="J241" s="560"/>
      <c r="K241" s="560"/>
      <c r="L241" s="560"/>
      <c r="M241" s="560"/>
      <c r="N241" s="560"/>
      <c r="O241" s="560"/>
      <c r="P241" s="560"/>
      <c r="Q241" s="560"/>
      <c r="R241" s="560"/>
      <c r="S241" s="560"/>
      <c r="T241" s="560"/>
      <c r="U241" s="582"/>
    </row>
    <row r="242" spans="2:21" x14ac:dyDescent="0.3">
      <c r="C242" s="582"/>
      <c r="D242" s="582"/>
      <c r="G242" s="582"/>
      <c r="H242" s="630"/>
      <c r="I242" s="560"/>
      <c r="J242" s="560"/>
      <c r="K242" s="560"/>
      <c r="L242" s="560"/>
      <c r="M242" s="560"/>
      <c r="N242" s="560"/>
      <c r="O242" s="560"/>
      <c r="P242" s="560"/>
      <c r="Q242" s="560"/>
      <c r="R242" s="560"/>
      <c r="S242" s="560"/>
      <c r="T242" s="560"/>
      <c r="U242" s="582"/>
    </row>
    <row r="243" spans="2:21" ht="14.4" hidden="1" thickBot="1" x14ac:dyDescent="0.35">
      <c r="C243" s="582"/>
      <c r="D243" s="582"/>
      <c r="G243" s="582"/>
      <c r="H243" s="630"/>
      <c r="I243" s="560"/>
      <c r="J243" s="560"/>
      <c r="K243" s="560"/>
      <c r="L243" s="560"/>
      <c r="M243" s="560"/>
      <c r="N243" s="560"/>
      <c r="O243" s="560"/>
      <c r="P243" s="560"/>
      <c r="Q243" s="560"/>
      <c r="R243" s="560"/>
      <c r="S243" s="560"/>
      <c r="T243" s="560"/>
      <c r="U243" s="582"/>
    </row>
    <row r="244" spans="2:21" ht="14.4" hidden="1" thickTop="1" x14ac:dyDescent="0.3">
      <c r="B244" s="572"/>
      <c r="C244" s="812"/>
      <c r="D244" s="812"/>
      <c r="E244" s="573"/>
      <c r="F244" s="573"/>
      <c r="G244" s="812"/>
      <c r="H244" s="813"/>
      <c r="I244" s="814"/>
      <c r="J244" s="814"/>
      <c r="K244" s="814"/>
      <c r="L244" s="814"/>
      <c r="M244" s="814"/>
      <c r="N244" s="814"/>
      <c r="O244" s="814"/>
      <c r="P244" s="814"/>
      <c r="Q244" s="814"/>
      <c r="R244" s="814"/>
      <c r="S244" s="814"/>
      <c r="T244" s="807"/>
      <c r="U244" s="582"/>
    </row>
    <row r="245" spans="2:21" ht="14.4" hidden="1" thickBot="1" x14ac:dyDescent="0.35">
      <c r="B245" s="575"/>
      <c r="C245" s="582"/>
      <c r="D245" s="582"/>
      <c r="G245" s="582"/>
      <c r="H245" s="630"/>
      <c r="I245" s="560"/>
      <c r="J245" s="560"/>
      <c r="K245" s="560"/>
      <c r="L245" s="560"/>
      <c r="M245" s="560"/>
      <c r="N245" s="560"/>
      <c r="O245" s="560"/>
      <c r="P245" s="560"/>
      <c r="Q245" s="560"/>
      <c r="R245" s="560"/>
      <c r="S245" s="560"/>
      <c r="T245" s="621"/>
      <c r="U245" s="582"/>
    </row>
    <row r="246" spans="2:21" ht="15" hidden="1" thickTop="1" thickBot="1" x14ac:dyDescent="0.35">
      <c r="B246" s="575"/>
      <c r="C246" s="636" t="s">
        <v>358</v>
      </c>
      <c r="D246" s="637"/>
      <c r="E246" s="637"/>
      <c r="F246" s="637"/>
      <c r="G246" s="638" t="s">
        <v>364</v>
      </c>
      <c r="H246" s="637" t="s">
        <v>511</v>
      </c>
      <c r="I246" s="650">
        <v>2023</v>
      </c>
      <c r="J246" s="650">
        <v>2024</v>
      </c>
      <c r="K246" s="650">
        <v>2025</v>
      </c>
      <c r="L246" s="650">
        <v>2026</v>
      </c>
      <c r="M246" s="650">
        <v>2027</v>
      </c>
      <c r="N246" s="650">
        <v>2028</v>
      </c>
      <c r="O246" s="650">
        <v>2029</v>
      </c>
      <c r="P246" s="650">
        <v>2030</v>
      </c>
      <c r="Q246" s="650">
        <v>2031</v>
      </c>
      <c r="R246" s="650">
        <v>2032</v>
      </c>
      <c r="S246" s="639" t="s">
        <v>6</v>
      </c>
      <c r="T246" s="576"/>
    </row>
    <row r="247" spans="2:21" ht="14.4" hidden="1" thickTop="1" x14ac:dyDescent="0.3">
      <c r="B247" s="575"/>
      <c r="D247" s="571" t="s">
        <v>360</v>
      </c>
      <c r="G247" s="640" t="e">
        <f>Balances!G84</f>
        <v>#NUM!</v>
      </c>
      <c r="H247" s="560">
        <f>Balances!H83</f>
        <v>-281774.21999999997</v>
      </c>
      <c r="I247" s="560">
        <f>SUM(Balances!I83:T83)</f>
        <v>0</v>
      </c>
      <c r="J247" s="560">
        <f>SUM(Balances!U83:AF83)</f>
        <v>0</v>
      </c>
      <c r="K247" s="560">
        <f>SUM(Balances!AG83:AR83)</f>
        <v>0</v>
      </c>
      <c r="L247" s="560">
        <f>SUM(Balances!AS83:BD83)</f>
        <v>0</v>
      </c>
      <c r="M247" s="560">
        <f>SUM(Balances!BE83:BP83)</f>
        <v>0</v>
      </c>
      <c r="N247" s="560">
        <f>SUM(Balances!BQ83:CB83)</f>
        <v>0</v>
      </c>
      <c r="O247" s="560">
        <f>SUM(Balances!CC83:CN83)</f>
        <v>0</v>
      </c>
      <c r="P247" s="560">
        <f>SUM(Balances!CO83:CZ83)</f>
        <v>0</v>
      </c>
      <c r="Q247" s="560">
        <f>SUM(Balances!DA83:DL83)</f>
        <v>0</v>
      </c>
      <c r="R247" s="560" t="e">
        <f>SUM(Balances!#REF!)</f>
        <v>#REF!</v>
      </c>
      <c r="S247" s="560" t="e">
        <f>SUM(H247:R247)</f>
        <v>#REF!</v>
      </c>
      <c r="T247" s="576"/>
    </row>
    <row r="248" spans="2:21" hidden="1" x14ac:dyDescent="0.3">
      <c r="B248" s="575"/>
      <c r="D248" s="571" t="s">
        <v>372</v>
      </c>
      <c r="G248" s="640" t="e">
        <f>Balances!G106</f>
        <v>#NUM!</v>
      </c>
      <c r="H248" s="560">
        <f>Balances!H105</f>
        <v>-1127750.06</v>
      </c>
      <c r="I248" s="560">
        <f>SUM(Balances!I105:T105)</f>
        <v>0</v>
      </c>
      <c r="J248" s="560">
        <f>SUM(Balances!U105:AF105)</f>
        <v>0</v>
      </c>
      <c r="K248" s="560">
        <f>SUM(Balances!AG105:AR105)</f>
        <v>0</v>
      </c>
      <c r="L248" s="560">
        <f>SUM(Balances!AS105:BD105)</f>
        <v>0</v>
      </c>
      <c r="M248" s="560">
        <f>SUM(Balances!BE105:BP105)</f>
        <v>0</v>
      </c>
      <c r="N248" s="560">
        <f>SUM(Balances!BQ105:CB105)</f>
        <v>0</v>
      </c>
      <c r="O248" s="560">
        <f>SUM(Balances!CC105:CN105)</f>
        <v>0</v>
      </c>
      <c r="P248" s="560">
        <f>SUM(Balances!CO105:CZ105)</f>
        <v>0</v>
      </c>
      <c r="Q248" s="560">
        <f>SUM(Balances!DA105:DL105)</f>
        <v>0</v>
      </c>
      <c r="R248" s="560" t="e">
        <f>SUM(Balances!#REF!)</f>
        <v>#REF!</v>
      </c>
      <c r="S248" s="560" t="e">
        <f>SUM(H248:R248)</f>
        <v>#REF!</v>
      </c>
      <c r="T248" s="576"/>
    </row>
    <row r="249" spans="2:21" hidden="1" x14ac:dyDescent="0.3">
      <c r="B249" s="575"/>
      <c r="D249" s="571" t="s">
        <v>507</v>
      </c>
      <c r="G249" s="640">
        <f>Balances!G119</f>
        <v>0.42220063686370846</v>
      </c>
      <c r="H249" s="339">
        <f>Balances!H118</f>
        <v>-99625.77</v>
      </c>
      <c r="I249" s="560">
        <f>SUM(Balances!I118:T118)</f>
        <v>120000</v>
      </c>
      <c r="J249" s="560">
        <f>SUM(Balances!U118:AF118)</f>
        <v>0</v>
      </c>
      <c r="K249" s="560">
        <f>SUM(Balances!AG118:AR118)</f>
        <v>0</v>
      </c>
      <c r="L249" s="560">
        <f>SUM(Balances!AS118:BD118)</f>
        <v>0</v>
      </c>
      <c r="M249" s="560">
        <f>SUM(Balances!BE118:BP118)</f>
        <v>0</v>
      </c>
      <c r="N249" s="560">
        <f>SUM(Balances!BQ118:CB118)</f>
        <v>0</v>
      </c>
      <c r="O249" s="560">
        <f>SUM(Balances!CC118:CN118)</f>
        <v>0</v>
      </c>
      <c r="P249" s="560">
        <f>SUM(Balances!CO118:CZ118)</f>
        <v>0</v>
      </c>
      <c r="Q249" s="560">
        <f>SUM(Balances!DA118:DL118)</f>
        <v>0</v>
      </c>
      <c r="R249" s="560" t="e">
        <f>SUM(Balances!#REF!)</f>
        <v>#REF!</v>
      </c>
      <c r="S249" s="582" t="e">
        <f>SUM(H249:R249)</f>
        <v>#REF!</v>
      </c>
      <c r="T249" s="576"/>
    </row>
    <row r="250" spans="2:21" hidden="1" x14ac:dyDescent="0.3">
      <c r="B250" s="575"/>
      <c r="D250" s="571" t="s">
        <v>373</v>
      </c>
      <c r="G250" s="640" t="e">
        <f>Balances!G132</f>
        <v>#NUM!</v>
      </c>
      <c r="H250" s="673">
        <f>Balances!H131</f>
        <v>-45642</v>
      </c>
      <c r="I250" s="560">
        <f>SUM(Balances!I128:T128)</f>
        <v>0</v>
      </c>
      <c r="J250" s="560">
        <f>SUM(Balances!U128:AF128)</f>
        <v>0</v>
      </c>
      <c r="K250" s="560">
        <f>SUM(Balances!AG128:AR128)</f>
        <v>0</v>
      </c>
      <c r="L250" s="560">
        <f>SUM(Balances!AS128:BD128)</f>
        <v>0</v>
      </c>
      <c r="M250" s="560">
        <f>SUM(Balances!BE128:BP128)</f>
        <v>0</v>
      </c>
      <c r="N250" s="560">
        <f>SUM(Balances!BQ128:CB128)</f>
        <v>0</v>
      </c>
      <c r="O250" s="560">
        <f>SUM(Balances!CC128:CN128)</f>
        <v>0</v>
      </c>
      <c r="P250" s="560">
        <f>SUM(Balances!CO128:CZ128)</f>
        <v>0</v>
      </c>
      <c r="Q250" s="560">
        <f>SUM(Balances!DA128:DL128)</f>
        <v>0</v>
      </c>
      <c r="R250" s="560" t="e">
        <f>SUM(Balances!#REF!)</f>
        <v>#REF!</v>
      </c>
      <c r="S250" s="582" t="e">
        <f>SUM(H250:R250)</f>
        <v>#REF!</v>
      </c>
      <c r="T250" s="576"/>
    </row>
    <row r="251" spans="2:21" ht="14.4" hidden="1" thickBot="1" x14ac:dyDescent="0.35">
      <c r="B251" s="575"/>
      <c r="C251" s="641" t="s">
        <v>363</v>
      </c>
      <c r="D251" s="641"/>
      <c r="E251" s="641"/>
      <c r="F251" s="641"/>
      <c r="G251" s="642"/>
      <c r="H251" s="643">
        <f>SUM(H247:H250)</f>
        <v>-1554792.05</v>
      </c>
      <c r="I251" s="643">
        <f>SUM(I247:I250)</f>
        <v>120000</v>
      </c>
      <c r="J251" s="643">
        <f>SUM(J247:J250)</f>
        <v>0</v>
      </c>
      <c r="K251" s="643">
        <f>SUM(K247:K250)</f>
        <v>0</v>
      </c>
      <c r="L251" s="643">
        <f>SUM(L247:L250)</f>
        <v>0</v>
      </c>
      <c r="M251" s="643">
        <f t="shared" ref="M251:R251" si="48">SUM(M247:M250)</f>
        <v>0</v>
      </c>
      <c r="N251" s="643">
        <f t="shared" si="48"/>
        <v>0</v>
      </c>
      <c r="O251" s="643">
        <f t="shared" si="48"/>
        <v>0</v>
      </c>
      <c r="P251" s="643">
        <f t="shared" si="48"/>
        <v>0</v>
      </c>
      <c r="Q251" s="643">
        <f t="shared" si="48"/>
        <v>0</v>
      </c>
      <c r="R251" s="643" t="e">
        <f t="shared" si="48"/>
        <v>#REF!</v>
      </c>
      <c r="S251" s="643">
        <f>SUM(G251:P251)</f>
        <v>-1434792.05</v>
      </c>
      <c r="T251" s="576"/>
    </row>
    <row r="252" spans="2:21" ht="14.4" hidden="1" thickTop="1" x14ac:dyDescent="0.3">
      <c r="B252" s="575"/>
      <c r="C252" s="644"/>
      <c r="D252" s="644" t="s">
        <v>398</v>
      </c>
      <c r="E252" s="644"/>
      <c r="F252" s="644"/>
      <c r="G252" s="645">
        <f>SUM(H251:Q251)</f>
        <v>-1434792.05</v>
      </c>
      <c r="I252" s="560"/>
      <c r="J252" s="560"/>
      <c r="K252" s="560"/>
      <c r="T252" s="576"/>
    </row>
    <row r="253" spans="2:21" hidden="1" x14ac:dyDescent="0.3">
      <c r="B253" s="575"/>
      <c r="C253" s="644"/>
      <c r="D253" s="644" t="s">
        <v>532</v>
      </c>
      <c r="E253" s="644"/>
      <c r="F253" s="644"/>
      <c r="G253" s="488">
        <f>SUM(I247:Q250)/(-SUM(H247:H249)-I248)</f>
        <v>7.9514956117186619E-2</v>
      </c>
      <c r="I253" s="560"/>
      <c r="J253" s="560"/>
      <c r="K253" s="560"/>
      <c r="T253" s="576"/>
    </row>
    <row r="254" spans="2:21" hidden="1" x14ac:dyDescent="0.3">
      <c r="B254" s="575"/>
      <c r="T254" s="576"/>
    </row>
    <row r="255" spans="2:21" hidden="1" x14ac:dyDescent="0.3">
      <c r="B255" s="575"/>
      <c r="D255" s="646" t="s">
        <v>253</v>
      </c>
      <c r="E255" s="571" t="s">
        <v>530</v>
      </c>
      <c r="T255" s="576"/>
    </row>
    <row r="256" spans="2:21" hidden="1" x14ac:dyDescent="0.3">
      <c r="B256" s="575"/>
      <c r="D256" s="646" t="s">
        <v>533</v>
      </c>
      <c r="E256" s="571" t="s">
        <v>534</v>
      </c>
      <c r="T256" s="576"/>
    </row>
    <row r="257" spans="2:20" ht="14.4" hidden="1" thickBot="1" x14ac:dyDescent="0.35">
      <c r="B257" s="647"/>
      <c r="C257" s="648"/>
      <c r="D257" s="648"/>
      <c r="E257" s="648"/>
      <c r="F257" s="648"/>
      <c r="G257" s="648"/>
      <c r="H257" s="648"/>
      <c r="I257" s="648"/>
      <c r="J257" s="648"/>
      <c r="K257" s="648"/>
      <c r="L257" s="648"/>
      <c r="M257" s="648"/>
      <c r="N257" s="648"/>
      <c r="O257" s="648"/>
      <c r="P257" s="648"/>
      <c r="Q257" s="648"/>
      <c r="R257" s="648"/>
      <c r="S257" s="648"/>
      <c r="T257" s="649"/>
    </row>
    <row r="258" spans="2:20" ht="14.4" hidden="1" thickTop="1" x14ac:dyDescent="0.3"/>
    <row r="259" spans="2:20" hidden="1" x14ac:dyDescent="0.3"/>
    <row r="260" spans="2:20" hidden="1" x14ac:dyDescent="0.3"/>
  </sheetData>
  <mergeCells count="7">
    <mergeCell ref="J223:N223"/>
    <mergeCell ref="O3:S3"/>
    <mergeCell ref="C3:H3"/>
    <mergeCell ref="C24:H24"/>
    <mergeCell ref="J3:M3"/>
    <mergeCell ref="J12:M12"/>
    <mergeCell ref="J20:S20"/>
  </mergeCells>
  <phoneticPr fontId="13" type="noConversion"/>
  <printOptions horizontalCentered="1" headings="1"/>
  <pageMargins left="0.3" right="0.3" top="1" bottom="0.5" header="0.5" footer="0.25"/>
  <pageSetup paperSize="5" scale="70" fitToHeight="3" orientation="landscape" r:id="rId1"/>
  <headerFooter scaleWithDoc="0">
    <oddHeader>&amp;C&amp;"Arial,Bold"&amp;12 2400 Enfield Road
Preliminary Proforma</oddHeader>
  </headerFooter>
  <rowBreaks count="1" manualBreakCount="1">
    <brk id="108" max="18" man="1"/>
  </rowBreaks>
  <ignoredErrors>
    <ignoredError sqref="Q251:R251 J75:J103 J127:R127 J147:R147 J68:J70 J67:S67 K68:S70" formulaRange="1"/>
    <ignoredError sqref="G112 S127 R225" formula="1"/>
    <ignoredError sqref="S28" numberStoredAsText="1"/>
  </ignoredErrors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56F859-6467-4B64-BB1E-FA52B031A67E}">
  <dimension ref="B3:E9"/>
  <sheetViews>
    <sheetView workbookViewId="0"/>
  </sheetViews>
  <sheetFormatPr defaultColWidth="9.109375" defaultRowHeight="13.8" x14ac:dyDescent="0.3"/>
  <cols>
    <col min="1" max="1" width="1.77734375" style="543" customWidth="1"/>
    <col min="2" max="4" width="9.109375" style="543"/>
    <col min="5" max="5" width="13.5546875" style="543" bestFit="1" customWidth="1"/>
    <col min="6" max="16384" width="9.109375" style="543"/>
  </cols>
  <sheetData>
    <row r="3" spans="2:5" x14ac:dyDescent="0.3">
      <c r="B3" s="543" t="s">
        <v>919</v>
      </c>
      <c r="E3" s="678">
        <v>1888209.85</v>
      </c>
    </row>
    <row r="5" spans="2:5" x14ac:dyDescent="0.3">
      <c r="B5" s="543" t="s">
        <v>917</v>
      </c>
      <c r="E5" s="546">
        <f>'Members Capital'!H15</f>
        <v>1101000</v>
      </c>
    </row>
    <row r="6" spans="2:5" x14ac:dyDescent="0.3">
      <c r="B6" s="676" t="s">
        <v>916</v>
      </c>
      <c r="C6" s="676"/>
      <c r="D6" s="676"/>
      <c r="E6" s="951"/>
    </row>
    <row r="7" spans="2:5" x14ac:dyDescent="0.3">
      <c r="B7" s="543" t="s">
        <v>252</v>
      </c>
      <c r="E7" s="546">
        <f>E5+E6</f>
        <v>1101000</v>
      </c>
    </row>
    <row r="9" spans="2:5" x14ac:dyDescent="0.3">
      <c r="B9" s="543" t="s">
        <v>918</v>
      </c>
    </row>
  </sheetData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1F2336-C728-46D4-95A9-06D13EAD7CFD}">
  <dimension ref="A1:DK22"/>
  <sheetViews>
    <sheetView workbookViewId="0">
      <selection activeCell="I33" sqref="I33"/>
    </sheetView>
  </sheetViews>
  <sheetFormatPr defaultColWidth="8.77734375" defaultRowHeight="13.8" x14ac:dyDescent="0.3"/>
  <cols>
    <col min="1" max="1" width="8.77734375" style="323"/>
    <col min="2" max="2" width="18.21875" style="323" bestFit="1" customWidth="1"/>
    <col min="3" max="3" width="8.77734375" style="323"/>
    <col min="4" max="5" width="6.44140625" style="323" bestFit="1" customWidth="1"/>
    <col min="6" max="7" width="9.5546875" style="323" bestFit="1" customWidth="1"/>
    <col min="8" max="8" width="9.88671875" style="323" bestFit="1" customWidth="1"/>
    <col min="9" max="12" width="9.5546875" style="323" bestFit="1" customWidth="1"/>
    <col min="13" max="13" width="11" style="323" bestFit="1" customWidth="1"/>
    <col min="14" max="19" width="6.44140625" style="323" bestFit="1" customWidth="1"/>
    <col min="20" max="20" width="9.88671875" style="323" bestFit="1" customWidth="1"/>
    <col min="21" max="21" width="7.44140625" style="323" bestFit="1" customWidth="1"/>
    <col min="22" max="22" width="9.44140625" style="323" bestFit="1" customWidth="1"/>
    <col min="23" max="23" width="9.109375" style="323" bestFit="1" customWidth="1"/>
    <col min="24" max="24" width="6.88671875" style="323" bestFit="1" customWidth="1"/>
    <col min="25" max="25" width="8" style="323" bestFit="1" customWidth="1"/>
    <col min="26" max="31" width="6.44140625" style="323" bestFit="1" customWidth="1"/>
    <col min="32" max="32" width="9.88671875" style="323" bestFit="1" customWidth="1"/>
    <col min="33" max="33" width="7.44140625" style="323" bestFit="1" customWidth="1"/>
    <col min="34" max="34" width="9.44140625" style="323" bestFit="1" customWidth="1"/>
    <col min="35" max="35" width="9.109375" style="323" bestFit="1" customWidth="1"/>
    <col min="36" max="36" width="6.88671875" style="323" bestFit="1" customWidth="1"/>
    <col min="37" max="37" width="8" style="323" bestFit="1" customWidth="1"/>
    <col min="38" max="38" width="6.44140625" style="323" bestFit="1" customWidth="1"/>
    <col min="39" max="39" width="9.5546875" style="323" bestFit="1" customWidth="1"/>
    <col min="40" max="40" width="7.5546875" style="323" bestFit="1" customWidth="1"/>
    <col min="41" max="43" width="8.5546875" style="323" bestFit="1" customWidth="1"/>
    <col min="44" max="44" width="9.88671875" style="323" bestFit="1" customWidth="1"/>
    <col min="45" max="45" width="8.5546875" style="323" bestFit="1" customWidth="1"/>
    <col min="46" max="46" width="9.44140625" style="323" bestFit="1" customWidth="1"/>
    <col min="47" max="47" width="9.109375" style="323" bestFit="1" customWidth="1"/>
    <col min="48" max="48" width="6.88671875" style="323" bestFit="1" customWidth="1"/>
    <col min="49" max="49" width="8" style="323" bestFit="1" customWidth="1"/>
    <col min="50" max="50" width="6.44140625" style="323" bestFit="1" customWidth="1"/>
    <col min="51" max="51" width="9.5546875" style="323" bestFit="1" customWidth="1"/>
    <col min="52" max="53" width="7.5546875" style="323" bestFit="1" customWidth="1"/>
    <col min="54" max="55" width="8.5546875" style="323" bestFit="1" customWidth="1"/>
    <col min="56" max="56" width="9.88671875" style="323" bestFit="1" customWidth="1"/>
    <col min="57" max="57" width="7.5546875" style="323" bestFit="1" customWidth="1"/>
    <col min="58" max="58" width="9.44140625" style="323" bestFit="1" customWidth="1"/>
    <col min="59" max="59" width="9.109375" style="323" bestFit="1" customWidth="1"/>
    <col min="60" max="60" width="6.88671875" style="323" bestFit="1" customWidth="1"/>
    <col min="61" max="61" width="8" style="323" bestFit="1" customWidth="1"/>
    <col min="62" max="62" width="6.44140625" style="323" bestFit="1" customWidth="1"/>
    <col min="63" max="63" width="8.5546875" style="323" bestFit="1" customWidth="1"/>
    <col min="64" max="65" width="7.5546875" style="323" bestFit="1" customWidth="1"/>
    <col min="66" max="67" width="8.5546875" style="323" bestFit="1" customWidth="1"/>
    <col min="68" max="68" width="9.88671875" style="323" bestFit="1" customWidth="1"/>
    <col min="69" max="69" width="8.5546875" style="323" bestFit="1" customWidth="1"/>
    <col min="70" max="70" width="9.44140625" style="323" bestFit="1" customWidth="1"/>
    <col min="71" max="71" width="9.109375" style="323" bestFit="1" customWidth="1"/>
    <col min="72" max="72" width="6.88671875" style="323" bestFit="1" customWidth="1"/>
    <col min="73" max="73" width="8" style="323" bestFit="1" customWidth="1"/>
    <col min="74" max="74" width="6.44140625" style="323" bestFit="1" customWidth="1"/>
    <col min="75" max="75" width="8.5546875" style="323" bestFit="1" customWidth="1"/>
    <col min="76" max="76" width="7.5546875" style="323" bestFit="1" customWidth="1"/>
    <col min="77" max="79" width="8.5546875" style="323" bestFit="1" customWidth="1"/>
    <col min="80" max="80" width="9.88671875" style="323" bestFit="1" customWidth="1"/>
    <col min="81" max="81" width="8.5546875" style="323" bestFit="1" customWidth="1"/>
    <col min="82" max="82" width="9.44140625" style="323" bestFit="1" customWidth="1"/>
    <col min="83" max="83" width="9.109375" style="323" bestFit="1" customWidth="1"/>
    <col min="84" max="84" width="6.88671875" style="323" bestFit="1" customWidth="1"/>
    <col min="85" max="85" width="8" style="323" bestFit="1" customWidth="1"/>
    <col min="86" max="86" width="6.44140625" style="323" bestFit="1" customWidth="1"/>
    <col min="87" max="91" width="8.5546875" style="323" bestFit="1" customWidth="1"/>
    <col min="92" max="92" width="9.88671875" style="323" bestFit="1" customWidth="1"/>
    <col min="93" max="93" width="8.5546875" style="323" bestFit="1" customWidth="1"/>
    <col min="94" max="94" width="9.44140625" style="323" bestFit="1" customWidth="1"/>
    <col min="95" max="95" width="9.109375" style="323" bestFit="1" customWidth="1"/>
    <col min="96" max="96" width="6.88671875" style="323" bestFit="1" customWidth="1"/>
    <col min="97" max="97" width="8" style="323" bestFit="1" customWidth="1"/>
    <col min="98" max="98" width="6.44140625" style="323" bestFit="1" customWidth="1"/>
    <col min="99" max="103" width="8.5546875" style="323" bestFit="1" customWidth="1"/>
    <col min="104" max="104" width="9.88671875" style="323" bestFit="1" customWidth="1"/>
    <col min="105" max="105" width="8.5546875" style="323" bestFit="1" customWidth="1"/>
    <col min="106" max="106" width="9.44140625" style="323" bestFit="1" customWidth="1"/>
    <col min="107" max="107" width="9.109375" style="323" bestFit="1" customWidth="1"/>
    <col min="108" max="108" width="6.88671875" style="323" bestFit="1" customWidth="1"/>
    <col min="109" max="109" width="8" style="323" bestFit="1" customWidth="1"/>
    <col min="110" max="111" width="8.5546875" style="323" bestFit="1" customWidth="1"/>
    <col min="112" max="112" width="8.77734375" style="323"/>
    <col min="113" max="113" width="11" style="323" bestFit="1" customWidth="1"/>
    <col min="114" max="16384" width="8.77734375" style="323"/>
  </cols>
  <sheetData>
    <row r="1" spans="1:115" ht="14.4" thickBot="1" x14ac:dyDescent="0.35"/>
    <row r="2" spans="1:115" ht="14.4" thickBot="1" x14ac:dyDescent="0.35">
      <c r="D2" s="1009" t="s">
        <v>133</v>
      </c>
      <c r="E2" s="1010"/>
      <c r="F2" s="1010"/>
      <c r="G2" s="1010"/>
      <c r="H2" s="1010"/>
      <c r="I2" s="1010"/>
      <c r="J2" s="1010"/>
      <c r="K2" s="1010"/>
      <c r="L2" s="1010"/>
      <c r="M2" s="1010"/>
      <c r="N2" s="1010"/>
      <c r="O2" s="1011"/>
      <c r="P2" s="1009" t="s">
        <v>672</v>
      </c>
      <c r="Q2" s="1010"/>
      <c r="R2" s="1010"/>
      <c r="S2" s="1010"/>
      <c r="T2" s="1010"/>
      <c r="U2" s="1010"/>
      <c r="V2" s="1010"/>
      <c r="W2" s="1010"/>
      <c r="X2" s="1010"/>
      <c r="Y2" s="1010"/>
      <c r="Z2" s="1010"/>
      <c r="AA2" s="1011"/>
      <c r="AB2" s="1009" t="s">
        <v>673</v>
      </c>
      <c r="AC2" s="1010"/>
      <c r="AD2" s="1010"/>
      <c r="AE2" s="1010"/>
      <c r="AF2" s="1010"/>
      <c r="AG2" s="1010"/>
      <c r="AH2" s="1010"/>
      <c r="AI2" s="1010"/>
      <c r="AJ2" s="1010"/>
      <c r="AK2" s="1010"/>
      <c r="AL2" s="1010"/>
      <c r="AM2" s="1011"/>
      <c r="AN2" s="1009" t="s">
        <v>674</v>
      </c>
      <c r="AO2" s="1010"/>
      <c r="AP2" s="1010"/>
      <c r="AQ2" s="1010"/>
      <c r="AR2" s="1010"/>
      <c r="AS2" s="1010"/>
      <c r="AT2" s="1010"/>
      <c r="AU2" s="1010"/>
      <c r="AV2" s="1010"/>
      <c r="AW2" s="1010"/>
      <c r="AX2" s="1010"/>
      <c r="AY2" s="1011"/>
      <c r="AZ2" s="1009" t="s">
        <v>675</v>
      </c>
      <c r="BA2" s="1010"/>
      <c r="BB2" s="1010"/>
      <c r="BC2" s="1010"/>
      <c r="BD2" s="1010"/>
      <c r="BE2" s="1010"/>
      <c r="BF2" s="1010"/>
      <c r="BG2" s="1010"/>
      <c r="BH2" s="1010"/>
      <c r="BI2" s="1010"/>
      <c r="BJ2" s="1010"/>
      <c r="BK2" s="1011"/>
      <c r="BL2" s="1009" t="s">
        <v>678</v>
      </c>
      <c r="BM2" s="1010"/>
      <c r="BN2" s="1010"/>
      <c r="BO2" s="1010"/>
      <c r="BP2" s="1010"/>
      <c r="BQ2" s="1010"/>
      <c r="BR2" s="1010"/>
      <c r="BS2" s="1010"/>
      <c r="BT2" s="1010"/>
      <c r="BU2" s="1010"/>
      <c r="BV2" s="1010"/>
      <c r="BW2" s="1011"/>
      <c r="BX2" s="1009" t="s">
        <v>679</v>
      </c>
      <c r="BY2" s="1010"/>
      <c r="BZ2" s="1010"/>
      <c r="CA2" s="1010"/>
      <c r="CB2" s="1010"/>
      <c r="CC2" s="1010"/>
      <c r="CD2" s="1010"/>
      <c r="CE2" s="1010"/>
      <c r="CF2" s="1010"/>
      <c r="CG2" s="1010"/>
      <c r="CH2" s="1010"/>
      <c r="CI2" s="1011"/>
      <c r="CJ2" s="1009" t="s">
        <v>698</v>
      </c>
      <c r="CK2" s="1010"/>
      <c r="CL2" s="1010"/>
      <c r="CM2" s="1010"/>
      <c r="CN2" s="1010"/>
      <c r="CO2" s="1010"/>
      <c r="CP2" s="1010"/>
      <c r="CQ2" s="1010"/>
      <c r="CR2" s="1010"/>
      <c r="CS2" s="1010"/>
      <c r="CT2" s="1010"/>
      <c r="CU2" s="1011"/>
      <c r="CV2" s="1009" t="s">
        <v>699</v>
      </c>
      <c r="CW2" s="1010"/>
      <c r="CX2" s="1010"/>
      <c r="CY2" s="1010"/>
      <c r="CZ2" s="1010"/>
      <c r="DA2" s="1010"/>
      <c r="DB2" s="1010"/>
      <c r="DC2" s="1010"/>
      <c r="DD2" s="1010"/>
      <c r="DE2" s="1010"/>
      <c r="DF2" s="1010"/>
      <c r="DG2" s="1011"/>
    </row>
    <row r="3" spans="1:115" x14ac:dyDescent="0.3">
      <c r="A3" s="336"/>
      <c r="D3" s="878">
        <f>Monthly!K4</f>
        <v>45413</v>
      </c>
      <c r="E3" s="878">
        <f>Monthly!L4</f>
        <v>45444</v>
      </c>
      <c r="F3" s="878">
        <f>Monthly!M4</f>
        <v>45474</v>
      </c>
      <c r="G3" s="878">
        <f>Monthly!N4</f>
        <v>45505</v>
      </c>
      <c r="H3" s="878">
        <f>Monthly!O4</f>
        <v>45536</v>
      </c>
      <c r="I3" s="878">
        <f>Monthly!P4</f>
        <v>45566</v>
      </c>
      <c r="J3" s="878">
        <f>Monthly!Q4</f>
        <v>45597</v>
      </c>
      <c r="K3" s="878">
        <f>Monthly!R4</f>
        <v>45627</v>
      </c>
      <c r="L3" s="878">
        <f>Monthly!S4</f>
        <v>45658</v>
      </c>
      <c r="M3" s="878">
        <f>Monthly!T4</f>
        <v>45689</v>
      </c>
      <c r="N3" s="878">
        <f>Monthly!U4</f>
        <v>45717</v>
      </c>
      <c r="O3" s="946">
        <f>Monthly!V4</f>
        <v>45748</v>
      </c>
      <c r="P3" s="878">
        <f>Monthly!W4</f>
        <v>45778</v>
      </c>
      <c r="Q3" s="878">
        <f>Monthly!X4</f>
        <v>45809</v>
      </c>
      <c r="R3" s="878">
        <f>Monthly!Y4</f>
        <v>45839</v>
      </c>
      <c r="S3" s="878">
        <f>Monthly!Z4</f>
        <v>45870</v>
      </c>
      <c r="T3" s="878">
        <f>Monthly!AA4</f>
        <v>45901</v>
      </c>
      <c r="U3" s="878">
        <f>Monthly!AB4</f>
        <v>45931</v>
      </c>
      <c r="V3" s="878">
        <f>Monthly!AC4</f>
        <v>45962</v>
      </c>
      <c r="W3" s="878">
        <f>Monthly!AD4</f>
        <v>45992</v>
      </c>
      <c r="X3" s="878">
        <f>Monthly!AE4</f>
        <v>46023</v>
      </c>
      <c r="Y3" s="878">
        <f>Monthly!AF4</f>
        <v>46054</v>
      </c>
      <c r="Z3" s="878">
        <f>Monthly!AG4</f>
        <v>46082</v>
      </c>
      <c r="AA3" s="946">
        <f>Monthly!AH4</f>
        <v>46113</v>
      </c>
      <c r="AB3" s="878">
        <f>Monthly!AI4</f>
        <v>46143</v>
      </c>
      <c r="AC3" s="878">
        <f>Monthly!AJ4</f>
        <v>46174</v>
      </c>
      <c r="AD3" s="878">
        <f>Monthly!AK4</f>
        <v>46204</v>
      </c>
      <c r="AE3" s="878">
        <f>Monthly!AL4</f>
        <v>46235</v>
      </c>
      <c r="AF3" s="878">
        <f>Monthly!AM4</f>
        <v>46266</v>
      </c>
      <c r="AG3" s="878">
        <f>Monthly!AN4</f>
        <v>46296</v>
      </c>
      <c r="AH3" s="878">
        <f>Monthly!AO4</f>
        <v>46327</v>
      </c>
      <c r="AI3" s="878">
        <f>Monthly!AP4</f>
        <v>46357</v>
      </c>
      <c r="AJ3" s="878">
        <f>Monthly!AQ4</f>
        <v>46388</v>
      </c>
      <c r="AK3" s="878">
        <f>Monthly!AR4</f>
        <v>46419</v>
      </c>
      <c r="AL3" s="878">
        <f>Monthly!AS4</f>
        <v>46447</v>
      </c>
      <c r="AM3" s="946">
        <f>Monthly!AT4</f>
        <v>46478</v>
      </c>
      <c r="AN3" s="878">
        <f>Monthly!AU4</f>
        <v>46508</v>
      </c>
      <c r="AO3" s="878">
        <f>Monthly!AV4</f>
        <v>46539</v>
      </c>
      <c r="AP3" s="878">
        <f>Monthly!AW4</f>
        <v>46569</v>
      </c>
      <c r="AQ3" s="878">
        <f>Monthly!AX4</f>
        <v>46600</v>
      </c>
      <c r="AR3" s="878">
        <f>Monthly!AY4</f>
        <v>46631</v>
      </c>
      <c r="AS3" s="878">
        <f>Monthly!AZ4</f>
        <v>46661</v>
      </c>
      <c r="AT3" s="878">
        <f>Monthly!BA4</f>
        <v>46692</v>
      </c>
      <c r="AU3" s="878">
        <f>Monthly!BB4</f>
        <v>46722</v>
      </c>
      <c r="AV3" s="878">
        <f>Monthly!BC4</f>
        <v>46753</v>
      </c>
      <c r="AW3" s="878">
        <f>Monthly!BD4</f>
        <v>46784</v>
      </c>
      <c r="AX3" s="878">
        <f>Monthly!BE4</f>
        <v>46813</v>
      </c>
      <c r="AY3" s="946">
        <f>Monthly!BF4</f>
        <v>46844</v>
      </c>
      <c r="AZ3" s="878">
        <f>Monthly!BG4</f>
        <v>46874</v>
      </c>
      <c r="BA3" s="878">
        <f>Monthly!BH4</f>
        <v>46905</v>
      </c>
      <c r="BB3" s="878">
        <f>Monthly!BI4</f>
        <v>46935</v>
      </c>
      <c r="BC3" s="878">
        <f>Monthly!BJ4</f>
        <v>46966</v>
      </c>
      <c r="BD3" s="878">
        <f>Monthly!BK4</f>
        <v>46997</v>
      </c>
      <c r="BE3" s="878">
        <f>Monthly!BL4</f>
        <v>47027</v>
      </c>
      <c r="BF3" s="878">
        <f>Monthly!BM4</f>
        <v>47058</v>
      </c>
      <c r="BG3" s="878">
        <f>Monthly!BN4</f>
        <v>47088</v>
      </c>
      <c r="BH3" s="878">
        <f>Monthly!BO4</f>
        <v>47119</v>
      </c>
      <c r="BI3" s="878">
        <f>Monthly!BP4</f>
        <v>47150</v>
      </c>
      <c r="BJ3" s="878">
        <f>Monthly!BQ4</f>
        <v>47178</v>
      </c>
      <c r="BK3" s="946">
        <f>Monthly!BR4</f>
        <v>47209</v>
      </c>
      <c r="BL3" s="878">
        <f>Monthly!BS4</f>
        <v>47239</v>
      </c>
      <c r="BM3" s="878">
        <f>Monthly!BT4</f>
        <v>47270</v>
      </c>
      <c r="BN3" s="878">
        <f>Monthly!BU4</f>
        <v>47300</v>
      </c>
      <c r="BO3" s="878">
        <f>Monthly!BV4</f>
        <v>47331</v>
      </c>
      <c r="BP3" s="878">
        <f>Monthly!BW4</f>
        <v>47362</v>
      </c>
      <c r="BQ3" s="878">
        <f>Monthly!BX4</f>
        <v>47392</v>
      </c>
      <c r="BR3" s="878">
        <f>Monthly!BY4</f>
        <v>47423</v>
      </c>
      <c r="BS3" s="878">
        <f>Monthly!BZ4</f>
        <v>47453</v>
      </c>
      <c r="BT3" s="878">
        <f>Monthly!CA4</f>
        <v>47484</v>
      </c>
      <c r="BU3" s="878">
        <f>Monthly!CB4</f>
        <v>47515</v>
      </c>
      <c r="BV3" s="878">
        <f>Monthly!CC4</f>
        <v>47543</v>
      </c>
      <c r="BW3" s="946">
        <f>Monthly!CD4</f>
        <v>47574</v>
      </c>
      <c r="BX3" s="878">
        <f>Monthly!CE4</f>
        <v>47604</v>
      </c>
      <c r="BY3" s="878">
        <f>Monthly!CF4</f>
        <v>47635</v>
      </c>
      <c r="BZ3" s="878">
        <f>Monthly!CG4</f>
        <v>47665</v>
      </c>
      <c r="CA3" s="878">
        <f>Monthly!CH4</f>
        <v>47696</v>
      </c>
      <c r="CB3" s="878">
        <f>Monthly!CI4</f>
        <v>47727</v>
      </c>
      <c r="CC3" s="878">
        <f>Monthly!CJ4</f>
        <v>47757</v>
      </c>
      <c r="CD3" s="878">
        <f>Monthly!CK4</f>
        <v>47788</v>
      </c>
      <c r="CE3" s="878">
        <f>Monthly!CL4</f>
        <v>47818</v>
      </c>
      <c r="CF3" s="878">
        <f>Monthly!CM4</f>
        <v>47849</v>
      </c>
      <c r="CG3" s="878">
        <f>Monthly!CN4</f>
        <v>47880</v>
      </c>
      <c r="CH3" s="878">
        <f>Monthly!CO4</f>
        <v>47908</v>
      </c>
      <c r="CI3" s="946">
        <f>Monthly!CP4</f>
        <v>47939</v>
      </c>
      <c r="CJ3" s="878">
        <f>Monthly!CQ4</f>
        <v>47969</v>
      </c>
      <c r="CK3" s="878">
        <f>Monthly!CR4</f>
        <v>48000</v>
      </c>
      <c r="CL3" s="878">
        <f>Monthly!CS4</f>
        <v>48030</v>
      </c>
      <c r="CM3" s="878">
        <f>Monthly!CT4</f>
        <v>48061</v>
      </c>
      <c r="CN3" s="878">
        <f>Monthly!CU4</f>
        <v>48092</v>
      </c>
      <c r="CO3" s="878">
        <f>Monthly!CV4</f>
        <v>48122</v>
      </c>
      <c r="CP3" s="878">
        <f>Monthly!CW4</f>
        <v>48153</v>
      </c>
      <c r="CQ3" s="878">
        <f>Monthly!CX4</f>
        <v>48183</v>
      </c>
      <c r="CR3" s="878">
        <f>Monthly!CY4</f>
        <v>48214</v>
      </c>
      <c r="CS3" s="878">
        <f>Monthly!CZ4</f>
        <v>48245</v>
      </c>
      <c r="CT3" s="878">
        <f>Monthly!DA4</f>
        <v>48274</v>
      </c>
      <c r="CU3" s="946">
        <f>Monthly!DB4</f>
        <v>48305</v>
      </c>
      <c r="CV3" s="878">
        <f>Monthly!DC4</f>
        <v>48335</v>
      </c>
      <c r="CW3" s="878">
        <f>Monthly!DD4</f>
        <v>48366</v>
      </c>
      <c r="CX3" s="878">
        <f>Monthly!DE4</f>
        <v>48396</v>
      </c>
      <c r="CY3" s="878">
        <f>Monthly!DF4</f>
        <v>48427</v>
      </c>
      <c r="CZ3" s="878">
        <f>Monthly!DG4</f>
        <v>48458</v>
      </c>
      <c r="DA3" s="878">
        <f>Monthly!DH4</f>
        <v>48488</v>
      </c>
      <c r="DB3" s="878">
        <f>Monthly!DI4</f>
        <v>48519</v>
      </c>
      <c r="DC3" s="878">
        <f>Monthly!DJ4</f>
        <v>48549</v>
      </c>
      <c r="DD3" s="878">
        <f>Monthly!DK4</f>
        <v>48580</v>
      </c>
      <c r="DE3" s="878">
        <f>Monthly!DL4</f>
        <v>48611</v>
      </c>
      <c r="DF3" s="878">
        <f>Monthly!DM4</f>
        <v>48639</v>
      </c>
      <c r="DG3" s="878">
        <f>Monthly!DN4</f>
        <v>48670</v>
      </c>
    </row>
    <row r="4" spans="1:115" ht="14.4" thickBot="1" x14ac:dyDescent="0.35">
      <c r="B4" s="327"/>
      <c r="C4" s="327"/>
      <c r="D4" s="326" t="s">
        <v>602</v>
      </c>
      <c r="E4" s="326" t="s">
        <v>603</v>
      </c>
      <c r="F4" s="326" t="s">
        <v>604</v>
      </c>
      <c r="G4" s="326" t="s">
        <v>605</v>
      </c>
      <c r="H4" s="326" t="s">
        <v>606</v>
      </c>
      <c r="I4" s="326" t="s">
        <v>607</v>
      </c>
      <c r="J4" s="326" t="s">
        <v>596</v>
      </c>
      <c r="K4" s="326" t="s">
        <v>597</v>
      </c>
      <c r="L4" s="326" t="s">
        <v>598</v>
      </c>
      <c r="M4" s="326" t="s">
        <v>599</v>
      </c>
      <c r="N4" s="326" t="s">
        <v>600</v>
      </c>
      <c r="O4" s="947" t="s">
        <v>601</v>
      </c>
      <c r="P4" s="326" t="s">
        <v>602</v>
      </c>
      <c r="Q4" s="326" t="s">
        <v>603</v>
      </c>
      <c r="R4" s="326" t="s">
        <v>604</v>
      </c>
      <c r="S4" s="326" t="s">
        <v>605</v>
      </c>
      <c r="T4" s="326" t="s">
        <v>606</v>
      </c>
      <c r="U4" s="326" t="s">
        <v>607</v>
      </c>
      <c r="V4" s="326" t="s">
        <v>596</v>
      </c>
      <c r="W4" s="326" t="s">
        <v>597</v>
      </c>
      <c r="X4" s="326" t="s">
        <v>598</v>
      </c>
      <c r="Y4" s="326" t="s">
        <v>599</v>
      </c>
      <c r="Z4" s="326" t="s">
        <v>600</v>
      </c>
      <c r="AA4" s="947" t="s">
        <v>601</v>
      </c>
      <c r="AB4" s="326" t="s">
        <v>602</v>
      </c>
      <c r="AC4" s="326" t="s">
        <v>603</v>
      </c>
      <c r="AD4" s="326" t="s">
        <v>604</v>
      </c>
      <c r="AE4" s="326" t="s">
        <v>605</v>
      </c>
      <c r="AF4" s="326" t="s">
        <v>606</v>
      </c>
      <c r="AG4" s="326" t="s">
        <v>607</v>
      </c>
      <c r="AH4" s="326" t="s">
        <v>596</v>
      </c>
      <c r="AI4" s="326" t="s">
        <v>597</v>
      </c>
      <c r="AJ4" s="326" t="s">
        <v>598</v>
      </c>
      <c r="AK4" s="326" t="s">
        <v>599</v>
      </c>
      <c r="AL4" s="326" t="s">
        <v>600</v>
      </c>
      <c r="AM4" s="947" t="s">
        <v>601</v>
      </c>
      <c r="AN4" s="326" t="s">
        <v>602</v>
      </c>
      <c r="AO4" s="326" t="s">
        <v>603</v>
      </c>
      <c r="AP4" s="326" t="s">
        <v>604</v>
      </c>
      <c r="AQ4" s="326" t="s">
        <v>605</v>
      </c>
      <c r="AR4" s="326" t="s">
        <v>606</v>
      </c>
      <c r="AS4" s="326" t="s">
        <v>607</v>
      </c>
      <c r="AT4" s="326" t="s">
        <v>596</v>
      </c>
      <c r="AU4" s="326" t="s">
        <v>597</v>
      </c>
      <c r="AV4" s="326" t="s">
        <v>598</v>
      </c>
      <c r="AW4" s="326" t="s">
        <v>599</v>
      </c>
      <c r="AX4" s="326" t="s">
        <v>600</v>
      </c>
      <c r="AY4" s="947" t="s">
        <v>601</v>
      </c>
      <c r="AZ4" s="326" t="s">
        <v>602</v>
      </c>
      <c r="BA4" s="326" t="s">
        <v>603</v>
      </c>
      <c r="BB4" s="326" t="s">
        <v>604</v>
      </c>
      <c r="BC4" s="326" t="s">
        <v>605</v>
      </c>
      <c r="BD4" s="326" t="s">
        <v>606</v>
      </c>
      <c r="BE4" s="326" t="s">
        <v>607</v>
      </c>
      <c r="BF4" s="326" t="s">
        <v>596</v>
      </c>
      <c r="BG4" s="326" t="s">
        <v>597</v>
      </c>
      <c r="BH4" s="326" t="s">
        <v>598</v>
      </c>
      <c r="BI4" s="326" t="s">
        <v>599</v>
      </c>
      <c r="BJ4" s="326" t="s">
        <v>600</v>
      </c>
      <c r="BK4" s="947" t="s">
        <v>601</v>
      </c>
      <c r="BL4" s="326" t="s">
        <v>602</v>
      </c>
      <c r="BM4" s="326" t="s">
        <v>603</v>
      </c>
      <c r="BN4" s="326" t="s">
        <v>604</v>
      </c>
      <c r="BO4" s="326" t="s">
        <v>605</v>
      </c>
      <c r="BP4" s="326" t="s">
        <v>606</v>
      </c>
      <c r="BQ4" s="326" t="s">
        <v>607</v>
      </c>
      <c r="BR4" s="326" t="s">
        <v>596</v>
      </c>
      <c r="BS4" s="326" t="s">
        <v>597</v>
      </c>
      <c r="BT4" s="326" t="s">
        <v>598</v>
      </c>
      <c r="BU4" s="326" t="s">
        <v>599</v>
      </c>
      <c r="BV4" s="326" t="s">
        <v>600</v>
      </c>
      <c r="BW4" s="947" t="s">
        <v>601</v>
      </c>
      <c r="BX4" s="326" t="s">
        <v>602</v>
      </c>
      <c r="BY4" s="326" t="s">
        <v>603</v>
      </c>
      <c r="BZ4" s="326" t="s">
        <v>604</v>
      </c>
      <c r="CA4" s="326" t="s">
        <v>605</v>
      </c>
      <c r="CB4" s="326" t="s">
        <v>606</v>
      </c>
      <c r="CC4" s="326" t="s">
        <v>607</v>
      </c>
      <c r="CD4" s="326" t="s">
        <v>596</v>
      </c>
      <c r="CE4" s="326" t="s">
        <v>597</v>
      </c>
      <c r="CF4" s="326" t="s">
        <v>598</v>
      </c>
      <c r="CG4" s="326" t="s">
        <v>599</v>
      </c>
      <c r="CH4" s="326" t="s">
        <v>600</v>
      </c>
      <c r="CI4" s="947" t="s">
        <v>601</v>
      </c>
      <c r="CJ4" s="326" t="s">
        <v>602</v>
      </c>
      <c r="CK4" s="326" t="s">
        <v>603</v>
      </c>
      <c r="CL4" s="326" t="s">
        <v>604</v>
      </c>
      <c r="CM4" s="326" t="s">
        <v>605</v>
      </c>
      <c r="CN4" s="326" t="s">
        <v>606</v>
      </c>
      <c r="CO4" s="326" t="s">
        <v>607</v>
      </c>
      <c r="CP4" s="326" t="s">
        <v>596</v>
      </c>
      <c r="CQ4" s="326" t="s">
        <v>597</v>
      </c>
      <c r="CR4" s="326" t="s">
        <v>598</v>
      </c>
      <c r="CS4" s="326" t="s">
        <v>599</v>
      </c>
      <c r="CT4" s="326" t="s">
        <v>600</v>
      </c>
      <c r="CU4" s="947" t="s">
        <v>601</v>
      </c>
      <c r="CV4" s="326" t="s">
        <v>602</v>
      </c>
      <c r="CW4" s="326" t="s">
        <v>603</v>
      </c>
      <c r="CX4" s="326" t="s">
        <v>604</v>
      </c>
      <c r="CY4" s="326" t="s">
        <v>605</v>
      </c>
      <c r="CZ4" s="326" t="s">
        <v>606</v>
      </c>
      <c r="DA4" s="326" t="s">
        <v>607</v>
      </c>
      <c r="DB4" s="326" t="s">
        <v>596</v>
      </c>
      <c r="DC4" s="326" t="s">
        <v>597</v>
      </c>
      <c r="DD4" s="326" t="s">
        <v>598</v>
      </c>
      <c r="DE4" s="326" t="s">
        <v>599</v>
      </c>
      <c r="DF4" s="326" t="s">
        <v>600</v>
      </c>
      <c r="DG4" s="326" t="s">
        <v>601</v>
      </c>
      <c r="DH4" s="327"/>
      <c r="DI4" s="830" t="s">
        <v>117</v>
      </c>
    </row>
    <row r="5" spans="1:115" x14ac:dyDescent="0.3">
      <c r="B5" s="832" t="s">
        <v>794</v>
      </c>
      <c r="C5" s="827"/>
      <c r="D5" s="828">
        <v>1</v>
      </c>
      <c r="E5" s="828">
        <v>2</v>
      </c>
      <c r="F5" s="828">
        <v>3</v>
      </c>
      <c r="G5" s="828">
        <v>4</v>
      </c>
      <c r="H5" s="828">
        <v>5</v>
      </c>
      <c r="I5" s="828">
        <v>6</v>
      </c>
      <c r="J5" s="828">
        <v>7</v>
      </c>
      <c r="K5" s="828">
        <v>8</v>
      </c>
      <c r="L5" s="828">
        <v>9</v>
      </c>
      <c r="M5" s="828">
        <v>10</v>
      </c>
      <c r="N5" s="828">
        <v>11</v>
      </c>
      <c r="O5" s="948">
        <v>12</v>
      </c>
      <c r="P5" s="828">
        <v>13</v>
      </c>
      <c r="Q5" s="828">
        <v>14</v>
      </c>
      <c r="R5" s="828">
        <v>15</v>
      </c>
      <c r="S5" s="828">
        <v>16</v>
      </c>
      <c r="T5" s="828">
        <v>17</v>
      </c>
      <c r="U5" s="828">
        <v>18</v>
      </c>
      <c r="V5" s="828">
        <v>19</v>
      </c>
      <c r="W5" s="828">
        <v>20</v>
      </c>
      <c r="X5" s="828">
        <v>21</v>
      </c>
      <c r="Y5" s="828">
        <v>22</v>
      </c>
      <c r="Z5" s="828">
        <v>23</v>
      </c>
      <c r="AA5" s="948">
        <v>24</v>
      </c>
      <c r="AB5" s="828">
        <v>25</v>
      </c>
      <c r="AC5" s="828">
        <v>26</v>
      </c>
      <c r="AD5" s="828">
        <v>27</v>
      </c>
      <c r="AE5" s="828">
        <v>28</v>
      </c>
      <c r="AF5" s="828">
        <v>29</v>
      </c>
      <c r="AG5" s="828">
        <v>30</v>
      </c>
      <c r="AH5" s="828">
        <v>31</v>
      </c>
      <c r="AI5" s="828">
        <v>32</v>
      </c>
      <c r="AJ5" s="828">
        <v>33</v>
      </c>
      <c r="AK5" s="828">
        <v>34</v>
      </c>
      <c r="AL5" s="828">
        <v>35</v>
      </c>
      <c r="AM5" s="948">
        <v>36</v>
      </c>
      <c r="AN5" s="828">
        <v>37</v>
      </c>
      <c r="AO5" s="828">
        <v>38</v>
      </c>
      <c r="AP5" s="828">
        <v>39</v>
      </c>
      <c r="AQ5" s="828">
        <v>40</v>
      </c>
      <c r="AR5" s="828">
        <v>41</v>
      </c>
      <c r="AS5" s="828">
        <v>42</v>
      </c>
      <c r="AT5" s="828">
        <v>43</v>
      </c>
      <c r="AU5" s="828">
        <v>44</v>
      </c>
      <c r="AV5" s="828">
        <v>45</v>
      </c>
      <c r="AW5" s="828">
        <v>46</v>
      </c>
      <c r="AX5" s="828">
        <v>47</v>
      </c>
      <c r="AY5" s="948">
        <v>48</v>
      </c>
      <c r="AZ5" s="828">
        <v>49</v>
      </c>
      <c r="BA5" s="828">
        <v>50</v>
      </c>
      <c r="BB5" s="828">
        <v>51</v>
      </c>
      <c r="BC5" s="828">
        <v>52</v>
      </c>
      <c r="BD5" s="828">
        <v>53</v>
      </c>
      <c r="BE5" s="828">
        <v>54</v>
      </c>
      <c r="BF5" s="828">
        <v>55</v>
      </c>
      <c r="BG5" s="828">
        <v>56</v>
      </c>
      <c r="BH5" s="828">
        <v>57</v>
      </c>
      <c r="BI5" s="828">
        <v>58</v>
      </c>
      <c r="BJ5" s="828">
        <v>59</v>
      </c>
      <c r="BK5" s="948">
        <v>60</v>
      </c>
      <c r="BL5" s="828">
        <v>61</v>
      </c>
      <c r="BM5" s="828">
        <v>62</v>
      </c>
      <c r="BN5" s="828">
        <v>63</v>
      </c>
      <c r="BO5" s="828">
        <v>64</v>
      </c>
      <c r="BP5" s="828">
        <v>65</v>
      </c>
      <c r="BQ5" s="828">
        <v>66</v>
      </c>
      <c r="BR5" s="828">
        <v>67</v>
      </c>
      <c r="BS5" s="828">
        <v>68</v>
      </c>
      <c r="BT5" s="828">
        <v>69</v>
      </c>
      <c r="BU5" s="828">
        <v>70</v>
      </c>
      <c r="BV5" s="828">
        <v>71</v>
      </c>
      <c r="BW5" s="948">
        <v>72</v>
      </c>
      <c r="BX5" s="828">
        <v>73</v>
      </c>
      <c r="BY5" s="828">
        <v>74</v>
      </c>
      <c r="BZ5" s="828">
        <v>75</v>
      </c>
      <c r="CA5" s="828">
        <v>76</v>
      </c>
      <c r="CB5" s="828">
        <v>77</v>
      </c>
      <c r="CC5" s="828">
        <v>78</v>
      </c>
      <c r="CD5" s="828">
        <v>79</v>
      </c>
      <c r="CE5" s="828">
        <v>80</v>
      </c>
      <c r="CF5" s="828">
        <v>81</v>
      </c>
      <c r="CG5" s="828">
        <v>82</v>
      </c>
      <c r="CH5" s="828">
        <v>83</v>
      </c>
      <c r="CI5" s="948">
        <v>84</v>
      </c>
      <c r="CJ5" s="828">
        <v>85</v>
      </c>
      <c r="CK5" s="828">
        <v>86</v>
      </c>
      <c r="CL5" s="828">
        <v>87</v>
      </c>
      <c r="CM5" s="828">
        <v>88</v>
      </c>
      <c r="CN5" s="828">
        <v>89</v>
      </c>
      <c r="CO5" s="828">
        <v>90</v>
      </c>
      <c r="CP5" s="828">
        <v>91</v>
      </c>
      <c r="CQ5" s="828">
        <v>92</v>
      </c>
      <c r="CR5" s="828">
        <v>93</v>
      </c>
      <c r="CS5" s="828">
        <v>94</v>
      </c>
      <c r="CT5" s="828">
        <v>95</v>
      </c>
      <c r="CU5" s="948">
        <v>96</v>
      </c>
      <c r="CV5" s="828">
        <v>97</v>
      </c>
      <c r="CW5" s="828">
        <v>98</v>
      </c>
      <c r="CX5" s="828">
        <v>99</v>
      </c>
      <c r="CY5" s="828">
        <v>100</v>
      </c>
      <c r="CZ5" s="828">
        <v>101</v>
      </c>
      <c r="DA5" s="828">
        <v>102</v>
      </c>
      <c r="DB5" s="828">
        <v>103</v>
      </c>
      <c r="DC5" s="828">
        <v>104</v>
      </c>
      <c r="DD5" s="828">
        <v>105</v>
      </c>
      <c r="DE5" s="828">
        <v>106</v>
      </c>
      <c r="DF5" s="828">
        <v>107</v>
      </c>
      <c r="DG5" s="828">
        <v>108</v>
      </c>
      <c r="DH5" s="827"/>
      <c r="DI5" s="829"/>
    </row>
    <row r="6" spans="1:115" x14ac:dyDescent="0.3">
      <c r="B6" s="456" t="s">
        <v>785</v>
      </c>
      <c r="D6" s="340">
        <f>Balances!I93+Balances!I99+Balances!I102</f>
        <v>0</v>
      </c>
      <c r="E6" s="340">
        <f>Balances!J93+Balances!J99+Balances!J102</f>
        <v>0</v>
      </c>
      <c r="F6" s="340">
        <f>Balances!K93+Balances!K99+Balances!K102</f>
        <v>0</v>
      </c>
      <c r="G6" s="340">
        <f>Balances!L93+Balances!L99+Balances!L102</f>
        <v>0</v>
      </c>
      <c r="H6" s="340">
        <f>Balances!M93+Balances!M99+Balances!M102</f>
        <v>0</v>
      </c>
      <c r="I6" s="340">
        <f>Balances!N93+Balances!N99+Balances!N102</f>
        <v>0</v>
      </c>
      <c r="J6" s="340">
        <f>Balances!O93+Balances!O99+Balances!O102</f>
        <v>0</v>
      </c>
      <c r="K6" s="340">
        <f>Balances!P93+Balances!P99+Balances!P102</f>
        <v>0</v>
      </c>
      <c r="L6" s="340">
        <f>Balances!Q93+Balances!Q99+Balances!Q102</f>
        <v>0</v>
      </c>
      <c r="M6" s="340">
        <f>Balances!R93+Balances!R99+Balances!R102</f>
        <v>0</v>
      </c>
      <c r="N6" s="340">
        <f>Balances!S93+Balances!S99+Balances!S102</f>
        <v>0</v>
      </c>
      <c r="O6" s="562">
        <f>Balances!T93+Balances!T99+Balances!T102</f>
        <v>0</v>
      </c>
      <c r="P6" s="340">
        <f>Balances!U93+Balances!U99+Balances!U102</f>
        <v>0</v>
      </c>
      <c r="Q6" s="340">
        <f>Balances!V93+Balances!V99+Balances!V102</f>
        <v>0</v>
      </c>
      <c r="R6" s="340">
        <f>Balances!W93+Balances!W99+Balances!W102</f>
        <v>0</v>
      </c>
      <c r="S6" s="340">
        <f>Balances!X93+Balances!X99+Balances!X102</f>
        <v>0</v>
      </c>
      <c r="T6" s="340">
        <f>Balances!Y93+Balances!Y99+Balances!Y102</f>
        <v>0</v>
      </c>
      <c r="U6" s="340">
        <f>Balances!Z93+Balances!Z99+Balances!Z102</f>
        <v>0</v>
      </c>
      <c r="V6" s="340">
        <f>Balances!AA93+Balances!AA99+Balances!AA102</f>
        <v>0</v>
      </c>
      <c r="W6" s="340">
        <f>Balances!AB93+Balances!AB99+Balances!AB102</f>
        <v>0</v>
      </c>
      <c r="X6" s="340">
        <f>Balances!AC93+Balances!AC99+Balances!AC102</f>
        <v>0</v>
      </c>
      <c r="Y6" s="340">
        <f>Balances!AD93+Balances!AD99+Balances!AD102</f>
        <v>0</v>
      </c>
      <c r="Z6" s="340">
        <f>Balances!AE93+Balances!AE99+Balances!AE102</f>
        <v>0</v>
      </c>
      <c r="AA6" s="562">
        <f>Balances!AF93+Balances!AF99+Balances!AF102</f>
        <v>0</v>
      </c>
      <c r="AB6" s="340">
        <f>Balances!AG93+Balances!AG99+Balances!AG102</f>
        <v>0</v>
      </c>
      <c r="AC6" s="340">
        <f>Balances!AH93+Balances!AH99+Balances!AH102</f>
        <v>0</v>
      </c>
      <c r="AD6" s="340">
        <f>Balances!AI93+Balances!AI99+Balances!AI102</f>
        <v>0</v>
      </c>
      <c r="AE6" s="340">
        <f>Balances!AJ93+Balances!AJ99+Balances!AJ102</f>
        <v>0</v>
      </c>
      <c r="AF6" s="340">
        <f>Balances!AK93+Balances!AK99+Balances!AK102</f>
        <v>0</v>
      </c>
      <c r="AG6" s="340">
        <f>Balances!AL93+Balances!AL99+Balances!AL102</f>
        <v>0</v>
      </c>
      <c r="AH6" s="340">
        <f>Balances!AM93+Balances!AM99+Balances!AM102</f>
        <v>0</v>
      </c>
      <c r="AI6" s="340">
        <f>Balances!AN93+Balances!AN99+Balances!AN102</f>
        <v>0</v>
      </c>
      <c r="AJ6" s="340">
        <f>Balances!AO93+Balances!AO99+Balances!AO102</f>
        <v>0</v>
      </c>
      <c r="AK6" s="340">
        <f>Balances!AP93+Balances!AP99+Balances!AP102</f>
        <v>0</v>
      </c>
      <c r="AL6" s="340">
        <f>Balances!AQ93+Balances!AQ99+Balances!AQ102</f>
        <v>0</v>
      </c>
      <c r="AM6" s="562">
        <f>Balances!AR93+Balances!AR99+Balances!AR102</f>
        <v>0</v>
      </c>
      <c r="AN6" s="340">
        <f>Balances!AS93+Balances!AS99+Balances!AS102</f>
        <v>0</v>
      </c>
      <c r="AO6" s="340">
        <f>Balances!AT93+Balances!AT99+Balances!AT102</f>
        <v>0</v>
      </c>
      <c r="AP6" s="340">
        <f>Balances!AU93+Balances!AU99+Balances!AU102</f>
        <v>0</v>
      </c>
      <c r="AQ6" s="340">
        <f>Balances!AV93+Balances!AV99+Balances!AV102</f>
        <v>0</v>
      </c>
      <c r="AR6" s="340">
        <f>Balances!AW93+Balances!AW99+Balances!AW102</f>
        <v>0</v>
      </c>
      <c r="AS6" s="340">
        <f>Balances!AX93+Balances!AX99+Balances!AX102</f>
        <v>0</v>
      </c>
      <c r="AT6" s="340">
        <f>Balances!AY93+Balances!AY99+Balances!AY102</f>
        <v>0</v>
      </c>
      <c r="AU6" s="340">
        <f>Balances!AZ93+Balances!AZ99+Balances!AZ102</f>
        <v>0</v>
      </c>
      <c r="AV6" s="340">
        <f>Balances!BA93+Balances!BA99+Balances!BA102</f>
        <v>0</v>
      </c>
      <c r="AW6" s="340">
        <f>Balances!BB93+Balances!BB99+Balances!BB102</f>
        <v>0</v>
      </c>
      <c r="AX6" s="340">
        <f>Balances!BC93+Balances!BC99+Balances!BC102</f>
        <v>0</v>
      </c>
      <c r="AY6" s="562">
        <f>Balances!BD93+Balances!BD99+Balances!BD102</f>
        <v>0</v>
      </c>
      <c r="AZ6" s="340">
        <f>Balances!BE93+Balances!BE99+Balances!BE102</f>
        <v>0</v>
      </c>
      <c r="BA6" s="340">
        <f>Balances!BF93+Balances!BF99+Balances!BF102</f>
        <v>0</v>
      </c>
      <c r="BB6" s="340">
        <f>Balances!BG93+Balances!BG99+Balances!BG102</f>
        <v>0</v>
      </c>
      <c r="BC6" s="340">
        <f>Balances!BH93+Balances!BH99+Balances!BH102</f>
        <v>0</v>
      </c>
      <c r="BD6" s="340">
        <f>Balances!BI93+Balances!BI99+Balances!BI102</f>
        <v>0</v>
      </c>
      <c r="BE6" s="340">
        <f>Balances!BJ93+Balances!BJ99+Balances!BJ102</f>
        <v>0</v>
      </c>
      <c r="BF6" s="340">
        <f>Balances!BK93+Balances!BK99+Balances!BK102</f>
        <v>0</v>
      </c>
      <c r="BG6" s="340">
        <f>Balances!BL93+Balances!BL99+Balances!BL102</f>
        <v>0</v>
      </c>
      <c r="BH6" s="340">
        <f>Balances!BM93+Balances!BM99+Balances!BM102</f>
        <v>0</v>
      </c>
      <c r="BI6" s="340">
        <f>Balances!BN93+Balances!BN99+Balances!BN102</f>
        <v>0</v>
      </c>
      <c r="BJ6" s="340">
        <f>Balances!BO93+Balances!BO99+Balances!BO102</f>
        <v>0</v>
      </c>
      <c r="BK6" s="562">
        <f>Balances!BP93+Balances!BP99+Balances!BP102</f>
        <v>0</v>
      </c>
      <c r="BL6" s="340">
        <f>Balances!BQ93+Balances!BQ99+Balances!BQ102</f>
        <v>0</v>
      </c>
      <c r="BM6" s="340">
        <f>Balances!BR93+Balances!BR99+Balances!BR102</f>
        <v>0</v>
      </c>
      <c r="BN6" s="340">
        <f>Balances!BS93+Balances!BS99+Balances!BS102</f>
        <v>0</v>
      </c>
      <c r="BO6" s="340">
        <f>Balances!BT93+Balances!BT99+Balances!BT102</f>
        <v>0</v>
      </c>
      <c r="BP6" s="340">
        <f>Balances!BU93+Balances!BU99+Balances!BU102</f>
        <v>0</v>
      </c>
      <c r="BQ6" s="340">
        <f>Balances!BV93+Balances!BV99+Balances!BV102</f>
        <v>0</v>
      </c>
      <c r="BR6" s="340">
        <f>Balances!BW93+Balances!BW99+Balances!BW102</f>
        <v>0</v>
      </c>
      <c r="BS6" s="340">
        <f>Balances!BX93+Balances!BX99+Balances!BX102</f>
        <v>0</v>
      </c>
      <c r="BT6" s="340">
        <f>Balances!BY93+Balances!BY99+Balances!BY102</f>
        <v>0</v>
      </c>
      <c r="BU6" s="340">
        <f>Balances!BZ93+Balances!BZ99+Balances!BZ102</f>
        <v>0</v>
      </c>
      <c r="BV6" s="340">
        <f>Balances!CA93+Balances!CA99+Balances!CA102</f>
        <v>0</v>
      </c>
      <c r="BW6" s="562">
        <f>Balances!CB93+Balances!CB99+Balances!CB102</f>
        <v>0</v>
      </c>
      <c r="BX6" s="340">
        <f>Balances!CC93+Balances!CC99+Balances!CC102</f>
        <v>0</v>
      </c>
      <c r="BY6" s="340">
        <f>Balances!CD93+Balances!CD99+Balances!CD102</f>
        <v>0</v>
      </c>
      <c r="BZ6" s="340">
        <f>Balances!CE93+Balances!CE99+Balances!CE102</f>
        <v>0</v>
      </c>
      <c r="CA6" s="340">
        <f>Balances!CF93+Balances!CF99+Balances!CF102</f>
        <v>0</v>
      </c>
      <c r="CB6" s="340">
        <f>Balances!CG93+Balances!CG99+Balances!CG102</f>
        <v>0</v>
      </c>
      <c r="CC6" s="340">
        <f>Balances!CH93+Balances!CH99+Balances!CH102</f>
        <v>0</v>
      </c>
      <c r="CD6" s="340">
        <f>Balances!CI93+Balances!CI99+Balances!CI102</f>
        <v>0</v>
      </c>
      <c r="CE6" s="340">
        <f>Balances!CJ93+Balances!CJ99+Balances!CJ102</f>
        <v>0</v>
      </c>
      <c r="CF6" s="340">
        <f>Balances!CK93+Balances!CK99+Balances!CK102</f>
        <v>0</v>
      </c>
      <c r="CG6" s="340">
        <f>Balances!CL93+Balances!CL99+Balances!CL102</f>
        <v>0</v>
      </c>
      <c r="CH6" s="340">
        <f>Balances!CM93+Balances!CM99+Balances!CM102</f>
        <v>0</v>
      </c>
      <c r="CI6" s="562">
        <f>Balances!CN93+Balances!CN99+Balances!CN102</f>
        <v>0</v>
      </c>
      <c r="CJ6" s="340">
        <f>Balances!CO93+Balances!CO99+Balances!CO102</f>
        <v>0</v>
      </c>
      <c r="CK6" s="340">
        <f>Balances!CP93+Balances!CP99+Balances!CP102</f>
        <v>0</v>
      </c>
      <c r="CL6" s="340">
        <f>Balances!CQ93+Balances!CQ99+Balances!CQ102</f>
        <v>0</v>
      </c>
      <c r="CM6" s="340">
        <f>Balances!CR93+Balances!CR99+Balances!CR102</f>
        <v>0</v>
      </c>
      <c r="CN6" s="340">
        <f>Balances!CS93+Balances!CS99+Balances!CS102</f>
        <v>0</v>
      </c>
      <c r="CO6" s="340">
        <f>Balances!CT93+Balances!CT99+Balances!CT102</f>
        <v>0</v>
      </c>
      <c r="CP6" s="340">
        <f>Balances!CU93+Balances!CU99+Balances!CU102</f>
        <v>0</v>
      </c>
      <c r="CQ6" s="340">
        <f>Balances!CV93+Balances!CV99+Balances!CV102</f>
        <v>0</v>
      </c>
      <c r="CR6" s="340">
        <f>Balances!CW93+Balances!CW99+Balances!CW102</f>
        <v>0</v>
      </c>
      <c r="CS6" s="340">
        <f>Balances!CX93+Balances!CX99+Balances!CX102</f>
        <v>0</v>
      </c>
      <c r="CT6" s="340">
        <f>Balances!CY93+Balances!CY99+Balances!CY102</f>
        <v>0</v>
      </c>
      <c r="CU6" s="562">
        <f>Balances!CZ93+Balances!CZ99+Balances!CZ102</f>
        <v>0</v>
      </c>
      <c r="CV6" s="340">
        <f>Balances!DA93+Balances!DA99+Balances!DA102</f>
        <v>0</v>
      </c>
      <c r="CW6" s="340">
        <f>Balances!DB93+Balances!DB99+Balances!DB102</f>
        <v>0</v>
      </c>
      <c r="CX6" s="340">
        <f>Balances!DC93+Balances!DC99+Balances!DC102</f>
        <v>0</v>
      </c>
      <c r="CY6" s="340">
        <f>Balances!DD93+Balances!DD99+Balances!DD102</f>
        <v>0</v>
      </c>
      <c r="CZ6" s="340">
        <f>Balances!DE93+Balances!DE99+Balances!DE102</f>
        <v>0</v>
      </c>
      <c r="DA6" s="340">
        <f>Balances!DF93+Balances!DF99+Balances!DF102</f>
        <v>0</v>
      </c>
      <c r="DB6" s="340">
        <f>Balances!DG93+Balances!DG99+Balances!DG102</f>
        <v>0</v>
      </c>
      <c r="DC6" s="340">
        <f>Balances!DH93+Balances!DH99+Balances!DH102</f>
        <v>0</v>
      </c>
      <c r="DD6" s="340">
        <f>Balances!DI93+Balances!DI99+Balances!DI102</f>
        <v>0</v>
      </c>
      <c r="DE6" s="340">
        <f>Balances!DJ93+Balances!DJ99+Balances!DJ102</f>
        <v>0</v>
      </c>
      <c r="DF6" s="340">
        <f>Balances!DK93+Balances!DK99+Balances!DK102</f>
        <v>0</v>
      </c>
      <c r="DG6" s="340">
        <f>Balances!DL93+Balances!DL99+Balances!DL102</f>
        <v>0</v>
      </c>
      <c r="DH6" s="340"/>
      <c r="DI6" s="340">
        <f>SUM(D6:DG6)</f>
        <v>0</v>
      </c>
      <c r="DJ6" s="340"/>
      <c r="DK6" s="340"/>
    </row>
    <row r="7" spans="1:115" x14ac:dyDescent="0.3">
      <c r="B7" s="456" t="s">
        <v>336</v>
      </c>
      <c r="D7" s="340">
        <f>Balances!I78</f>
        <v>0</v>
      </c>
      <c r="E7" s="340">
        <f>Balances!J78</f>
        <v>0</v>
      </c>
      <c r="F7" s="340">
        <f>Balances!K78</f>
        <v>0</v>
      </c>
      <c r="G7" s="340">
        <f>Balances!L78</f>
        <v>0</v>
      </c>
      <c r="H7" s="340">
        <f>Balances!M78</f>
        <v>0</v>
      </c>
      <c r="I7" s="340">
        <f>Balances!N78</f>
        <v>0</v>
      </c>
      <c r="J7" s="340">
        <f>Balances!O78</f>
        <v>0</v>
      </c>
      <c r="K7" s="340">
        <f>Balances!P78</f>
        <v>0</v>
      </c>
      <c r="L7" s="340">
        <f>Balances!Q78</f>
        <v>0</v>
      </c>
      <c r="M7" s="340">
        <f>Balances!R78</f>
        <v>0</v>
      </c>
      <c r="N7" s="340">
        <f>Balances!S78</f>
        <v>0</v>
      </c>
      <c r="O7" s="562">
        <f>Balances!T78</f>
        <v>0</v>
      </c>
      <c r="P7" s="340">
        <f>Balances!U78</f>
        <v>0</v>
      </c>
      <c r="Q7" s="340">
        <f>Balances!V78</f>
        <v>0</v>
      </c>
      <c r="R7" s="340">
        <f>Balances!W78</f>
        <v>0</v>
      </c>
      <c r="S7" s="340">
        <f>Balances!X78</f>
        <v>0</v>
      </c>
      <c r="T7" s="340">
        <f>Balances!Y78</f>
        <v>0</v>
      </c>
      <c r="U7" s="340">
        <f>Balances!Z78</f>
        <v>0</v>
      </c>
      <c r="V7" s="340">
        <f>Balances!AA78</f>
        <v>0</v>
      </c>
      <c r="W7" s="340">
        <f>Balances!AB78</f>
        <v>0</v>
      </c>
      <c r="X7" s="340">
        <f>Balances!AC78</f>
        <v>0</v>
      </c>
      <c r="Y7" s="340">
        <f>Balances!AD78</f>
        <v>0</v>
      </c>
      <c r="Z7" s="340">
        <f>Balances!AE78</f>
        <v>0</v>
      </c>
      <c r="AA7" s="562">
        <f>Balances!AF78</f>
        <v>0</v>
      </c>
      <c r="AB7" s="340">
        <f>Balances!AG78</f>
        <v>0</v>
      </c>
      <c r="AC7" s="340">
        <f>Balances!AH78</f>
        <v>0</v>
      </c>
      <c r="AD7" s="340">
        <f>Balances!AI78</f>
        <v>0</v>
      </c>
      <c r="AE7" s="340">
        <f>Balances!AJ78</f>
        <v>0</v>
      </c>
      <c r="AF7" s="340">
        <f>Balances!AK78</f>
        <v>0</v>
      </c>
      <c r="AG7" s="340">
        <f>Balances!AL78</f>
        <v>0</v>
      </c>
      <c r="AH7" s="340">
        <f>Balances!AM78</f>
        <v>0</v>
      </c>
      <c r="AI7" s="340">
        <f>Balances!AN78</f>
        <v>0</v>
      </c>
      <c r="AJ7" s="340">
        <f>Balances!AO78</f>
        <v>0</v>
      </c>
      <c r="AK7" s="340">
        <f>Balances!AP78</f>
        <v>0</v>
      </c>
      <c r="AL7" s="340">
        <f>Balances!AQ78</f>
        <v>0</v>
      </c>
      <c r="AM7" s="562">
        <f>Balances!AR78</f>
        <v>0</v>
      </c>
      <c r="AN7" s="340">
        <f>Balances!AS78</f>
        <v>0</v>
      </c>
      <c r="AO7" s="340">
        <f>Balances!AT78</f>
        <v>0</v>
      </c>
      <c r="AP7" s="340">
        <f>Balances!AU78</f>
        <v>0</v>
      </c>
      <c r="AQ7" s="340">
        <f>Balances!AV78</f>
        <v>0</v>
      </c>
      <c r="AR7" s="340">
        <f>Balances!AW78</f>
        <v>0</v>
      </c>
      <c r="AS7" s="340">
        <f>Balances!AX78</f>
        <v>0</v>
      </c>
      <c r="AT7" s="340">
        <f>Balances!AY78</f>
        <v>0</v>
      </c>
      <c r="AU7" s="340">
        <f>Balances!AZ78</f>
        <v>0</v>
      </c>
      <c r="AV7" s="340">
        <f>Balances!BA78</f>
        <v>0</v>
      </c>
      <c r="AW7" s="340">
        <f>Balances!BB78</f>
        <v>0</v>
      </c>
      <c r="AX7" s="340">
        <f>Balances!BC78</f>
        <v>0</v>
      </c>
      <c r="AY7" s="562">
        <f>Balances!BD78</f>
        <v>0</v>
      </c>
      <c r="AZ7" s="340">
        <f>Balances!BE78</f>
        <v>0</v>
      </c>
      <c r="BA7" s="340">
        <f>Balances!BF78</f>
        <v>0</v>
      </c>
      <c r="BB7" s="340">
        <f>Balances!BG78</f>
        <v>0</v>
      </c>
      <c r="BC7" s="340">
        <f>Balances!BH78</f>
        <v>0</v>
      </c>
      <c r="BD7" s="340">
        <f>Balances!BI78</f>
        <v>0</v>
      </c>
      <c r="BE7" s="340">
        <f>Balances!BJ78</f>
        <v>0</v>
      </c>
      <c r="BF7" s="340">
        <f>Balances!BK78</f>
        <v>0</v>
      </c>
      <c r="BG7" s="340">
        <f>Balances!BL78</f>
        <v>0</v>
      </c>
      <c r="BH7" s="340">
        <f>Balances!BM78</f>
        <v>0</v>
      </c>
      <c r="BI7" s="340">
        <f>Balances!BN78</f>
        <v>0</v>
      </c>
      <c r="BJ7" s="340">
        <f>Balances!BO78</f>
        <v>0</v>
      </c>
      <c r="BK7" s="562">
        <f>Balances!BP78</f>
        <v>0</v>
      </c>
      <c r="BL7" s="340">
        <f>Balances!BQ78</f>
        <v>0</v>
      </c>
      <c r="BM7" s="340">
        <f>Balances!BR78</f>
        <v>0</v>
      </c>
      <c r="BN7" s="340">
        <f>Balances!BS78</f>
        <v>0</v>
      </c>
      <c r="BO7" s="340">
        <f>Balances!BT78</f>
        <v>0</v>
      </c>
      <c r="BP7" s="340">
        <f>Balances!BU78</f>
        <v>0</v>
      </c>
      <c r="BQ7" s="340">
        <f>Balances!BV78</f>
        <v>0</v>
      </c>
      <c r="BR7" s="340">
        <f>Balances!BW78</f>
        <v>0</v>
      </c>
      <c r="BS7" s="340">
        <f>Balances!BX78</f>
        <v>0</v>
      </c>
      <c r="BT7" s="340">
        <f>Balances!BY78</f>
        <v>0</v>
      </c>
      <c r="BU7" s="340">
        <f>Balances!BZ78</f>
        <v>0</v>
      </c>
      <c r="BV7" s="340">
        <f>Balances!CA78</f>
        <v>0</v>
      </c>
      <c r="BW7" s="562">
        <f>Balances!CB78</f>
        <v>0</v>
      </c>
      <c r="BX7" s="340">
        <f>Balances!CC78</f>
        <v>0</v>
      </c>
      <c r="BY7" s="340">
        <f>Balances!CD78</f>
        <v>0</v>
      </c>
      <c r="BZ7" s="340">
        <f>Balances!CE78</f>
        <v>0</v>
      </c>
      <c r="CA7" s="340">
        <f>Balances!CF78</f>
        <v>0</v>
      </c>
      <c r="CB7" s="340">
        <f>Balances!CG78</f>
        <v>0</v>
      </c>
      <c r="CC7" s="340">
        <f>Balances!CH78</f>
        <v>0</v>
      </c>
      <c r="CD7" s="340">
        <f>Balances!CI78</f>
        <v>0</v>
      </c>
      <c r="CE7" s="340">
        <f>Balances!CJ78</f>
        <v>0</v>
      </c>
      <c r="CF7" s="340">
        <f>Balances!CK78</f>
        <v>0</v>
      </c>
      <c r="CG7" s="340">
        <f>Balances!CL78</f>
        <v>0</v>
      </c>
      <c r="CH7" s="340">
        <f>Balances!CM78</f>
        <v>0</v>
      </c>
      <c r="CI7" s="562">
        <f>Balances!CN78</f>
        <v>0</v>
      </c>
      <c r="CJ7" s="340">
        <f>Balances!CO78</f>
        <v>0</v>
      </c>
      <c r="CK7" s="340">
        <f>Balances!CP78</f>
        <v>0</v>
      </c>
      <c r="CL7" s="340">
        <f>Balances!CQ78</f>
        <v>0</v>
      </c>
      <c r="CM7" s="340">
        <f>Balances!CR78</f>
        <v>0</v>
      </c>
      <c r="CN7" s="340">
        <f>Balances!CS78</f>
        <v>0</v>
      </c>
      <c r="CO7" s="340">
        <f>Balances!CT78</f>
        <v>0</v>
      </c>
      <c r="CP7" s="340">
        <f>Balances!CU78</f>
        <v>0</v>
      </c>
      <c r="CQ7" s="340">
        <f>Balances!CV78</f>
        <v>0</v>
      </c>
      <c r="CR7" s="340">
        <f>Balances!CW78</f>
        <v>0</v>
      </c>
      <c r="CS7" s="340">
        <f>Balances!CX78</f>
        <v>0</v>
      </c>
      <c r="CT7" s="340">
        <f>Balances!CY78</f>
        <v>0</v>
      </c>
      <c r="CU7" s="562">
        <f>Balances!CZ78</f>
        <v>0</v>
      </c>
      <c r="CV7" s="340">
        <f>Balances!DA78</f>
        <v>0</v>
      </c>
      <c r="CW7" s="340">
        <f>Balances!DB78</f>
        <v>0</v>
      </c>
      <c r="CX7" s="340">
        <f>Balances!DC78</f>
        <v>0</v>
      </c>
      <c r="CY7" s="340">
        <f>Balances!DD78</f>
        <v>0</v>
      </c>
      <c r="CZ7" s="340">
        <f>Balances!DE78</f>
        <v>0</v>
      </c>
      <c r="DA7" s="340">
        <f>Balances!DF78</f>
        <v>0</v>
      </c>
      <c r="DB7" s="340">
        <f>Balances!DG78</f>
        <v>0</v>
      </c>
      <c r="DC7" s="340">
        <f>Balances!DH78</f>
        <v>0</v>
      </c>
      <c r="DD7" s="340">
        <f>Balances!DI78</f>
        <v>0</v>
      </c>
      <c r="DE7" s="340">
        <f>Balances!DJ78</f>
        <v>0</v>
      </c>
      <c r="DF7" s="340">
        <f>Balances!DK78</f>
        <v>0</v>
      </c>
      <c r="DG7" s="340">
        <f>Balances!DL78</f>
        <v>0</v>
      </c>
      <c r="DH7" s="340"/>
      <c r="DI7" s="340">
        <f>SUM(D7:DG7)</f>
        <v>0</v>
      </c>
      <c r="DJ7" s="340"/>
      <c r="DK7" s="340"/>
    </row>
    <row r="8" spans="1:115" x14ac:dyDescent="0.3">
      <c r="B8" s="831" t="s">
        <v>786</v>
      </c>
      <c r="C8" s="342"/>
      <c r="D8" s="344">
        <f>Balances!I114</f>
        <v>0</v>
      </c>
      <c r="E8" s="344">
        <f>Balances!J114</f>
        <v>0</v>
      </c>
      <c r="F8" s="344">
        <f>Balances!K114</f>
        <v>0</v>
      </c>
      <c r="G8" s="344">
        <f>Balances!L114</f>
        <v>0</v>
      </c>
      <c r="H8" s="344">
        <f>Balances!M114</f>
        <v>0</v>
      </c>
      <c r="I8" s="344">
        <f>Balances!N114</f>
        <v>0</v>
      </c>
      <c r="J8" s="344">
        <f>Balances!O114</f>
        <v>0</v>
      </c>
      <c r="K8" s="344">
        <f>Balances!P114</f>
        <v>0</v>
      </c>
      <c r="L8" s="344">
        <f>Balances!Q114</f>
        <v>0</v>
      </c>
      <c r="M8" s="344">
        <f>Balances!R114</f>
        <v>0</v>
      </c>
      <c r="N8" s="344">
        <f>Balances!S114</f>
        <v>0</v>
      </c>
      <c r="O8" s="563">
        <f>Balances!T114</f>
        <v>0</v>
      </c>
      <c r="P8" s="344">
        <f>Balances!U114</f>
        <v>0</v>
      </c>
      <c r="Q8" s="344">
        <f>Balances!V114</f>
        <v>0</v>
      </c>
      <c r="R8" s="344">
        <f>Balances!W114</f>
        <v>0</v>
      </c>
      <c r="S8" s="344">
        <f>Balances!X114</f>
        <v>0</v>
      </c>
      <c r="T8" s="344">
        <f>Balances!Y114</f>
        <v>0</v>
      </c>
      <c r="U8" s="344">
        <f>Balances!Z114</f>
        <v>0</v>
      </c>
      <c r="V8" s="344">
        <f>Balances!AA114</f>
        <v>0</v>
      </c>
      <c r="W8" s="344">
        <f>Balances!AB114</f>
        <v>0</v>
      </c>
      <c r="X8" s="344">
        <f>Balances!AC114</f>
        <v>0</v>
      </c>
      <c r="Y8" s="344">
        <f>Balances!AD114</f>
        <v>0</v>
      </c>
      <c r="Z8" s="344">
        <f>Balances!AE114</f>
        <v>0</v>
      </c>
      <c r="AA8" s="563">
        <f>Balances!AF114</f>
        <v>0</v>
      </c>
      <c r="AB8" s="344">
        <f>Balances!AG114</f>
        <v>0</v>
      </c>
      <c r="AC8" s="344">
        <f>Balances!AH114</f>
        <v>0</v>
      </c>
      <c r="AD8" s="344">
        <f>Balances!AI114</f>
        <v>0</v>
      </c>
      <c r="AE8" s="344">
        <f>Balances!AJ114</f>
        <v>0</v>
      </c>
      <c r="AF8" s="344">
        <f>Balances!AK114</f>
        <v>0</v>
      </c>
      <c r="AG8" s="344">
        <f>Balances!AL114</f>
        <v>0</v>
      </c>
      <c r="AH8" s="344">
        <f>Balances!AM114</f>
        <v>0</v>
      </c>
      <c r="AI8" s="344">
        <f>Balances!AN114</f>
        <v>0</v>
      </c>
      <c r="AJ8" s="344">
        <f>Balances!AO114</f>
        <v>0</v>
      </c>
      <c r="AK8" s="344">
        <f>Balances!AP114</f>
        <v>0</v>
      </c>
      <c r="AL8" s="344">
        <f>Balances!AQ114</f>
        <v>0</v>
      </c>
      <c r="AM8" s="563">
        <f>Balances!AR114</f>
        <v>0</v>
      </c>
      <c r="AN8" s="344">
        <f>Balances!AS114</f>
        <v>0</v>
      </c>
      <c r="AO8" s="344">
        <f>Balances!AT114</f>
        <v>0</v>
      </c>
      <c r="AP8" s="344">
        <f>Balances!AU114</f>
        <v>0</v>
      </c>
      <c r="AQ8" s="344">
        <f>Balances!AV114</f>
        <v>0</v>
      </c>
      <c r="AR8" s="344">
        <f>Balances!AW114</f>
        <v>0</v>
      </c>
      <c r="AS8" s="344">
        <f>Balances!AX114</f>
        <v>0</v>
      </c>
      <c r="AT8" s="344">
        <f>Balances!AY114</f>
        <v>0</v>
      </c>
      <c r="AU8" s="344">
        <f>Balances!AZ114</f>
        <v>0</v>
      </c>
      <c r="AV8" s="344">
        <f>Balances!BA114</f>
        <v>0</v>
      </c>
      <c r="AW8" s="344">
        <f>Balances!BB114</f>
        <v>0</v>
      </c>
      <c r="AX8" s="344">
        <f>Balances!BC114</f>
        <v>0</v>
      </c>
      <c r="AY8" s="563">
        <f>Balances!BD114</f>
        <v>0</v>
      </c>
      <c r="AZ8" s="344">
        <f>Balances!BE114</f>
        <v>0</v>
      </c>
      <c r="BA8" s="344">
        <f>Balances!BF114</f>
        <v>0</v>
      </c>
      <c r="BB8" s="344">
        <f>Balances!BG114</f>
        <v>0</v>
      </c>
      <c r="BC8" s="344">
        <f>Balances!BH114</f>
        <v>0</v>
      </c>
      <c r="BD8" s="344">
        <f>Balances!BI114</f>
        <v>0</v>
      </c>
      <c r="BE8" s="344">
        <f>Balances!BJ114</f>
        <v>0</v>
      </c>
      <c r="BF8" s="344">
        <f>Balances!BK114</f>
        <v>0</v>
      </c>
      <c r="BG8" s="344">
        <f>Balances!BL114</f>
        <v>0</v>
      </c>
      <c r="BH8" s="344">
        <f>Balances!BM114</f>
        <v>0</v>
      </c>
      <c r="BI8" s="344">
        <f>Balances!BN114</f>
        <v>0</v>
      </c>
      <c r="BJ8" s="344">
        <f>Balances!BO114</f>
        <v>0</v>
      </c>
      <c r="BK8" s="563">
        <f>Balances!BP114</f>
        <v>0</v>
      </c>
      <c r="BL8" s="344">
        <f>Balances!BQ114</f>
        <v>0</v>
      </c>
      <c r="BM8" s="344">
        <f>Balances!BR114</f>
        <v>0</v>
      </c>
      <c r="BN8" s="344">
        <f>Balances!BS114</f>
        <v>0</v>
      </c>
      <c r="BO8" s="344">
        <f>Balances!BT114</f>
        <v>0</v>
      </c>
      <c r="BP8" s="344">
        <f>Balances!BU114</f>
        <v>0</v>
      </c>
      <c r="BQ8" s="344">
        <f>Balances!BV114</f>
        <v>0</v>
      </c>
      <c r="BR8" s="344">
        <f>Balances!BW114</f>
        <v>0</v>
      </c>
      <c r="BS8" s="344">
        <f>Balances!BX114</f>
        <v>0</v>
      </c>
      <c r="BT8" s="344">
        <f>Balances!BY114</f>
        <v>0</v>
      </c>
      <c r="BU8" s="344">
        <f>Balances!BZ114</f>
        <v>0</v>
      </c>
      <c r="BV8" s="344">
        <f>Balances!CA114</f>
        <v>0</v>
      </c>
      <c r="BW8" s="563">
        <f>Balances!CB114</f>
        <v>0</v>
      </c>
      <c r="BX8" s="344">
        <f>Balances!CC114</f>
        <v>0</v>
      </c>
      <c r="BY8" s="344">
        <f>Balances!CD114</f>
        <v>0</v>
      </c>
      <c r="BZ8" s="344">
        <f>Balances!CE114</f>
        <v>0</v>
      </c>
      <c r="CA8" s="344">
        <f>Balances!CF114</f>
        <v>0</v>
      </c>
      <c r="CB8" s="344">
        <f>Balances!CG114</f>
        <v>0</v>
      </c>
      <c r="CC8" s="344">
        <f>Balances!CH114</f>
        <v>0</v>
      </c>
      <c r="CD8" s="344">
        <f>Balances!CI114</f>
        <v>0</v>
      </c>
      <c r="CE8" s="344">
        <f>Balances!CJ114</f>
        <v>0</v>
      </c>
      <c r="CF8" s="344">
        <f>Balances!CK114</f>
        <v>0</v>
      </c>
      <c r="CG8" s="344">
        <f>Balances!CL114</f>
        <v>0</v>
      </c>
      <c r="CH8" s="344">
        <f>Balances!CM114</f>
        <v>0</v>
      </c>
      <c r="CI8" s="563">
        <f>Balances!CN114</f>
        <v>0</v>
      </c>
      <c r="CJ8" s="344">
        <f>Balances!CO114</f>
        <v>0</v>
      </c>
      <c r="CK8" s="344">
        <f>Balances!CP114</f>
        <v>0</v>
      </c>
      <c r="CL8" s="344">
        <f>Balances!CQ114</f>
        <v>0</v>
      </c>
      <c r="CM8" s="344">
        <f>Balances!CR114</f>
        <v>0</v>
      </c>
      <c r="CN8" s="344">
        <f>Balances!CS114</f>
        <v>0</v>
      </c>
      <c r="CO8" s="344">
        <f>Balances!CT114</f>
        <v>0</v>
      </c>
      <c r="CP8" s="344">
        <f>Balances!CU114</f>
        <v>0</v>
      </c>
      <c r="CQ8" s="344">
        <f>Balances!CV114</f>
        <v>0</v>
      </c>
      <c r="CR8" s="344">
        <f>Balances!CW114</f>
        <v>0</v>
      </c>
      <c r="CS8" s="344">
        <f>Balances!CX114</f>
        <v>0</v>
      </c>
      <c r="CT8" s="344">
        <f>Balances!CY114</f>
        <v>0</v>
      </c>
      <c r="CU8" s="563">
        <f>Balances!CZ114</f>
        <v>0</v>
      </c>
      <c r="CV8" s="344">
        <f>Balances!DA114</f>
        <v>0</v>
      </c>
      <c r="CW8" s="344">
        <f>Balances!DB114</f>
        <v>0</v>
      </c>
      <c r="CX8" s="344">
        <f>Balances!DC114</f>
        <v>0</v>
      </c>
      <c r="CY8" s="344">
        <f>Balances!DD114</f>
        <v>0</v>
      </c>
      <c r="CZ8" s="344">
        <f>Balances!DE114</f>
        <v>0</v>
      </c>
      <c r="DA8" s="344">
        <f>Balances!DF114</f>
        <v>0</v>
      </c>
      <c r="DB8" s="344">
        <f>Balances!DG114</f>
        <v>0</v>
      </c>
      <c r="DC8" s="344">
        <f>Balances!DH114</f>
        <v>0</v>
      </c>
      <c r="DD8" s="344">
        <f>Balances!DI114</f>
        <v>0</v>
      </c>
      <c r="DE8" s="344">
        <f>Balances!DJ114</f>
        <v>0</v>
      </c>
      <c r="DF8" s="344">
        <f>Balances!DK114</f>
        <v>0</v>
      </c>
      <c r="DG8" s="344">
        <f>Balances!DL114</f>
        <v>0</v>
      </c>
      <c r="DH8" s="344"/>
      <c r="DI8" s="344">
        <f>SUM(D8:DG8)</f>
        <v>0</v>
      </c>
      <c r="DJ8" s="340"/>
      <c r="DK8" s="340"/>
    </row>
    <row r="9" spans="1:115" x14ac:dyDescent="0.3">
      <c r="B9" s="456" t="s">
        <v>252</v>
      </c>
      <c r="D9" s="340">
        <f t="shared" ref="D9:AI9" si="0">SUM(D6:D8)</f>
        <v>0</v>
      </c>
      <c r="E9" s="340">
        <f t="shared" si="0"/>
        <v>0</v>
      </c>
      <c r="F9" s="340">
        <f t="shared" si="0"/>
        <v>0</v>
      </c>
      <c r="G9" s="340">
        <f t="shared" si="0"/>
        <v>0</v>
      </c>
      <c r="H9" s="340">
        <f t="shared" si="0"/>
        <v>0</v>
      </c>
      <c r="I9" s="340">
        <f t="shared" si="0"/>
        <v>0</v>
      </c>
      <c r="J9" s="340">
        <f t="shared" si="0"/>
        <v>0</v>
      </c>
      <c r="K9" s="340">
        <f t="shared" si="0"/>
        <v>0</v>
      </c>
      <c r="L9" s="340">
        <f t="shared" si="0"/>
        <v>0</v>
      </c>
      <c r="M9" s="340">
        <f t="shared" si="0"/>
        <v>0</v>
      </c>
      <c r="N9" s="340">
        <f t="shared" si="0"/>
        <v>0</v>
      </c>
      <c r="O9" s="562">
        <f t="shared" si="0"/>
        <v>0</v>
      </c>
      <c r="P9" s="340">
        <f t="shared" si="0"/>
        <v>0</v>
      </c>
      <c r="Q9" s="340">
        <f t="shared" si="0"/>
        <v>0</v>
      </c>
      <c r="R9" s="340">
        <f t="shared" si="0"/>
        <v>0</v>
      </c>
      <c r="S9" s="340">
        <f t="shared" si="0"/>
        <v>0</v>
      </c>
      <c r="T9" s="340">
        <f t="shared" si="0"/>
        <v>0</v>
      </c>
      <c r="U9" s="340">
        <f t="shared" si="0"/>
        <v>0</v>
      </c>
      <c r="V9" s="340">
        <f t="shared" si="0"/>
        <v>0</v>
      </c>
      <c r="W9" s="340">
        <f t="shared" si="0"/>
        <v>0</v>
      </c>
      <c r="X9" s="340">
        <f t="shared" si="0"/>
        <v>0</v>
      </c>
      <c r="Y9" s="340">
        <f t="shared" si="0"/>
        <v>0</v>
      </c>
      <c r="Z9" s="340">
        <f t="shared" si="0"/>
        <v>0</v>
      </c>
      <c r="AA9" s="562">
        <f t="shared" si="0"/>
        <v>0</v>
      </c>
      <c r="AB9" s="340">
        <f t="shared" si="0"/>
        <v>0</v>
      </c>
      <c r="AC9" s="340">
        <f t="shared" si="0"/>
        <v>0</v>
      </c>
      <c r="AD9" s="340">
        <f t="shared" si="0"/>
        <v>0</v>
      </c>
      <c r="AE9" s="340">
        <f t="shared" si="0"/>
        <v>0</v>
      </c>
      <c r="AF9" s="340">
        <f t="shared" si="0"/>
        <v>0</v>
      </c>
      <c r="AG9" s="340">
        <f t="shared" si="0"/>
        <v>0</v>
      </c>
      <c r="AH9" s="340">
        <f t="shared" si="0"/>
        <v>0</v>
      </c>
      <c r="AI9" s="340">
        <f t="shared" si="0"/>
        <v>0</v>
      </c>
      <c r="AJ9" s="340">
        <f t="shared" ref="AJ9:BO9" si="1">SUM(AJ6:AJ8)</f>
        <v>0</v>
      </c>
      <c r="AK9" s="340">
        <f t="shared" si="1"/>
        <v>0</v>
      </c>
      <c r="AL9" s="340">
        <f t="shared" si="1"/>
        <v>0</v>
      </c>
      <c r="AM9" s="562">
        <f t="shared" si="1"/>
        <v>0</v>
      </c>
      <c r="AN9" s="340">
        <f t="shared" si="1"/>
        <v>0</v>
      </c>
      <c r="AO9" s="340">
        <f t="shared" si="1"/>
        <v>0</v>
      </c>
      <c r="AP9" s="340">
        <f t="shared" si="1"/>
        <v>0</v>
      </c>
      <c r="AQ9" s="340">
        <f t="shared" si="1"/>
        <v>0</v>
      </c>
      <c r="AR9" s="340">
        <f t="shared" si="1"/>
        <v>0</v>
      </c>
      <c r="AS9" s="340">
        <f t="shared" si="1"/>
        <v>0</v>
      </c>
      <c r="AT9" s="340">
        <f t="shared" si="1"/>
        <v>0</v>
      </c>
      <c r="AU9" s="340">
        <f t="shared" si="1"/>
        <v>0</v>
      </c>
      <c r="AV9" s="340">
        <f t="shared" si="1"/>
        <v>0</v>
      </c>
      <c r="AW9" s="340">
        <f t="shared" si="1"/>
        <v>0</v>
      </c>
      <c r="AX9" s="340">
        <f t="shared" si="1"/>
        <v>0</v>
      </c>
      <c r="AY9" s="562">
        <f t="shared" si="1"/>
        <v>0</v>
      </c>
      <c r="AZ9" s="340">
        <f t="shared" si="1"/>
        <v>0</v>
      </c>
      <c r="BA9" s="340">
        <f t="shared" si="1"/>
        <v>0</v>
      </c>
      <c r="BB9" s="340">
        <f t="shared" si="1"/>
        <v>0</v>
      </c>
      <c r="BC9" s="340">
        <f t="shared" si="1"/>
        <v>0</v>
      </c>
      <c r="BD9" s="340">
        <f t="shared" si="1"/>
        <v>0</v>
      </c>
      <c r="BE9" s="340">
        <f t="shared" si="1"/>
        <v>0</v>
      </c>
      <c r="BF9" s="340">
        <f t="shared" si="1"/>
        <v>0</v>
      </c>
      <c r="BG9" s="340">
        <f t="shared" si="1"/>
        <v>0</v>
      </c>
      <c r="BH9" s="340">
        <f t="shared" si="1"/>
        <v>0</v>
      </c>
      <c r="BI9" s="340">
        <f t="shared" si="1"/>
        <v>0</v>
      </c>
      <c r="BJ9" s="340">
        <f t="shared" si="1"/>
        <v>0</v>
      </c>
      <c r="BK9" s="562">
        <f t="shared" si="1"/>
        <v>0</v>
      </c>
      <c r="BL9" s="340">
        <f t="shared" si="1"/>
        <v>0</v>
      </c>
      <c r="BM9" s="340">
        <f t="shared" si="1"/>
        <v>0</v>
      </c>
      <c r="BN9" s="340">
        <f t="shared" si="1"/>
        <v>0</v>
      </c>
      <c r="BO9" s="340">
        <f t="shared" si="1"/>
        <v>0</v>
      </c>
      <c r="BP9" s="340">
        <f t="shared" ref="BP9:CU9" si="2">SUM(BP6:BP8)</f>
        <v>0</v>
      </c>
      <c r="BQ9" s="340">
        <f t="shared" si="2"/>
        <v>0</v>
      </c>
      <c r="BR9" s="340">
        <f t="shared" si="2"/>
        <v>0</v>
      </c>
      <c r="BS9" s="340">
        <f t="shared" si="2"/>
        <v>0</v>
      </c>
      <c r="BT9" s="340">
        <f t="shared" si="2"/>
        <v>0</v>
      </c>
      <c r="BU9" s="340">
        <f t="shared" si="2"/>
        <v>0</v>
      </c>
      <c r="BV9" s="340">
        <f t="shared" si="2"/>
        <v>0</v>
      </c>
      <c r="BW9" s="562">
        <f t="shared" si="2"/>
        <v>0</v>
      </c>
      <c r="BX9" s="340">
        <f t="shared" si="2"/>
        <v>0</v>
      </c>
      <c r="BY9" s="340">
        <f t="shared" si="2"/>
        <v>0</v>
      </c>
      <c r="BZ9" s="340">
        <f t="shared" si="2"/>
        <v>0</v>
      </c>
      <c r="CA9" s="340">
        <f t="shared" si="2"/>
        <v>0</v>
      </c>
      <c r="CB9" s="340">
        <f t="shared" si="2"/>
        <v>0</v>
      </c>
      <c r="CC9" s="340">
        <f t="shared" si="2"/>
        <v>0</v>
      </c>
      <c r="CD9" s="340">
        <f t="shared" si="2"/>
        <v>0</v>
      </c>
      <c r="CE9" s="340">
        <f t="shared" si="2"/>
        <v>0</v>
      </c>
      <c r="CF9" s="340">
        <f t="shared" si="2"/>
        <v>0</v>
      </c>
      <c r="CG9" s="340">
        <f t="shared" si="2"/>
        <v>0</v>
      </c>
      <c r="CH9" s="340">
        <f t="shared" si="2"/>
        <v>0</v>
      </c>
      <c r="CI9" s="562">
        <f t="shared" si="2"/>
        <v>0</v>
      </c>
      <c r="CJ9" s="340">
        <f t="shared" si="2"/>
        <v>0</v>
      </c>
      <c r="CK9" s="340">
        <f t="shared" si="2"/>
        <v>0</v>
      </c>
      <c r="CL9" s="340">
        <f t="shared" si="2"/>
        <v>0</v>
      </c>
      <c r="CM9" s="340">
        <f t="shared" si="2"/>
        <v>0</v>
      </c>
      <c r="CN9" s="340">
        <f t="shared" si="2"/>
        <v>0</v>
      </c>
      <c r="CO9" s="340">
        <f t="shared" si="2"/>
        <v>0</v>
      </c>
      <c r="CP9" s="340">
        <f t="shared" si="2"/>
        <v>0</v>
      </c>
      <c r="CQ9" s="340">
        <f t="shared" si="2"/>
        <v>0</v>
      </c>
      <c r="CR9" s="340">
        <f t="shared" si="2"/>
        <v>0</v>
      </c>
      <c r="CS9" s="340">
        <f t="shared" si="2"/>
        <v>0</v>
      </c>
      <c r="CT9" s="340">
        <f t="shared" si="2"/>
        <v>0</v>
      </c>
      <c r="CU9" s="562">
        <f t="shared" si="2"/>
        <v>0</v>
      </c>
      <c r="CV9" s="340">
        <f t="shared" ref="CV9:DG9" si="3">SUM(CV6:CV8)</f>
        <v>0</v>
      </c>
      <c r="CW9" s="340">
        <f t="shared" si="3"/>
        <v>0</v>
      </c>
      <c r="CX9" s="340">
        <f t="shared" si="3"/>
        <v>0</v>
      </c>
      <c r="CY9" s="340">
        <f t="shared" si="3"/>
        <v>0</v>
      </c>
      <c r="CZ9" s="340">
        <f t="shared" si="3"/>
        <v>0</v>
      </c>
      <c r="DA9" s="340">
        <f t="shared" si="3"/>
        <v>0</v>
      </c>
      <c r="DB9" s="340">
        <f t="shared" si="3"/>
        <v>0</v>
      </c>
      <c r="DC9" s="340">
        <f t="shared" si="3"/>
        <v>0</v>
      </c>
      <c r="DD9" s="340">
        <f t="shared" si="3"/>
        <v>0</v>
      </c>
      <c r="DE9" s="340">
        <f t="shared" si="3"/>
        <v>0</v>
      </c>
      <c r="DF9" s="340">
        <f t="shared" si="3"/>
        <v>0</v>
      </c>
      <c r="DG9" s="340">
        <f t="shared" si="3"/>
        <v>0</v>
      </c>
      <c r="DH9" s="340"/>
      <c r="DI9" s="340">
        <f>SUM(DI6:DI8)</f>
        <v>0</v>
      </c>
      <c r="DJ9" s="340"/>
      <c r="DK9" s="340"/>
    </row>
    <row r="10" spans="1:115" x14ac:dyDescent="0.3">
      <c r="D10" s="340"/>
      <c r="E10" s="340"/>
      <c r="F10" s="340"/>
      <c r="G10" s="340"/>
      <c r="H10" s="340"/>
      <c r="I10" s="340"/>
      <c r="J10" s="340"/>
      <c r="K10" s="340"/>
      <c r="L10" s="340"/>
      <c r="M10" s="340"/>
      <c r="N10" s="340"/>
      <c r="O10" s="562"/>
      <c r="P10" s="340"/>
      <c r="Q10" s="340"/>
      <c r="R10" s="340"/>
      <c r="S10" s="340"/>
      <c r="T10" s="340"/>
      <c r="U10" s="340"/>
      <c r="V10" s="340"/>
      <c r="W10" s="340"/>
      <c r="X10" s="340"/>
      <c r="Y10" s="340"/>
      <c r="Z10" s="340"/>
      <c r="AA10" s="562"/>
      <c r="AB10" s="340"/>
      <c r="AC10" s="340"/>
      <c r="AD10" s="340"/>
      <c r="AE10" s="340"/>
      <c r="AF10" s="340"/>
      <c r="AG10" s="340"/>
      <c r="AH10" s="340"/>
      <c r="AI10" s="340"/>
      <c r="AJ10" s="340"/>
      <c r="AK10" s="340"/>
      <c r="AL10" s="340"/>
      <c r="AM10" s="562"/>
      <c r="AN10" s="340"/>
      <c r="AO10" s="340"/>
      <c r="AP10" s="340"/>
      <c r="AQ10" s="340"/>
      <c r="AR10" s="340"/>
      <c r="AS10" s="340"/>
      <c r="AT10" s="340"/>
      <c r="AU10" s="340"/>
      <c r="AV10" s="340"/>
      <c r="AW10" s="340"/>
      <c r="AX10" s="340"/>
      <c r="AY10" s="562"/>
      <c r="AZ10" s="340"/>
      <c r="BA10" s="340"/>
      <c r="BB10" s="340"/>
      <c r="BC10" s="340"/>
      <c r="BD10" s="340"/>
      <c r="BE10" s="340"/>
      <c r="BF10" s="340"/>
      <c r="BG10" s="340"/>
      <c r="BH10" s="340"/>
      <c r="BI10" s="340"/>
      <c r="BJ10" s="340"/>
      <c r="BK10" s="562"/>
      <c r="BL10" s="340"/>
      <c r="BM10" s="340"/>
      <c r="BN10" s="340"/>
      <c r="BO10" s="340"/>
      <c r="BP10" s="340"/>
      <c r="BQ10" s="340"/>
      <c r="BR10" s="340"/>
      <c r="BS10" s="340"/>
      <c r="BT10" s="340"/>
      <c r="BU10" s="340"/>
      <c r="BV10" s="340"/>
      <c r="BW10" s="562"/>
      <c r="BX10" s="340"/>
      <c r="BY10" s="340"/>
      <c r="BZ10" s="340"/>
      <c r="CA10" s="340"/>
      <c r="CB10" s="340"/>
      <c r="CC10" s="340"/>
      <c r="CD10" s="340"/>
      <c r="CE10" s="340"/>
      <c r="CF10" s="340"/>
      <c r="CG10" s="340"/>
      <c r="CH10" s="340"/>
      <c r="CI10" s="562"/>
      <c r="CJ10" s="340"/>
      <c r="CK10" s="340"/>
      <c r="CL10" s="340"/>
      <c r="CM10" s="340"/>
      <c r="CN10" s="340"/>
      <c r="CO10" s="340"/>
      <c r="CP10" s="340"/>
      <c r="CQ10" s="340"/>
      <c r="CR10" s="340"/>
      <c r="CS10" s="340"/>
      <c r="CT10" s="340"/>
      <c r="CU10" s="562"/>
      <c r="CV10" s="340"/>
      <c r="CW10" s="340"/>
      <c r="CX10" s="340"/>
      <c r="CY10" s="340"/>
      <c r="CZ10" s="340"/>
      <c r="DA10" s="340"/>
      <c r="DB10" s="340"/>
      <c r="DC10" s="340"/>
      <c r="DD10" s="340"/>
      <c r="DE10" s="340"/>
      <c r="DF10" s="340"/>
      <c r="DG10" s="340"/>
      <c r="DH10" s="340"/>
      <c r="DI10" s="340"/>
      <c r="DJ10" s="340"/>
      <c r="DK10" s="340"/>
    </row>
    <row r="11" spans="1:115" ht="14.4" thickBot="1" x14ac:dyDescent="0.35">
      <c r="B11" s="834" t="s">
        <v>788</v>
      </c>
      <c r="C11" s="835"/>
      <c r="D11" s="836">
        <f>Balances!I127</f>
        <v>0</v>
      </c>
      <c r="E11" s="836">
        <f>Balances!J127</f>
        <v>0</v>
      </c>
      <c r="F11" s="836">
        <f>Balances!K127</f>
        <v>0</v>
      </c>
      <c r="G11" s="836">
        <f>Balances!L127</f>
        <v>0</v>
      </c>
      <c r="H11" s="836">
        <f>Balances!M127</f>
        <v>0</v>
      </c>
      <c r="I11" s="836">
        <f>Balances!N127</f>
        <v>0</v>
      </c>
      <c r="J11" s="836">
        <f>Balances!O127</f>
        <v>0</v>
      </c>
      <c r="K11" s="836">
        <f>Balances!P127</f>
        <v>0</v>
      </c>
      <c r="L11" s="836">
        <f>Balances!Q127</f>
        <v>0</v>
      </c>
      <c r="M11" s="836">
        <f>Balances!R127</f>
        <v>0</v>
      </c>
      <c r="N11" s="836">
        <f>Balances!S127</f>
        <v>0</v>
      </c>
      <c r="O11" s="949">
        <f>Balances!T127</f>
        <v>0</v>
      </c>
      <c r="P11" s="836">
        <f>Balances!U127</f>
        <v>0</v>
      </c>
      <c r="Q11" s="836">
        <f>Balances!V127</f>
        <v>0</v>
      </c>
      <c r="R11" s="836">
        <f>Balances!W127</f>
        <v>0</v>
      </c>
      <c r="S11" s="836">
        <f>Balances!X127</f>
        <v>0</v>
      </c>
      <c r="T11" s="836">
        <f>Balances!Y127</f>
        <v>0</v>
      </c>
      <c r="U11" s="836">
        <f>Balances!Z127</f>
        <v>0</v>
      </c>
      <c r="V11" s="836">
        <f>Balances!AA127</f>
        <v>0</v>
      </c>
      <c r="W11" s="836">
        <f>Balances!AB127</f>
        <v>0</v>
      </c>
      <c r="X11" s="836">
        <f>Balances!AC127</f>
        <v>0</v>
      </c>
      <c r="Y11" s="836">
        <f>Balances!AD127</f>
        <v>0</v>
      </c>
      <c r="Z11" s="836">
        <f>Balances!AE127</f>
        <v>0</v>
      </c>
      <c r="AA11" s="949">
        <f>Balances!AF127</f>
        <v>0</v>
      </c>
      <c r="AB11" s="836">
        <f>Balances!AG127</f>
        <v>0</v>
      </c>
      <c r="AC11" s="836">
        <f>Balances!AH127</f>
        <v>0</v>
      </c>
      <c r="AD11" s="836">
        <f>Balances!AI127</f>
        <v>0</v>
      </c>
      <c r="AE11" s="836">
        <f>Balances!AJ127</f>
        <v>0</v>
      </c>
      <c r="AF11" s="836">
        <f>Balances!AK127</f>
        <v>0</v>
      </c>
      <c r="AG11" s="836">
        <f>Balances!AL127</f>
        <v>0</v>
      </c>
      <c r="AH11" s="836">
        <f>Balances!AM127</f>
        <v>0</v>
      </c>
      <c r="AI11" s="836">
        <f>Balances!AN127</f>
        <v>0</v>
      </c>
      <c r="AJ11" s="836">
        <f>Balances!AO127</f>
        <v>0</v>
      </c>
      <c r="AK11" s="836">
        <f>Balances!AP127</f>
        <v>0</v>
      </c>
      <c r="AL11" s="836">
        <f>Balances!AQ127</f>
        <v>0</v>
      </c>
      <c r="AM11" s="949">
        <f>Balances!AR127</f>
        <v>0</v>
      </c>
      <c r="AN11" s="836">
        <f>Balances!AS127</f>
        <v>0</v>
      </c>
      <c r="AO11" s="836">
        <f>Balances!AT127</f>
        <v>0</v>
      </c>
      <c r="AP11" s="836">
        <f>Balances!AU127</f>
        <v>0</v>
      </c>
      <c r="AQ11" s="836">
        <f>Balances!AV127</f>
        <v>0</v>
      </c>
      <c r="AR11" s="836">
        <f>Balances!AW127</f>
        <v>0</v>
      </c>
      <c r="AS11" s="836">
        <f>Balances!AX127</f>
        <v>0</v>
      </c>
      <c r="AT11" s="836">
        <f>Balances!AY127</f>
        <v>0</v>
      </c>
      <c r="AU11" s="836">
        <f>Balances!AZ127</f>
        <v>0</v>
      </c>
      <c r="AV11" s="836">
        <f>Balances!BA127</f>
        <v>0</v>
      </c>
      <c r="AW11" s="836">
        <f>Balances!BB127</f>
        <v>0</v>
      </c>
      <c r="AX11" s="836">
        <f>Balances!BC127</f>
        <v>0</v>
      </c>
      <c r="AY11" s="949">
        <f>Balances!BD127</f>
        <v>0</v>
      </c>
      <c r="AZ11" s="836">
        <f>Balances!BE127</f>
        <v>0</v>
      </c>
      <c r="BA11" s="836">
        <f>Balances!BF127</f>
        <v>0</v>
      </c>
      <c r="BB11" s="836">
        <f>Balances!BG127</f>
        <v>0</v>
      </c>
      <c r="BC11" s="836">
        <f>Balances!BH127</f>
        <v>0</v>
      </c>
      <c r="BD11" s="836">
        <f>Balances!BI127</f>
        <v>0</v>
      </c>
      <c r="BE11" s="836">
        <f>Balances!BJ127</f>
        <v>0</v>
      </c>
      <c r="BF11" s="836">
        <f>Balances!BK127</f>
        <v>0</v>
      </c>
      <c r="BG11" s="836">
        <f>Balances!BL127</f>
        <v>0</v>
      </c>
      <c r="BH11" s="836">
        <f>Balances!BM127</f>
        <v>0</v>
      </c>
      <c r="BI11" s="836">
        <f>Balances!BN127</f>
        <v>0</v>
      </c>
      <c r="BJ11" s="836">
        <f>Balances!BO127</f>
        <v>0</v>
      </c>
      <c r="BK11" s="949">
        <f>Balances!BP127</f>
        <v>0</v>
      </c>
      <c r="BL11" s="836">
        <f>Balances!BQ127</f>
        <v>0</v>
      </c>
      <c r="BM11" s="836">
        <f>Balances!BR127</f>
        <v>0</v>
      </c>
      <c r="BN11" s="836">
        <f>Balances!BS127</f>
        <v>0</v>
      </c>
      <c r="BO11" s="836">
        <f>Balances!BT127</f>
        <v>0</v>
      </c>
      <c r="BP11" s="836">
        <f>Balances!BU127</f>
        <v>0</v>
      </c>
      <c r="BQ11" s="836">
        <f>Balances!BV127</f>
        <v>0</v>
      </c>
      <c r="BR11" s="836">
        <f>Balances!BW127</f>
        <v>0</v>
      </c>
      <c r="BS11" s="836">
        <f>Balances!BX127</f>
        <v>0</v>
      </c>
      <c r="BT11" s="836">
        <f>Balances!BY127</f>
        <v>0</v>
      </c>
      <c r="BU11" s="836">
        <f>Balances!BZ127</f>
        <v>0</v>
      </c>
      <c r="BV11" s="836">
        <f>Balances!CA127</f>
        <v>0</v>
      </c>
      <c r="BW11" s="949">
        <f>Balances!CB127</f>
        <v>0</v>
      </c>
      <c r="BX11" s="836">
        <f>Balances!CC127</f>
        <v>0</v>
      </c>
      <c r="BY11" s="836">
        <f>Balances!CD127</f>
        <v>0</v>
      </c>
      <c r="BZ11" s="836">
        <f>Balances!CE127</f>
        <v>0</v>
      </c>
      <c r="CA11" s="836">
        <f>Balances!CF127</f>
        <v>0</v>
      </c>
      <c r="CB11" s="836">
        <f>Balances!CG127</f>
        <v>0</v>
      </c>
      <c r="CC11" s="836">
        <f>Balances!CH127</f>
        <v>0</v>
      </c>
      <c r="CD11" s="836">
        <f>Balances!CI127</f>
        <v>0</v>
      </c>
      <c r="CE11" s="836">
        <f>Balances!CJ127</f>
        <v>0</v>
      </c>
      <c r="CF11" s="836">
        <f>Balances!CK127</f>
        <v>0</v>
      </c>
      <c r="CG11" s="836">
        <f>Balances!CL127</f>
        <v>0</v>
      </c>
      <c r="CH11" s="836">
        <f>Balances!CM127</f>
        <v>0</v>
      </c>
      <c r="CI11" s="949">
        <f>Balances!CN127</f>
        <v>0</v>
      </c>
      <c r="CJ11" s="836">
        <f>Balances!CO127</f>
        <v>0</v>
      </c>
      <c r="CK11" s="836">
        <f>Balances!CP127</f>
        <v>0</v>
      </c>
      <c r="CL11" s="836">
        <f>Balances!CQ127</f>
        <v>0</v>
      </c>
      <c r="CM11" s="836">
        <f>Balances!CR127</f>
        <v>0</v>
      </c>
      <c r="CN11" s="836">
        <f>Balances!CS127</f>
        <v>0</v>
      </c>
      <c r="CO11" s="836">
        <f>Balances!CT127</f>
        <v>0</v>
      </c>
      <c r="CP11" s="836">
        <f>Balances!CU127</f>
        <v>0</v>
      </c>
      <c r="CQ11" s="836">
        <f>Balances!CV127</f>
        <v>0</v>
      </c>
      <c r="CR11" s="836">
        <f>Balances!CW127</f>
        <v>0</v>
      </c>
      <c r="CS11" s="836">
        <f>Balances!CX127</f>
        <v>0</v>
      </c>
      <c r="CT11" s="836">
        <f>Balances!CY127</f>
        <v>0</v>
      </c>
      <c r="CU11" s="949">
        <f>Balances!CZ127</f>
        <v>0</v>
      </c>
      <c r="CV11" s="836">
        <f>Balances!DA127</f>
        <v>0</v>
      </c>
      <c r="CW11" s="836">
        <f>Balances!DB127</f>
        <v>0</v>
      </c>
      <c r="CX11" s="836">
        <f>Balances!DC127</f>
        <v>0</v>
      </c>
      <c r="CY11" s="836">
        <f>Balances!DD127</f>
        <v>0</v>
      </c>
      <c r="CZ11" s="836">
        <f>Balances!DE127</f>
        <v>0</v>
      </c>
      <c r="DA11" s="836">
        <f>Balances!DF127</f>
        <v>0</v>
      </c>
      <c r="DB11" s="836">
        <f>Balances!DG127</f>
        <v>0</v>
      </c>
      <c r="DC11" s="836">
        <f>Balances!DH127</f>
        <v>0</v>
      </c>
      <c r="DD11" s="836">
        <f>Balances!DI127</f>
        <v>0</v>
      </c>
      <c r="DE11" s="836">
        <f>Balances!DJ127</f>
        <v>0</v>
      </c>
      <c r="DF11" s="836">
        <f>Balances!DK127</f>
        <v>0</v>
      </c>
      <c r="DG11" s="836">
        <f>Balances!DL127</f>
        <v>0</v>
      </c>
      <c r="DH11" s="836"/>
      <c r="DI11" s="836">
        <f>SUM(D11:DG11)</f>
        <v>0</v>
      </c>
      <c r="DJ11" s="340"/>
      <c r="DK11" s="340"/>
    </row>
    <row r="12" spans="1:115" ht="14.4" thickTop="1" x14ac:dyDescent="0.3">
      <c r="B12" s="833" t="s">
        <v>117</v>
      </c>
      <c r="D12" s="340">
        <f>D9+D11</f>
        <v>0</v>
      </c>
      <c r="E12" s="340">
        <f t="shared" ref="E12:BP12" si="4">E9+E11</f>
        <v>0</v>
      </c>
      <c r="F12" s="340">
        <f t="shared" si="4"/>
        <v>0</v>
      </c>
      <c r="G12" s="340">
        <f t="shared" si="4"/>
        <v>0</v>
      </c>
      <c r="H12" s="340">
        <f t="shared" si="4"/>
        <v>0</v>
      </c>
      <c r="I12" s="340">
        <f t="shared" si="4"/>
        <v>0</v>
      </c>
      <c r="J12" s="340">
        <f t="shared" si="4"/>
        <v>0</v>
      </c>
      <c r="K12" s="340">
        <f t="shared" si="4"/>
        <v>0</v>
      </c>
      <c r="L12" s="340">
        <f t="shared" si="4"/>
        <v>0</v>
      </c>
      <c r="M12" s="340">
        <f t="shared" si="4"/>
        <v>0</v>
      </c>
      <c r="N12" s="340">
        <f t="shared" si="4"/>
        <v>0</v>
      </c>
      <c r="O12" s="562">
        <f t="shared" si="4"/>
        <v>0</v>
      </c>
      <c r="P12" s="340">
        <f t="shared" si="4"/>
        <v>0</v>
      </c>
      <c r="Q12" s="340">
        <f t="shared" si="4"/>
        <v>0</v>
      </c>
      <c r="R12" s="340">
        <f t="shared" si="4"/>
        <v>0</v>
      </c>
      <c r="S12" s="340">
        <f t="shared" si="4"/>
        <v>0</v>
      </c>
      <c r="T12" s="340">
        <f t="shared" si="4"/>
        <v>0</v>
      </c>
      <c r="U12" s="340">
        <f t="shared" si="4"/>
        <v>0</v>
      </c>
      <c r="V12" s="340">
        <f t="shared" si="4"/>
        <v>0</v>
      </c>
      <c r="W12" s="340">
        <f t="shared" si="4"/>
        <v>0</v>
      </c>
      <c r="X12" s="340">
        <f t="shared" si="4"/>
        <v>0</v>
      </c>
      <c r="Y12" s="340">
        <f t="shared" si="4"/>
        <v>0</v>
      </c>
      <c r="Z12" s="340">
        <f t="shared" si="4"/>
        <v>0</v>
      </c>
      <c r="AA12" s="562">
        <f t="shared" si="4"/>
        <v>0</v>
      </c>
      <c r="AB12" s="340">
        <f t="shared" si="4"/>
        <v>0</v>
      </c>
      <c r="AC12" s="340">
        <f t="shared" si="4"/>
        <v>0</v>
      </c>
      <c r="AD12" s="340">
        <f t="shared" si="4"/>
        <v>0</v>
      </c>
      <c r="AE12" s="340">
        <f t="shared" si="4"/>
        <v>0</v>
      </c>
      <c r="AF12" s="340">
        <f t="shared" si="4"/>
        <v>0</v>
      </c>
      <c r="AG12" s="340">
        <f t="shared" si="4"/>
        <v>0</v>
      </c>
      <c r="AH12" s="340">
        <f t="shared" si="4"/>
        <v>0</v>
      </c>
      <c r="AI12" s="340">
        <f t="shared" si="4"/>
        <v>0</v>
      </c>
      <c r="AJ12" s="340">
        <f t="shared" si="4"/>
        <v>0</v>
      </c>
      <c r="AK12" s="340">
        <f t="shared" si="4"/>
        <v>0</v>
      </c>
      <c r="AL12" s="340">
        <f t="shared" si="4"/>
        <v>0</v>
      </c>
      <c r="AM12" s="562">
        <f t="shared" si="4"/>
        <v>0</v>
      </c>
      <c r="AN12" s="340">
        <f t="shared" si="4"/>
        <v>0</v>
      </c>
      <c r="AO12" s="340">
        <f t="shared" si="4"/>
        <v>0</v>
      </c>
      <c r="AP12" s="340">
        <f t="shared" si="4"/>
        <v>0</v>
      </c>
      <c r="AQ12" s="340">
        <f t="shared" si="4"/>
        <v>0</v>
      </c>
      <c r="AR12" s="340">
        <f t="shared" si="4"/>
        <v>0</v>
      </c>
      <c r="AS12" s="340">
        <f t="shared" si="4"/>
        <v>0</v>
      </c>
      <c r="AT12" s="340">
        <f t="shared" si="4"/>
        <v>0</v>
      </c>
      <c r="AU12" s="340">
        <f t="shared" si="4"/>
        <v>0</v>
      </c>
      <c r="AV12" s="340">
        <f t="shared" si="4"/>
        <v>0</v>
      </c>
      <c r="AW12" s="340">
        <f t="shared" si="4"/>
        <v>0</v>
      </c>
      <c r="AX12" s="340">
        <f t="shared" si="4"/>
        <v>0</v>
      </c>
      <c r="AY12" s="562">
        <f t="shared" si="4"/>
        <v>0</v>
      </c>
      <c r="AZ12" s="340">
        <f t="shared" si="4"/>
        <v>0</v>
      </c>
      <c r="BA12" s="340">
        <f t="shared" si="4"/>
        <v>0</v>
      </c>
      <c r="BB12" s="340">
        <f t="shared" si="4"/>
        <v>0</v>
      </c>
      <c r="BC12" s="340">
        <f t="shared" si="4"/>
        <v>0</v>
      </c>
      <c r="BD12" s="340">
        <f t="shared" si="4"/>
        <v>0</v>
      </c>
      <c r="BE12" s="340">
        <f t="shared" si="4"/>
        <v>0</v>
      </c>
      <c r="BF12" s="340">
        <f t="shared" si="4"/>
        <v>0</v>
      </c>
      <c r="BG12" s="340">
        <f t="shared" si="4"/>
        <v>0</v>
      </c>
      <c r="BH12" s="340">
        <f t="shared" si="4"/>
        <v>0</v>
      </c>
      <c r="BI12" s="340">
        <f t="shared" si="4"/>
        <v>0</v>
      </c>
      <c r="BJ12" s="340">
        <f t="shared" si="4"/>
        <v>0</v>
      </c>
      <c r="BK12" s="562">
        <f t="shared" si="4"/>
        <v>0</v>
      </c>
      <c r="BL12" s="340">
        <f t="shared" si="4"/>
        <v>0</v>
      </c>
      <c r="BM12" s="340">
        <f t="shared" si="4"/>
        <v>0</v>
      </c>
      <c r="BN12" s="340">
        <f t="shared" si="4"/>
        <v>0</v>
      </c>
      <c r="BO12" s="340">
        <f t="shared" si="4"/>
        <v>0</v>
      </c>
      <c r="BP12" s="340">
        <f t="shared" si="4"/>
        <v>0</v>
      </c>
      <c r="BQ12" s="340">
        <f t="shared" ref="BQ12:DI12" si="5">BQ9+BQ11</f>
        <v>0</v>
      </c>
      <c r="BR12" s="340">
        <f t="shared" si="5"/>
        <v>0</v>
      </c>
      <c r="BS12" s="340">
        <f t="shared" si="5"/>
        <v>0</v>
      </c>
      <c r="BT12" s="340">
        <f t="shared" si="5"/>
        <v>0</v>
      </c>
      <c r="BU12" s="340">
        <f t="shared" si="5"/>
        <v>0</v>
      </c>
      <c r="BV12" s="340">
        <f t="shared" si="5"/>
        <v>0</v>
      </c>
      <c r="BW12" s="562">
        <f t="shared" si="5"/>
        <v>0</v>
      </c>
      <c r="BX12" s="340">
        <f t="shared" si="5"/>
        <v>0</v>
      </c>
      <c r="BY12" s="340">
        <f t="shared" si="5"/>
        <v>0</v>
      </c>
      <c r="BZ12" s="340">
        <f t="shared" si="5"/>
        <v>0</v>
      </c>
      <c r="CA12" s="340">
        <f t="shared" si="5"/>
        <v>0</v>
      </c>
      <c r="CB12" s="340">
        <f t="shared" si="5"/>
        <v>0</v>
      </c>
      <c r="CC12" s="340">
        <f t="shared" si="5"/>
        <v>0</v>
      </c>
      <c r="CD12" s="340">
        <f t="shared" si="5"/>
        <v>0</v>
      </c>
      <c r="CE12" s="340">
        <f t="shared" si="5"/>
        <v>0</v>
      </c>
      <c r="CF12" s="340">
        <f t="shared" si="5"/>
        <v>0</v>
      </c>
      <c r="CG12" s="340">
        <f t="shared" si="5"/>
        <v>0</v>
      </c>
      <c r="CH12" s="340">
        <f t="shared" si="5"/>
        <v>0</v>
      </c>
      <c r="CI12" s="562">
        <f t="shared" si="5"/>
        <v>0</v>
      </c>
      <c r="CJ12" s="340">
        <f t="shared" si="5"/>
        <v>0</v>
      </c>
      <c r="CK12" s="340">
        <f t="shared" si="5"/>
        <v>0</v>
      </c>
      <c r="CL12" s="340">
        <f t="shared" si="5"/>
        <v>0</v>
      </c>
      <c r="CM12" s="340">
        <f t="shared" si="5"/>
        <v>0</v>
      </c>
      <c r="CN12" s="340">
        <f t="shared" si="5"/>
        <v>0</v>
      </c>
      <c r="CO12" s="340">
        <f t="shared" si="5"/>
        <v>0</v>
      </c>
      <c r="CP12" s="340">
        <f t="shared" si="5"/>
        <v>0</v>
      </c>
      <c r="CQ12" s="340">
        <f t="shared" si="5"/>
        <v>0</v>
      </c>
      <c r="CR12" s="340">
        <f t="shared" si="5"/>
        <v>0</v>
      </c>
      <c r="CS12" s="340">
        <f t="shared" si="5"/>
        <v>0</v>
      </c>
      <c r="CT12" s="340">
        <f t="shared" si="5"/>
        <v>0</v>
      </c>
      <c r="CU12" s="562">
        <f t="shared" si="5"/>
        <v>0</v>
      </c>
      <c r="CV12" s="340">
        <f t="shared" si="5"/>
        <v>0</v>
      </c>
      <c r="CW12" s="340">
        <f t="shared" si="5"/>
        <v>0</v>
      </c>
      <c r="CX12" s="340">
        <f t="shared" si="5"/>
        <v>0</v>
      </c>
      <c r="CY12" s="340">
        <f t="shared" si="5"/>
        <v>0</v>
      </c>
      <c r="CZ12" s="340">
        <f t="shared" si="5"/>
        <v>0</v>
      </c>
      <c r="DA12" s="340">
        <f t="shared" si="5"/>
        <v>0</v>
      </c>
      <c r="DB12" s="340">
        <f t="shared" si="5"/>
        <v>0</v>
      </c>
      <c r="DC12" s="340">
        <f t="shared" si="5"/>
        <v>0</v>
      </c>
      <c r="DD12" s="340">
        <f t="shared" si="5"/>
        <v>0</v>
      </c>
      <c r="DE12" s="340">
        <f t="shared" si="5"/>
        <v>0</v>
      </c>
      <c r="DF12" s="340">
        <f t="shared" si="5"/>
        <v>0</v>
      </c>
      <c r="DG12" s="340">
        <f t="shared" si="5"/>
        <v>0</v>
      </c>
      <c r="DH12" s="340"/>
      <c r="DI12" s="340">
        <f t="shared" si="5"/>
        <v>0</v>
      </c>
      <c r="DJ12" s="340"/>
      <c r="DK12" s="340"/>
    </row>
    <row r="13" spans="1:115" x14ac:dyDescent="0.3">
      <c r="D13" s="340"/>
      <c r="E13" s="340"/>
      <c r="F13" s="340"/>
      <c r="G13" s="340"/>
      <c r="H13" s="340"/>
      <c r="I13" s="340"/>
      <c r="J13" s="340"/>
      <c r="K13" s="340"/>
      <c r="L13" s="340"/>
      <c r="M13" s="340"/>
      <c r="N13" s="340"/>
      <c r="O13" s="340"/>
      <c r="P13" s="340"/>
      <c r="Q13" s="340"/>
      <c r="R13" s="340"/>
      <c r="S13" s="340"/>
      <c r="T13" s="340"/>
      <c r="U13" s="340"/>
      <c r="V13" s="340"/>
      <c r="W13" s="340"/>
      <c r="X13" s="340"/>
      <c r="Y13" s="340"/>
      <c r="Z13" s="340"/>
      <c r="AA13" s="340"/>
      <c r="AB13" s="340"/>
      <c r="AC13" s="340"/>
      <c r="AD13" s="340"/>
      <c r="AE13" s="340"/>
      <c r="AF13" s="340"/>
      <c r="AG13" s="340"/>
      <c r="AH13" s="340"/>
      <c r="AI13" s="340"/>
      <c r="AJ13" s="340"/>
      <c r="AK13" s="340"/>
      <c r="AL13" s="340"/>
      <c r="AM13" s="340"/>
      <c r="AN13" s="340"/>
      <c r="AO13" s="340"/>
      <c r="AP13" s="340"/>
      <c r="AQ13" s="340"/>
      <c r="AR13" s="340"/>
      <c r="AS13" s="340"/>
      <c r="AT13" s="340"/>
      <c r="AU13" s="340"/>
      <c r="AV13" s="340"/>
      <c r="AW13" s="340"/>
      <c r="AX13" s="340"/>
      <c r="AY13" s="340"/>
      <c r="AZ13" s="340"/>
      <c r="BA13" s="340"/>
      <c r="BB13" s="340"/>
      <c r="BC13" s="340"/>
      <c r="BD13" s="340"/>
      <c r="BE13" s="340"/>
      <c r="BF13" s="340"/>
      <c r="BG13" s="340"/>
      <c r="BH13" s="340"/>
      <c r="BI13" s="340"/>
      <c r="BJ13" s="340"/>
      <c r="BK13" s="340"/>
      <c r="BL13" s="340"/>
      <c r="BM13" s="340"/>
      <c r="BN13" s="340"/>
      <c r="BO13" s="340"/>
      <c r="BP13" s="340"/>
      <c r="BQ13" s="340"/>
      <c r="BR13" s="340"/>
      <c r="BS13" s="340"/>
      <c r="BT13" s="340"/>
      <c r="BU13" s="340"/>
      <c r="BV13" s="340"/>
      <c r="BW13" s="340"/>
      <c r="BX13" s="340"/>
      <c r="BY13" s="340"/>
      <c r="BZ13" s="340"/>
      <c r="CA13" s="340"/>
      <c r="CB13" s="340"/>
      <c r="CC13" s="340"/>
      <c r="CD13" s="340"/>
      <c r="CE13" s="340"/>
      <c r="CF13" s="340"/>
      <c r="CG13" s="340"/>
      <c r="CH13" s="340"/>
      <c r="CI13" s="340"/>
      <c r="CJ13" s="340"/>
      <c r="CK13" s="340"/>
      <c r="CL13" s="340"/>
      <c r="CM13" s="340"/>
      <c r="CN13" s="340"/>
      <c r="CO13" s="340"/>
      <c r="CP13" s="340"/>
      <c r="CQ13" s="340"/>
      <c r="CR13" s="340"/>
      <c r="CS13" s="340"/>
      <c r="CT13" s="340"/>
      <c r="CU13" s="340"/>
      <c r="CV13" s="340"/>
      <c r="CW13" s="340"/>
      <c r="CX13" s="340"/>
      <c r="CY13" s="340"/>
      <c r="CZ13" s="340"/>
      <c r="DA13" s="340"/>
      <c r="DB13" s="340"/>
      <c r="DC13" s="340"/>
      <c r="DD13" s="340"/>
      <c r="DE13" s="340"/>
      <c r="DF13" s="340"/>
      <c r="DG13" s="340"/>
      <c r="DH13" s="340"/>
      <c r="DI13" s="340"/>
      <c r="DJ13" s="340"/>
      <c r="DK13" s="340"/>
    </row>
    <row r="14" spans="1:115" ht="14.4" thickBot="1" x14ac:dyDescent="0.35">
      <c r="B14" s="327"/>
      <c r="C14" s="327"/>
      <c r="D14" s="840"/>
      <c r="E14" s="840"/>
      <c r="F14" s="840"/>
      <c r="G14" s="840"/>
      <c r="H14" s="840"/>
      <c r="I14" s="840"/>
      <c r="J14" s="840"/>
      <c r="K14" s="840"/>
      <c r="L14" s="840"/>
      <c r="M14" s="840"/>
    </row>
    <row r="15" spans="1:115" ht="14.4" thickBot="1" x14ac:dyDescent="0.35">
      <c r="B15" s="841" t="s">
        <v>795</v>
      </c>
      <c r="C15" s="327"/>
      <c r="D15" s="842" t="s">
        <v>133</v>
      </c>
      <c r="E15" s="842" t="s">
        <v>672</v>
      </c>
      <c r="F15" s="842" t="s">
        <v>673</v>
      </c>
      <c r="G15" s="842" t="s">
        <v>674</v>
      </c>
      <c r="H15" s="842" t="s">
        <v>675</v>
      </c>
      <c r="I15" s="842" t="s">
        <v>678</v>
      </c>
      <c r="J15" s="842" t="s">
        <v>679</v>
      </c>
      <c r="K15" s="842" t="s">
        <v>698</v>
      </c>
      <c r="L15" s="842" t="s">
        <v>699</v>
      </c>
      <c r="M15" s="842" t="s">
        <v>117</v>
      </c>
      <c r="N15" s="926"/>
    </row>
    <row r="16" spans="1:115" x14ac:dyDescent="0.3">
      <c r="B16" s="456" t="str">
        <f>B6</f>
        <v>PH II Capital</v>
      </c>
      <c r="D16" s="340">
        <f>SUM(D6:O6)</f>
        <v>0</v>
      </c>
      <c r="E16" s="340">
        <f>SUM(P6:AA6)</f>
        <v>0</v>
      </c>
      <c r="F16" s="340">
        <f>SUM(AB6:AM6)</f>
        <v>0</v>
      </c>
      <c r="G16" s="340">
        <f>SUM(AN6:AY6)</f>
        <v>0</v>
      </c>
      <c r="H16" s="340">
        <f>SUM(AZ6:BK6)</f>
        <v>0</v>
      </c>
      <c r="I16" s="340">
        <f>SUM(BL6:BW6)</f>
        <v>0</v>
      </c>
      <c r="J16" s="340">
        <f>SUM(BX6:CI6)</f>
        <v>0</v>
      </c>
      <c r="K16" s="340">
        <f>SUM(CJ6:CU6)</f>
        <v>0</v>
      </c>
      <c r="L16" s="340">
        <f>SUM(CV6:DG6)</f>
        <v>0</v>
      </c>
      <c r="M16" s="340">
        <f>SUM(C16:L16)</f>
        <v>0</v>
      </c>
      <c r="N16" s="340"/>
    </row>
    <row r="17" spans="2:115" x14ac:dyDescent="0.3">
      <c r="B17" s="456" t="str">
        <f>B7</f>
        <v>Initial Equity</v>
      </c>
      <c r="D17" s="340">
        <f>SUM(D7:O7)</f>
        <v>0</v>
      </c>
      <c r="E17" s="340">
        <f>SUM(P7:AA7)</f>
        <v>0</v>
      </c>
      <c r="F17" s="340">
        <f>SUM(AB7:AM7)</f>
        <v>0</v>
      </c>
      <c r="G17" s="340">
        <f>SUM(AN7:AY7)</f>
        <v>0</v>
      </c>
      <c r="H17" s="340">
        <f>SUM(AZ7:BK7)</f>
        <v>0</v>
      </c>
      <c r="I17" s="340">
        <f>SUM(BL7:BW7)</f>
        <v>0</v>
      </c>
      <c r="J17" s="340">
        <f>SUM(BX7:CI7)</f>
        <v>0</v>
      </c>
      <c r="K17" s="340">
        <f>SUM(CJ7:CU7)</f>
        <v>0</v>
      </c>
      <c r="L17" s="340">
        <f>SUM(CV7:DG7)</f>
        <v>0</v>
      </c>
      <c r="M17" s="340">
        <f t="shared" ref="M17:M18" si="6">SUM(C17:L17)</f>
        <v>0</v>
      </c>
      <c r="N17" s="340"/>
    </row>
    <row r="18" spans="2:115" x14ac:dyDescent="0.3">
      <c r="B18" s="831" t="str">
        <f>B8</f>
        <v xml:space="preserve">Mark </v>
      </c>
      <c r="C18" s="342"/>
      <c r="D18" s="344">
        <f>SUM(D8:O8)</f>
        <v>0</v>
      </c>
      <c r="E18" s="344">
        <f>SUM(P8:AA8)</f>
        <v>0</v>
      </c>
      <c r="F18" s="344">
        <f>SUM(AB8:AM8)</f>
        <v>0</v>
      </c>
      <c r="G18" s="344">
        <f>SUM(AN8:AY8)</f>
        <v>0</v>
      </c>
      <c r="H18" s="344">
        <f>SUM(AZ8:BK8)</f>
        <v>0</v>
      </c>
      <c r="I18" s="344">
        <f>SUM(BL8:BW8)</f>
        <v>0</v>
      </c>
      <c r="J18" s="344">
        <f>SUM(BX8:CI8)</f>
        <v>0</v>
      </c>
      <c r="K18" s="344">
        <f>SUM(CJ8:CU8)</f>
        <v>0</v>
      </c>
      <c r="L18" s="344">
        <f>SUM(CV8:DG8)</f>
        <v>0</v>
      </c>
      <c r="M18" s="344">
        <f t="shared" si="6"/>
        <v>0</v>
      </c>
      <c r="N18" s="340"/>
    </row>
    <row r="19" spans="2:115" x14ac:dyDescent="0.3">
      <c r="B19" s="456" t="s">
        <v>252</v>
      </c>
      <c r="D19" s="340">
        <f t="shared" ref="D19:L19" si="7">SUM(D16:D18)</f>
        <v>0</v>
      </c>
      <c r="E19" s="340">
        <f t="shared" si="7"/>
        <v>0</v>
      </c>
      <c r="F19" s="340">
        <f t="shared" si="7"/>
        <v>0</v>
      </c>
      <c r="G19" s="340">
        <f t="shared" si="7"/>
        <v>0</v>
      </c>
      <c r="H19" s="340">
        <f t="shared" si="7"/>
        <v>0</v>
      </c>
      <c r="I19" s="340">
        <f t="shared" si="7"/>
        <v>0</v>
      </c>
      <c r="J19" s="340">
        <f t="shared" si="7"/>
        <v>0</v>
      </c>
      <c r="K19" s="340">
        <f t="shared" si="7"/>
        <v>0</v>
      </c>
      <c r="L19" s="340">
        <f t="shared" si="7"/>
        <v>0</v>
      </c>
      <c r="M19" s="340">
        <f t="shared" ref="M19" si="8">SUM(M16:M18)</f>
        <v>0</v>
      </c>
      <c r="N19" s="340"/>
    </row>
    <row r="21" spans="2:115" ht="14.4" thickBot="1" x14ac:dyDescent="0.35">
      <c r="B21" s="834" t="s">
        <v>788</v>
      </c>
      <c r="C21" s="835"/>
      <c r="D21" s="836">
        <f>SUM(D11:O11)</f>
        <v>0</v>
      </c>
      <c r="E21" s="836">
        <f>SUM(P11:AA11)</f>
        <v>0</v>
      </c>
      <c r="F21" s="836">
        <f>SUM(AB11:AM11)</f>
        <v>0</v>
      </c>
      <c r="G21" s="836">
        <f>SUM(AN11:AY11)</f>
        <v>0</v>
      </c>
      <c r="H21" s="836">
        <f>SUM(AZ11:BK11)</f>
        <v>0</v>
      </c>
      <c r="I21" s="836">
        <f>SUM(BL11:BW11)</f>
        <v>0</v>
      </c>
      <c r="J21" s="836">
        <f>SUM(BX11:CI11)</f>
        <v>0</v>
      </c>
      <c r="K21" s="836">
        <f>SUM(CJ11:CU11)</f>
        <v>0</v>
      </c>
      <c r="L21" s="836">
        <f>SUM(CV11:DG11)</f>
        <v>0</v>
      </c>
      <c r="M21" s="836">
        <f>SUM(C21:L21)</f>
        <v>0</v>
      </c>
      <c r="N21" s="340"/>
      <c r="O21" s="340"/>
      <c r="P21" s="340"/>
      <c r="Q21" s="340"/>
      <c r="R21" s="340"/>
      <c r="S21" s="340"/>
      <c r="T21" s="340"/>
      <c r="U21" s="340"/>
      <c r="V21" s="340"/>
      <c r="W21" s="340"/>
      <c r="X21" s="340"/>
      <c r="Y21" s="340"/>
      <c r="Z21" s="340"/>
      <c r="AA21" s="340"/>
      <c r="AB21" s="340"/>
      <c r="AC21" s="340"/>
      <c r="AD21" s="340"/>
      <c r="AE21" s="340"/>
      <c r="AF21" s="340"/>
      <c r="AG21" s="340"/>
      <c r="AH21" s="340"/>
      <c r="AI21" s="340"/>
      <c r="AJ21" s="340"/>
      <c r="AK21" s="340"/>
      <c r="AL21" s="340"/>
      <c r="AM21" s="340"/>
      <c r="AN21" s="340"/>
      <c r="AO21" s="340"/>
      <c r="AP21" s="340"/>
      <c r="AQ21" s="340"/>
      <c r="AR21" s="340"/>
      <c r="AS21" s="340"/>
      <c r="AT21" s="340"/>
      <c r="AU21" s="340"/>
      <c r="AV21" s="340"/>
      <c r="AW21" s="340"/>
      <c r="AX21" s="340"/>
      <c r="AY21" s="340"/>
      <c r="AZ21" s="340"/>
      <c r="BA21" s="340"/>
      <c r="BB21" s="340"/>
      <c r="BC21" s="340"/>
      <c r="BD21" s="340"/>
      <c r="BE21" s="340"/>
      <c r="BF21" s="340"/>
      <c r="BG21" s="340"/>
      <c r="BH21" s="340"/>
      <c r="BI21" s="340"/>
      <c r="BJ21" s="340"/>
      <c r="BK21" s="340"/>
      <c r="BL21" s="340"/>
      <c r="BM21" s="340"/>
      <c r="BN21" s="340"/>
      <c r="BO21" s="340"/>
      <c r="BP21" s="340"/>
      <c r="BQ21" s="340"/>
      <c r="BR21" s="340"/>
      <c r="BS21" s="340"/>
      <c r="BT21" s="340"/>
      <c r="BU21" s="340"/>
      <c r="BV21" s="340"/>
      <c r="BW21" s="340"/>
      <c r="BX21" s="340"/>
      <c r="BY21" s="340"/>
      <c r="BZ21" s="340"/>
      <c r="CA21" s="340"/>
      <c r="CB21" s="340"/>
      <c r="CC21" s="340"/>
      <c r="CD21" s="340"/>
      <c r="CE21" s="340"/>
      <c r="CF21" s="340"/>
      <c r="CG21" s="340"/>
      <c r="CH21" s="340"/>
      <c r="CI21" s="340"/>
      <c r="CJ21" s="340"/>
      <c r="CK21" s="340"/>
      <c r="CL21" s="340"/>
      <c r="CM21" s="340"/>
      <c r="CN21" s="340"/>
      <c r="CO21" s="340"/>
      <c r="CP21" s="340"/>
      <c r="CQ21" s="340"/>
      <c r="CR21" s="340"/>
      <c r="CS21" s="340"/>
      <c r="CT21" s="340"/>
      <c r="CU21" s="340"/>
      <c r="CV21" s="340"/>
      <c r="CW21" s="340"/>
      <c r="CX21" s="340"/>
      <c r="CY21" s="340"/>
      <c r="CZ21" s="340"/>
      <c r="DA21" s="340"/>
      <c r="DB21" s="340"/>
      <c r="DC21" s="340"/>
      <c r="DD21" s="340"/>
      <c r="DE21" s="340"/>
      <c r="DF21" s="340"/>
      <c r="DG21" s="340"/>
      <c r="DH21" s="340"/>
      <c r="DI21" s="340"/>
      <c r="DJ21" s="340"/>
      <c r="DK21" s="340"/>
    </row>
    <row r="22" spans="2:115" ht="14.4" thickTop="1" x14ac:dyDescent="0.3">
      <c r="B22" s="833" t="s">
        <v>117</v>
      </c>
      <c r="D22" s="340">
        <f>D19+D21</f>
        <v>0</v>
      </c>
      <c r="E22" s="340">
        <f t="shared" ref="E22:L22" si="9">E19+E21</f>
        <v>0</v>
      </c>
      <c r="F22" s="340">
        <f t="shared" si="9"/>
        <v>0</v>
      </c>
      <c r="G22" s="340">
        <f t="shared" si="9"/>
        <v>0</v>
      </c>
      <c r="H22" s="340">
        <f t="shared" si="9"/>
        <v>0</v>
      </c>
      <c r="I22" s="340">
        <f t="shared" si="9"/>
        <v>0</v>
      </c>
      <c r="J22" s="340">
        <f t="shared" si="9"/>
        <v>0</v>
      </c>
      <c r="K22" s="340">
        <f t="shared" si="9"/>
        <v>0</v>
      </c>
      <c r="L22" s="340">
        <f t="shared" si="9"/>
        <v>0</v>
      </c>
      <c r="M22" s="340">
        <f t="shared" ref="M22" si="10">M19+M21</f>
        <v>0</v>
      </c>
      <c r="N22" s="340"/>
    </row>
  </sheetData>
  <mergeCells count="9">
    <mergeCell ref="BX2:CI2"/>
    <mergeCell ref="CJ2:CU2"/>
    <mergeCell ref="CV2:DG2"/>
    <mergeCell ref="D2:O2"/>
    <mergeCell ref="P2:AA2"/>
    <mergeCell ref="AB2:AM2"/>
    <mergeCell ref="AN2:AY2"/>
    <mergeCell ref="AZ2:BK2"/>
    <mergeCell ref="BL2:BW2"/>
  </mergeCells>
  <phoneticPr fontId="13" type="noConversion"/>
  <pageMargins left="0.7" right="0.7" top="0.75" bottom="0.75" header="0.3" footer="0.3"/>
  <pageSetup orientation="portrait" horizontalDpi="0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C2:DQ164"/>
  <sheetViews>
    <sheetView workbookViewId="0">
      <selection activeCell="T55" sqref="T55"/>
    </sheetView>
  </sheetViews>
  <sheetFormatPr defaultColWidth="9.109375" defaultRowHeight="13.8" outlineLevelRow="1" x14ac:dyDescent="0.3"/>
  <cols>
    <col min="1" max="5" width="1.77734375" style="323" customWidth="1"/>
    <col min="6" max="6" width="37.88671875" style="323" customWidth="1"/>
    <col min="7" max="7" width="12.109375" style="323" bestFit="1" customWidth="1"/>
    <col min="8" max="8" width="18.88671875" style="323" bestFit="1" customWidth="1"/>
    <col min="9" max="9" width="1.77734375" style="323" customWidth="1"/>
    <col min="10" max="118" width="14.77734375" style="323" customWidth="1"/>
    <col min="119" max="119" width="1.77734375" style="323" customWidth="1"/>
    <col min="120" max="120" width="13.21875" style="323" bestFit="1" customWidth="1"/>
    <col min="121" max="121" width="13.44140625" style="323" bestFit="1" customWidth="1"/>
    <col min="122" max="16384" width="9.109375" style="323"/>
  </cols>
  <sheetData>
    <row r="2" spans="3:121" s="494" customFormat="1" ht="14.4" thickBot="1" x14ac:dyDescent="0.35">
      <c r="H2" s="456" t="s">
        <v>775</v>
      </c>
      <c r="J2" s="535">
        <v>30</v>
      </c>
      <c r="K2" s="535">
        <v>31</v>
      </c>
      <c r="L2" s="535">
        <v>30</v>
      </c>
      <c r="M2" s="535">
        <v>31</v>
      </c>
      <c r="N2" s="535">
        <v>31</v>
      </c>
      <c r="O2" s="535">
        <v>30</v>
      </c>
      <c r="P2" s="535">
        <v>31</v>
      </c>
      <c r="Q2" s="535">
        <v>30</v>
      </c>
      <c r="R2" s="535">
        <v>31</v>
      </c>
      <c r="S2" s="535">
        <v>31</v>
      </c>
      <c r="T2" s="535">
        <v>28</v>
      </c>
      <c r="U2" s="535">
        <v>31</v>
      </c>
      <c r="V2" s="535">
        <v>30</v>
      </c>
      <c r="W2" s="535">
        <v>31</v>
      </c>
      <c r="X2" s="535">
        <v>30</v>
      </c>
      <c r="Y2" s="535">
        <v>31</v>
      </c>
      <c r="Z2" s="535">
        <v>31</v>
      </c>
      <c r="AA2" s="535">
        <v>30</v>
      </c>
      <c r="AB2" s="535">
        <v>31</v>
      </c>
      <c r="AC2" s="535">
        <v>30</v>
      </c>
      <c r="AD2" s="535">
        <v>31</v>
      </c>
      <c r="AE2" s="535">
        <v>31</v>
      </c>
      <c r="AF2" s="535">
        <v>28</v>
      </c>
      <c r="AG2" s="535">
        <v>31</v>
      </c>
      <c r="AH2" s="535">
        <v>30</v>
      </c>
      <c r="AI2" s="535">
        <v>31</v>
      </c>
      <c r="AJ2" s="535">
        <v>30</v>
      </c>
      <c r="AK2" s="535">
        <v>31</v>
      </c>
      <c r="AL2" s="535">
        <v>31</v>
      </c>
      <c r="AM2" s="535">
        <v>30</v>
      </c>
      <c r="AN2" s="535">
        <v>31</v>
      </c>
      <c r="AO2" s="535">
        <v>30</v>
      </c>
      <c r="AP2" s="535">
        <v>31</v>
      </c>
      <c r="AQ2" s="535">
        <v>31</v>
      </c>
      <c r="AR2" s="535">
        <v>28</v>
      </c>
      <c r="AS2" s="535">
        <v>31</v>
      </c>
      <c r="AT2" s="535">
        <v>30</v>
      </c>
      <c r="AU2" s="535">
        <v>31</v>
      </c>
      <c r="AV2" s="535">
        <v>30</v>
      </c>
      <c r="AW2" s="535">
        <v>31</v>
      </c>
      <c r="AX2" s="535">
        <v>31</v>
      </c>
      <c r="AY2" s="535">
        <v>30</v>
      </c>
      <c r="AZ2" s="535">
        <v>31</v>
      </c>
      <c r="BA2" s="535">
        <v>30</v>
      </c>
      <c r="BB2" s="535">
        <v>31</v>
      </c>
      <c r="BC2" s="535">
        <v>31</v>
      </c>
      <c r="BD2" s="535">
        <v>29</v>
      </c>
      <c r="BE2" s="535">
        <v>31</v>
      </c>
      <c r="BF2" s="535">
        <v>30</v>
      </c>
      <c r="BG2" s="535">
        <v>31</v>
      </c>
      <c r="BH2" s="535">
        <v>30</v>
      </c>
      <c r="BI2" s="535">
        <v>31</v>
      </c>
      <c r="BJ2" s="535">
        <v>31</v>
      </c>
      <c r="BK2" s="535">
        <v>30</v>
      </c>
      <c r="BL2" s="535">
        <v>31</v>
      </c>
      <c r="BM2" s="535">
        <v>30</v>
      </c>
      <c r="BN2" s="535">
        <v>31</v>
      </c>
      <c r="BO2" s="535">
        <v>31</v>
      </c>
      <c r="BP2" s="535">
        <v>28</v>
      </c>
      <c r="BQ2" s="535">
        <v>31</v>
      </c>
      <c r="BR2" s="535">
        <v>30</v>
      </c>
      <c r="BS2" s="535">
        <v>31</v>
      </c>
      <c r="BT2" s="535">
        <v>30</v>
      </c>
      <c r="BU2" s="535">
        <v>31</v>
      </c>
      <c r="BV2" s="535">
        <v>31</v>
      </c>
      <c r="BW2" s="535">
        <v>30</v>
      </c>
      <c r="BX2" s="535">
        <v>31</v>
      </c>
      <c r="BY2" s="535">
        <v>30</v>
      </c>
      <c r="BZ2" s="535">
        <v>31</v>
      </c>
      <c r="CA2" s="535">
        <v>31</v>
      </c>
      <c r="CB2" s="535">
        <v>28</v>
      </c>
      <c r="CC2" s="535">
        <v>31</v>
      </c>
      <c r="CD2" s="535">
        <v>30</v>
      </c>
      <c r="CE2" s="535">
        <v>31</v>
      </c>
      <c r="CF2" s="535">
        <v>30</v>
      </c>
      <c r="CG2" s="535">
        <v>31</v>
      </c>
      <c r="CH2" s="535">
        <v>31</v>
      </c>
      <c r="CI2" s="535">
        <v>30</v>
      </c>
      <c r="CJ2" s="535">
        <v>31</v>
      </c>
      <c r="CK2" s="535">
        <v>30</v>
      </c>
      <c r="CL2" s="535">
        <v>31</v>
      </c>
      <c r="CM2" s="535">
        <v>31</v>
      </c>
      <c r="CN2" s="535">
        <v>28</v>
      </c>
      <c r="CO2" s="535">
        <v>31</v>
      </c>
      <c r="CP2" s="535">
        <v>30</v>
      </c>
      <c r="CQ2" s="535">
        <v>31</v>
      </c>
      <c r="CR2" s="535">
        <v>30</v>
      </c>
      <c r="CS2" s="535">
        <v>31</v>
      </c>
      <c r="CT2" s="535">
        <v>31</v>
      </c>
      <c r="CU2" s="535">
        <v>30</v>
      </c>
      <c r="CV2" s="535">
        <v>31</v>
      </c>
      <c r="CW2" s="535">
        <v>30</v>
      </c>
      <c r="CX2" s="535">
        <v>31</v>
      </c>
      <c r="CY2" s="535">
        <v>31</v>
      </c>
      <c r="CZ2" s="535">
        <v>28</v>
      </c>
      <c r="DA2" s="535">
        <v>31</v>
      </c>
      <c r="DB2" s="535">
        <v>30</v>
      </c>
      <c r="DC2" s="535">
        <v>31</v>
      </c>
      <c r="DD2" s="535">
        <v>30</v>
      </c>
      <c r="DE2" s="535">
        <v>31</v>
      </c>
      <c r="DF2" s="535">
        <v>31</v>
      </c>
      <c r="DG2" s="535">
        <v>30</v>
      </c>
      <c r="DH2" s="535">
        <v>31</v>
      </c>
      <c r="DI2" s="535">
        <v>30</v>
      </c>
      <c r="DJ2" s="535">
        <v>31</v>
      </c>
      <c r="DK2" s="535">
        <v>31</v>
      </c>
      <c r="DL2" s="535">
        <v>28</v>
      </c>
      <c r="DM2" s="535">
        <v>31</v>
      </c>
      <c r="DN2" s="535">
        <v>30</v>
      </c>
    </row>
    <row r="3" spans="3:121" s="375" customFormat="1" ht="14.4" thickBot="1" x14ac:dyDescent="0.35">
      <c r="J3" s="337" t="s">
        <v>511</v>
      </c>
      <c r="K3" s="1009" t="s">
        <v>133</v>
      </c>
      <c r="L3" s="1010"/>
      <c r="M3" s="1010"/>
      <c r="N3" s="1010"/>
      <c r="O3" s="1010"/>
      <c r="P3" s="1010"/>
      <c r="Q3" s="1010"/>
      <c r="R3" s="1010"/>
      <c r="S3" s="1010"/>
      <c r="T3" s="1010"/>
      <c r="U3" s="1010"/>
      <c r="V3" s="1011"/>
      <c r="W3" s="1009" t="s">
        <v>672</v>
      </c>
      <c r="X3" s="1010"/>
      <c r="Y3" s="1010"/>
      <c r="Z3" s="1010"/>
      <c r="AA3" s="1010"/>
      <c r="AB3" s="1010"/>
      <c r="AC3" s="1010"/>
      <c r="AD3" s="1010"/>
      <c r="AE3" s="1010"/>
      <c r="AF3" s="1010"/>
      <c r="AG3" s="1010"/>
      <c r="AH3" s="1011"/>
      <c r="AI3" s="1009" t="s">
        <v>673</v>
      </c>
      <c r="AJ3" s="1010"/>
      <c r="AK3" s="1010"/>
      <c r="AL3" s="1010"/>
      <c r="AM3" s="1010"/>
      <c r="AN3" s="1010"/>
      <c r="AO3" s="1010"/>
      <c r="AP3" s="1010"/>
      <c r="AQ3" s="1010"/>
      <c r="AR3" s="1010"/>
      <c r="AS3" s="1010"/>
      <c r="AT3" s="1011"/>
      <c r="AU3" s="1009" t="s">
        <v>674</v>
      </c>
      <c r="AV3" s="1010"/>
      <c r="AW3" s="1010"/>
      <c r="AX3" s="1010"/>
      <c r="AY3" s="1010"/>
      <c r="AZ3" s="1010"/>
      <c r="BA3" s="1010"/>
      <c r="BB3" s="1010"/>
      <c r="BC3" s="1010"/>
      <c r="BD3" s="1010"/>
      <c r="BE3" s="1010"/>
      <c r="BF3" s="1011"/>
      <c r="BG3" s="1009" t="s">
        <v>675</v>
      </c>
      <c r="BH3" s="1010"/>
      <c r="BI3" s="1010"/>
      <c r="BJ3" s="1010"/>
      <c r="BK3" s="1010"/>
      <c r="BL3" s="1010"/>
      <c r="BM3" s="1010"/>
      <c r="BN3" s="1010"/>
      <c r="BO3" s="1010"/>
      <c r="BP3" s="1010"/>
      <c r="BQ3" s="1010"/>
      <c r="BR3" s="1011"/>
      <c r="BS3" s="1009" t="s">
        <v>678</v>
      </c>
      <c r="BT3" s="1010"/>
      <c r="BU3" s="1010"/>
      <c r="BV3" s="1010"/>
      <c r="BW3" s="1010"/>
      <c r="BX3" s="1010"/>
      <c r="BY3" s="1010"/>
      <c r="BZ3" s="1010"/>
      <c r="CA3" s="1010"/>
      <c r="CB3" s="1010"/>
      <c r="CC3" s="1010"/>
      <c r="CD3" s="1011"/>
      <c r="CE3" s="1009" t="s">
        <v>679</v>
      </c>
      <c r="CF3" s="1010"/>
      <c r="CG3" s="1010"/>
      <c r="CH3" s="1010"/>
      <c r="CI3" s="1010"/>
      <c r="CJ3" s="1010"/>
      <c r="CK3" s="1010"/>
      <c r="CL3" s="1010"/>
      <c r="CM3" s="1010"/>
      <c r="CN3" s="1010"/>
      <c r="CO3" s="1010"/>
      <c r="CP3" s="1011"/>
      <c r="CQ3" s="1009" t="s">
        <v>698</v>
      </c>
      <c r="CR3" s="1010"/>
      <c r="CS3" s="1010"/>
      <c r="CT3" s="1010"/>
      <c r="CU3" s="1010"/>
      <c r="CV3" s="1010"/>
      <c r="CW3" s="1010"/>
      <c r="CX3" s="1010"/>
      <c r="CY3" s="1010"/>
      <c r="CZ3" s="1010"/>
      <c r="DA3" s="1010"/>
      <c r="DB3" s="1011"/>
      <c r="DC3" s="1009" t="s">
        <v>699</v>
      </c>
      <c r="DD3" s="1010"/>
      <c r="DE3" s="1010"/>
      <c r="DF3" s="1010"/>
      <c r="DG3" s="1010"/>
      <c r="DH3" s="1010"/>
      <c r="DI3" s="1010"/>
      <c r="DJ3" s="1010"/>
      <c r="DK3" s="1010"/>
      <c r="DL3" s="1010"/>
      <c r="DM3" s="1010"/>
      <c r="DN3" s="1011"/>
    </row>
    <row r="4" spans="3:121" ht="14.4" thickBot="1" x14ac:dyDescent="0.35">
      <c r="C4" s="327"/>
      <c r="D4" s="327"/>
      <c r="E4" s="327"/>
      <c r="F4" s="327"/>
      <c r="G4" s="327"/>
      <c r="H4" s="327"/>
      <c r="I4" s="327"/>
      <c r="J4" s="891">
        <v>45383</v>
      </c>
      <c r="K4" s="890">
        <v>45413</v>
      </c>
      <c r="L4" s="890">
        <v>45444</v>
      </c>
      <c r="M4" s="890">
        <v>45474</v>
      </c>
      <c r="N4" s="890">
        <v>45505</v>
      </c>
      <c r="O4" s="890">
        <v>45536</v>
      </c>
      <c r="P4" s="890">
        <v>45566</v>
      </c>
      <c r="Q4" s="890">
        <v>45597</v>
      </c>
      <c r="R4" s="890">
        <v>45627</v>
      </c>
      <c r="S4" s="890">
        <v>45658</v>
      </c>
      <c r="T4" s="890">
        <v>45689</v>
      </c>
      <c r="U4" s="890">
        <v>45717</v>
      </c>
      <c r="V4" s="901">
        <v>45748</v>
      </c>
      <c r="W4" s="890">
        <v>45778</v>
      </c>
      <c r="X4" s="890">
        <v>45809</v>
      </c>
      <c r="Y4" s="890">
        <v>45839</v>
      </c>
      <c r="Z4" s="890">
        <v>45870</v>
      </c>
      <c r="AA4" s="890">
        <v>45901</v>
      </c>
      <c r="AB4" s="890">
        <v>45931</v>
      </c>
      <c r="AC4" s="890">
        <v>45962</v>
      </c>
      <c r="AD4" s="890">
        <v>45992</v>
      </c>
      <c r="AE4" s="890">
        <v>46023</v>
      </c>
      <c r="AF4" s="890">
        <v>46054</v>
      </c>
      <c r="AG4" s="890">
        <v>46082</v>
      </c>
      <c r="AH4" s="901">
        <v>46113</v>
      </c>
      <c r="AI4" s="890">
        <v>46143</v>
      </c>
      <c r="AJ4" s="890">
        <v>46174</v>
      </c>
      <c r="AK4" s="890">
        <v>46204</v>
      </c>
      <c r="AL4" s="890">
        <v>46235</v>
      </c>
      <c r="AM4" s="890">
        <v>46266</v>
      </c>
      <c r="AN4" s="890">
        <v>46296</v>
      </c>
      <c r="AO4" s="890">
        <v>46327</v>
      </c>
      <c r="AP4" s="890">
        <v>46357</v>
      </c>
      <c r="AQ4" s="890">
        <v>46388</v>
      </c>
      <c r="AR4" s="890">
        <v>46419</v>
      </c>
      <c r="AS4" s="890">
        <v>46447</v>
      </c>
      <c r="AT4" s="901">
        <v>46478</v>
      </c>
      <c r="AU4" s="890">
        <v>46508</v>
      </c>
      <c r="AV4" s="890">
        <v>46539</v>
      </c>
      <c r="AW4" s="890">
        <v>46569</v>
      </c>
      <c r="AX4" s="890">
        <v>46600</v>
      </c>
      <c r="AY4" s="890">
        <v>46631</v>
      </c>
      <c r="AZ4" s="890">
        <v>46661</v>
      </c>
      <c r="BA4" s="890">
        <v>46692</v>
      </c>
      <c r="BB4" s="890">
        <v>46722</v>
      </c>
      <c r="BC4" s="890">
        <v>46753</v>
      </c>
      <c r="BD4" s="890">
        <v>46784</v>
      </c>
      <c r="BE4" s="890">
        <v>46813</v>
      </c>
      <c r="BF4" s="901">
        <v>46844</v>
      </c>
      <c r="BG4" s="890">
        <v>46874</v>
      </c>
      <c r="BH4" s="890">
        <v>46905</v>
      </c>
      <c r="BI4" s="890">
        <v>46935</v>
      </c>
      <c r="BJ4" s="890">
        <v>46966</v>
      </c>
      <c r="BK4" s="890">
        <v>46997</v>
      </c>
      <c r="BL4" s="890">
        <v>47027</v>
      </c>
      <c r="BM4" s="890">
        <v>47058</v>
      </c>
      <c r="BN4" s="890">
        <v>47088</v>
      </c>
      <c r="BO4" s="890">
        <v>47119</v>
      </c>
      <c r="BP4" s="890">
        <v>47150</v>
      </c>
      <c r="BQ4" s="890">
        <v>47178</v>
      </c>
      <c r="BR4" s="901">
        <v>47209</v>
      </c>
      <c r="BS4" s="890">
        <v>47239</v>
      </c>
      <c r="BT4" s="890">
        <v>47270</v>
      </c>
      <c r="BU4" s="890">
        <v>47300</v>
      </c>
      <c r="BV4" s="890">
        <v>47331</v>
      </c>
      <c r="BW4" s="890">
        <v>47362</v>
      </c>
      <c r="BX4" s="890">
        <v>47392</v>
      </c>
      <c r="BY4" s="890">
        <v>47423</v>
      </c>
      <c r="BZ4" s="890">
        <v>47453</v>
      </c>
      <c r="CA4" s="890">
        <v>47484</v>
      </c>
      <c r="CB4" s="890">
        <v>47515</v>
      </c>
      <c r="CC4" s="890">
        <v>47543</v>
      </c>
      <c r="CD4" s="901">
        <v>47574</v>
      </c>
      <c r="CE4" s="890">
        <v>47604</v>
      </c>
      <c r="CF4" s="890">
        <v>47635</v>
      </c>
      <c r="CG4" s="890">
        <v>47665</v>
      </c>
      <c r="CH4" s="890">
        <v>47696</v>
      </c>
      <c r="CI4" s="890">
        <v>47727</v>
      </c>
      <c r="CJ4" s="890">
        <v>47757</v>
      </c>
      <c r="CK4" s="890">
        <v>47788</v>
      </c>
      <c r="CL4" s="890">
        <v>47818</v>
      </c>
      <c r="CM4" s="890">
        <v>47849</v>
      </c>
      <c r="CN4" s="890">
        <v>47880</v>
      </c>
      <c r="CO4" s="890">
        <v>47908</v>
      </c>
      <c r="CP4" s="901">
        <v>47939</v>
      </c>
      <c r="CQ4" s="890">
        <v>47969</v>
      </c>
      <c r="CR4" s="890">
        <v>48000</v>
      </c>
      <c r="CS4" s="890">
        <v>48030</v>
      </c>
      <c r="CT4" s="890">
        <v>48061</v>
      </c>
      <c r="CU4" s="890">
        <v>48092</v>
      </c>
      <c r="CV4" s="890">
        <v>48122</v>
      </c>
      <c r="CW4" s="890">
        <v>48153</v>
      </c>
      <c r="CX4" s="890">
        <v>48183</v>
      </c>
      <c r="CY4" s="890">
        <v>48214</v>
      </c>
      <c r="CZ4" s="890">
        <v>48245</v>
      </c>
      <c r="DA4" s="890">
        <v>48274</v>
      </c>
      <c r="DB4" s="901">
        <v>48305</v>
      </c>
      <c r="DC4" s="890">
        <v>48335</v>
      </c>
      <c r="DD4" s="890">
        <v>48366</v>
      </c>
      <c r="DE4" s="890">
        <v>48396</v>
      </c>
      <c r="DF4" s="890">
        <v>48427</v>
      </c>
      <c r="DG4" s="890">
        <v>48458</v>
      </c>
      <c r="DH4" s="890">
        <v>48488</v>
      </c>
      <c r="DI4" s="890">
        <v>48519</v>
      </c>
      <c r="DJ4" s="890">
        <v>48549</v>
      </c>
      <c r="DK4" s="890">
        <v>48580</v>
      </c>
      <c r="DL4" s="890">
        <v>48611</v>
      </c>
      <c r="DM4" s="890">
        <v>48639</v>
      </c>
      <c r="DN4" s="890">
        <v>48670</v>
      </c>
      <c r="DO4" s="327"/>
      <c r="DP4" s="326" t="s">
        <v>117</v>
      </c>
    </row>
    <row r="5" spans="3:121" x14ac:dyDescent="0.3">
      <c r="J5" s="535">
        <v>0</v>
      </c>
      <c r="K5" s="338">
        <f>J5+1</f>
        <v>1</v>
      </c>
      <c r="L5" s="338">
        <f>K5+1</f>
        <v>2</v>
      </c>
      <c r="M5" s="338">
        <f t="shared" ref="M5:BX5" si="0">L5+1</f>
        <v>3</v>
      </c>
      <c r="N5" s="338">
        <f t="shared" si="0"/>
        <v>4</v>
      </c>
      <c r="O5" s="338">
        <f t="shared" si="0"/>
        <v>5</v>
      </c>
      <c r="P5" s="338">
        <f t="shared" si="0"/>
        <v>6</v>
      </c>
      <c r="Q5" s="338">
        <f t="shared" si="0"/>
        <v>7</v>
      </c>
      <c r="R5" s="338">
        <f t="shared" si="0"/>
        <v>8</v>
      </c>
      <c r="S5" s="338">
        <f t="shared" si="0"/>
        <v>9</v>
      </c>
      <c r="T5" s="338">
        <f t="shared" si="0"/>
        <v>10</v>
      </c>
      <c r="U5" s="338">
        <f t="shared" si="0"/>
        <v>11</v>
      </c>
      <c r="V5" s="902">
        <f t="shared" si="0"/>
        <v>12</v>
      </c>
      <c r="W5" s="338">
        <f t="shared" si="0"/>
        <v>13</v>
      </c>
      <c r="X5" s="338">
        <f t="shared" si="0"/>
        <v>14</v>
      </c>
      <c r="Y5" s="338">
        <f t="shared" si="0"/>
        <v>15</v>
      </c>
      <c r="Z5" s="338">
        <f t="shared" si="0"/>
        <v>16</v>
      </c>
      <c r="AA5" s="338">
        <f t="shared" si="0"/>
        <v>17</v>
      </c>
      <c r="AB5" s="338">
        <f t="shared" si="0"/>
        <v>18</v>
      </c>
      <c r="AC5" s="338">
        <f t="shared" si="0"/>
        <v>19</v>
      </c>
      <c r="AD5" s="338">
        <f t="shared" si="0"/>
        <v>20</v>
      </c>
      <c r="AE5" s="338">
        <f t="shared" si="0"/>
        <v>21</v>
      </c>
      <c r="AF5" s="338">
        <f t="shared" si="0"/>
        <v>22</v>
      </c>
      <c r="AG5" s="338">
        <f t="shared" si="0"/>
        <v>23</v>
      </c>
      <c r="AH5" s="902">
        <f t="shared" si="0"/>
        <v>24</v>
      </c>
      <c r="AI5" s="338">
        <f t="shared" si="0"/>
        <v>25</v>
      </c>
      <c r="AJ5" s="338">
        <f t="shared" si="0"/>
        <v>26</v>
      </c>
      <c r="AK5" s="338">
        <f t="shared" si="0"/>
        <v>27</v>
      </c>
      <c r="AL5" s="338">
        <f t="shared" si="0"/>
        <v>28</v>
      </c>
      <c r="AM5" s="338">
        <f t="shared" si="0"/>
        <v>29</v>
      </c>
      <c r="AN5" s="338">
        <f t="shared" si="0"/>
        <v>30</v>
      </c>
      <c r="AO5" s="338">
        <f t="shared" si="0"/>
        <v>31</v>
      </c>
      <c r="AP5" s="338">
        <f t="shared" si="0"/>
        <v>32</v>
      </c>
      <c r="AQ5" s="338">
        <f t="shared" si="0"/>
        <v>33</v>
      </c>
      <c r="AR5" s="338">
        <f t="shared" si="0"/>
        <v>34</v>
      </c>
      <c r="AS5" s="338">
        <f t="shared" si="0"/>
        <v>35</v>
      </c>
      <c r="AT5" s="902">
        <f t="shared" si="0"/>
        <v>36</v>
      </c>
      <c r="AU5" s="338">
        <f t="shared" si="0"/>
        <v>37</v>
      </c>
      <c r="AV5" s="338">
        <f t="shared" si="0"/>
        <v>38</v>
      </c>
      <c r="AW5" s="338">
        <f t="shared" si="0"/>
        <v>39</v>
      </c>
      <c r="AX5" s="338">
        <f t="shared" si="0"/>
        <v>40</v>
      </c>
      <c r="AY5" s="338">
        <f t="shared" si="0"/>
        <v>41</v>
      </c>
      <c r="AZ5" s="338">
        <f t="shared" si="0"/>
        <v>42</v>
      </c>
      <c r="BA5" s="338">
        <f t="shared" si="0"/>
        <v>43</v>
      </c>
      <c r="BB5" s="338">
        <f t="shared" si="0"/>
        <v>44</v>
      </c>
      <c r="BC5" s="338">
        <f t="shared" si="0"/>
        <v>45</v>
      </c>
      <c r="BD5" s="338">
        <f t="shared" si="0"/>
        <v>46</v>
      </c>
      <c r="BE5" s="338">
        <f t="shared" si="0"/>
        <v>47</v>
      </c>
      <c r="BF5" s="902">
        <f t="shared" si="0"/>
        <v>48</v>
      </c>
      <c r="BG5" s="338">
        <f t="shared" si="0"/>
        <v>49</v>
      </c>
      <c r="BH5" s="338">
        <f t="shared" si="0"/>
        <v>50</v>
      </c>
      <c r="BI5" s="338">
        <f t="shared" si="0"/>
        <v>51</v>
      </c>
      <c r="BJ5" s="338">
        <f t="shared" si="0"/>
        <v>52</v>
      </c>
      <c r="BK5" s="338">
        <f t="shared" si="0"/>
        <v>53</v>
      </c>
      <c r="BL5" s="338">
        <f t="shared" si="0"/>
        <v>54</v>
      </c>
      <c r="BM5" s="338">
        <f t="shared" si="0"/>
        <v>55</v>
      </c>
      <c r="BN5" s="338">
        <f t="shared" si="0"/>
        <v>56</v>
      </c>
      <c r="BO5" s="338">
        <f t="shared" si="0"/>
        <v>57</v>
      </c>
      <c r="BP5" s="338">
        <f t="shared" si="0"/>
        <v>58</v>
      </c>
      <c r="BQ5" s="338">
        <f t="shared" si="0"/>
        <v>59</v>
      </c>
      <c r="BR5" s="902">
        <f t="shared" si="0"/>
        <v>60</v>
      </c>
      <c r="BS5" s="338">
        <f t="shared" si="0"/>
        <v>61</v>
      </c>
      <c r="BT5" s="338">
        <f t="shared" si="0"/>
        <v>62</v>
      </c>
      <c r="BU5" s="338">
        <f t="shared" si="0"/>
        <v>63</v>
      </c>
      <c r="BV5" s="338">
        <f t="shared" si="0"/>
        <v>64</v>
      </c>
      <c r="BW5" s="338">
        <f t="shared" si="0"/>
        <v>65</v>
      </c>
      <c r="BX5" s="338">
        <f t="shared" si="0"/>
        <v>66</v>
      </c>
      <c r="BY5" s="338">
        <f t="shared" ref="BY5:DN5" si="1">BX5+1</f>
        <v>67</v>
      </c>
      <c r="BZ5" s="338">
        <f t="shared" si="1"/>
        <v>68</v>
      </c>
      <c r="CA5" s="338">
        <f t="shared" si="1"/>
        <v>69</v>
      </c>
      <c r="CB5" s="338">
        <f t="shared" si="1"/>
        <v>70</v>
      </c>
      <c r="CC5" s="338">
        <f t="shared" si="1"/>
        <v>71</v>
      </c>
      <c r="CD5" s="902">
        <f t="shared" si="1"/>
        <v>72</v>
      </c>
      <c r="CE5" s="338">
        <f t="shared" si="1"/>
        <v>73</v>
      </c>
      <c r="CF5" s="338">
        <f t="shared" si="1"/>
        <v>74</v>
      </c>
      <c r="CG5" s="338">
        <f t="shared" si="1"/>
        <v>75</v>
      </c>
      <c r="CH5" s="338">
        <f t="shared" si="1"/>
        <v>76</v>
      </c>
      <c r="CI5" s="338">
        <f t="shared" si="1"/>
        <v>77</v>
      </c>
      <c r="CJ5" s="338">
        <f t="shared" si="1"/>
        <v>78</v>
      </c>
      <c r="CK5" s="338">
        <f t="shared" si="1"/>
        <v>79</v>
      </c>
      <c r="CL5" s="338">
        <f t="shared" si="1"/>
        <v>80</v>
      </c>
      <c r="CM5" s="338">
        <f t="shared" si="1"/>
        <v>81</v>
      </c>
      <c r="CN5" s="338">
        <f t="shared" si="1"/>
        <v>82</v>
      </c>
      <c r="CO5" s="338">
        <f t="shared" si="1"/>
        <v>83</v>
      </c>
      <c r="CP5" s="902">
        <f t="shared" si="1"/>
        <v>84</v>
      </c>
      <c r="CQ5" s="338">
        <f t="shared" si="1"/>
        <v>85</v>
      </c>
      <c r="CR5" s="338">
        <f t="shared" si="1"/>
        <v>86</v>
      </c>
      <c r="CS5" s="338">
        <f t="shared" si="1"/>
        <v>87</v>
      </c>
      <c r="CT5" s="338">
        <f t="shared" si="1"/>
        <v>88</v>
      </c>
      <c r="CU5" s="338">
        <f t="shared" si="1"/>
        <v>89</v>
      </c>
      <c r="CV5" s="338">
        <f t="shared" si="1"/>
        <v>90</v>
      </c>
      <c r="CW5" s="338">
        <f t="shared" si="1"/>
        <v>91</v>
      </c>
      <c r="CX5" s="338">
        <f t="shared" si="1"/>
        <v>92</v>
      </c>
      <c r="CY5" s="338">
        <f t="shared" si="1"/>
        <v>93</v>
      </c>
      <c r="CZ5" s="338">
        <f t="shared" si="1"/>
        <v>94</v>
      </c>
      <c r="DA5" s="338">
        <f t="shared" si="1"/>
        <v>95</v>
      </c>
      <c r="DB5" s="902">
        <f t="shared" si="1"/>
        <v>96</v>
      </c>
      <c r="DC5" s="338">
        <f t="shared" si="1"/>
        <v>97</v>
      </c>
      <c r="DD5" s="338">
        <f t="shared" si="1"/>
        <v>98</v>
      </c>
      <c r="DE5" s="338">
        <f t="shared" si="1"/>
        <v>99</v>
      </c>
      <c r="DF5" s="338">
        <f t="shared" si="1"/>
        <v>100</v>
      </c>
      <c r="DG5" s="338">
        <f t="shared" si="1"/>
        <v>101</v>
      </c>
      <c r="DH5" s="338">
        <f t="shared" si="1"/>
        <v>102</v>
      </c>
      <c r="DI5" s="338">
        <f t="shared" si="1"/>
        <v>103</v>
      </c>
      <c r="DJ5" s="338">
        <f t="shared" si="1"/>
        <v>104</v>
      </c>
      <c r="DK5" s="338">
        <f t="shared" si="1"/>
        <v>105</v>
      </c>
      <c r="DL5" s="338">
        <f t="shared" si="1"/>
        <v>106</v>
      </c>
      <c r="DM5" s="338">
        <f t="shared" si="1"/>
        <v>107</v>
      </c>
      <c r="DN5" s="338">
        <f t="shared" si="1"/>
        <v>108</v>
      </c>
    </row>
    <row r="6" spans="3:121" x14ac:dyDescent="0.3">
      <c r="J6" s="337"/>
      <c r="K6" s="337"/>
      <c r="L6" s="337"/>
      <c r="M6" s="337"/>
      <c r="N6" s="337"/>
      <c r="O6" s="337"/>
      <c r="P6" s="337"/>
      <c r="Q6" s="337"/>
      <c r="R6" s="337"/>
      <c r="S6" s="337"/>
      <c r="T6" s="337"/>
      <c r="U6" s="337"/>
      <c r="V6" s="903"/>
      <c r="W6" s="337"/>
      <c r="X6" s="337"/>
      <c r="Y6" s="337"/>
      <c r="Z6" s="337"/>
      <c r="AA6" s="337"/>
      <c r="AB6" s="337"/>
      <c r="AC6" s="337"/>
      <c r="AD6" s="337"/>
      <c r="AE6" s="337"/>
      <c r="AF6" s="337"/>
      <c r="AG6" s="337"/>
      <c r="AH6" s="903"/>
      <c r="AI6" s="337"/>
      <c r="AJ6" s="337"/>
      <c r="AK6" s="337"/>
      <c r="AL6" s="337"/>
      <c r="AM6" s="337"/>
      <c r="AN6" s="337"/>
      <c r="AO6" s="337"/>
      <c r="AP6" s="337"/>
      <c r="AQ6" s="337"/>
      <c r="AR6" s="337"/>
      <c r="AS6" s="337"/>
      <c r="AT6" s="903"/>
      <c r="AU6" s="337"/>
      <c r="AV6" s="337"/>
      <c r="AW6" s="337"/>
      <c r="AX6" s="337"/>
      <c r="AY6" s="337"/>
      <c r="AZ6" s="337"/>
      <c r="BA6" s="337"/>
      <c r="BB6" s="337"/>
      <c r="BC6" s="337"/>
      <c r="BD6" s="337"/>
      <c r="BE6" s="337"/>
      <c r="BF6" s="903"/>
      <c r="BG6" s="337"/>
      <c r="BH6" s="337"/>
      <c r="BI6" s="337"/>
      <c r="BJ6" s="337"/>
      <c r="BK6" s="337"/>
      <c r="BL6" s="337"/>
      <c r="BM6" s="337"/>
      <c r="BN6" s="337"/>
      <c r="BO6" s="337"/>
      <c r="BP6" s="337"/>
      <c r="BQ6" s="337"/>
      <c r="BR6" s="903"/>
      <c r="BS6" s="337"/>
      <c r="BT6" s="337"/>
      <c r="BU6" s="337"/>
      <c r="BV6" s="337"/>
      <c r="BW6" s="337"/>
      <c r="BX6" s="337"/>
      <c r="BY6" s="337"/>
      <c r="BZ6" s="337"/>
      <c r="CA6" s="337"/>
      <c r="CB6" s="337"/>
      <c r="CC6" s="337"/>
      <c r="CD6" s="903"/>
      <c r="CE6" s="337"/>
      <c r="CF6" s="337"/>
      <c r="CG6" s="337"/>
      <c r="CH6" s="337"/>
      <c r="CI6" s="337"/>
      <c r="CJ6" s="337"/>
      <c r="CK6" s="337"/>
      <c r="CL6" s="337"/>
      <c r="CM6" s="337"/>
      <c r="CN6" s="337"/>
      <c r="CO6" s="337"/>
      <c r="CP6" s="903"/>
      <c r="CQ6" s="337"/>
      <c r="CR6" s="337"/>
      <c r="CS6" s="337"/>
      <c r="CT6" s="337"/>
      <c r="CU6" s="337"/>
      <c r="CV6" s="337"/>
      <c r="CW6" s="337"/>
      <c r="CX6" s="337"/>
      <c r="CY6" s="337"/>
      <c r="CZ6" s="337"/>
      <c r="DA6" s="337"/>
      <c r="DB6" s="903"/>
      <c r="DC6" s="337"/>
      <c r="DD6" s="337"/>
      <c r="DE6" s="337"/>
      <c r="DF6" s="337"/>
      <c r="DG6" s="337"/>
      <c r="DH6" s="337"/>
      <c r="DI6" s="337"/>
      <c r="DJ6" s="337"/>
      <c r="DK6" s="337"/>
      <c r="DL6" s="337"/>
      <c r="DM6" s="337"/>
      <c r="DN6" s="337"/>
    </row>
    <row r="7" spans="3:121" ht="15.6" x14ac:dyDescent="0.45">
      <c r="C7" s="331" t="str">
        <f>'Table 3.0'!C35</f>
        <v>RV RENTAL INCOME</v>
      </c>
      <c r="G7" s="339"/>
      <c r="H7" s="509"/>
      <c r="I7" s="509"/>
      <c r="J7" s="340"/>
      <c r="K7" s="340"/>
      <c r="L7" s="340"/>
      <c r="M7" s="340"/>
      <c r="N7" s="340"/>
      <c r="O7" s="340"/>
      <c r="P7" s="340"/>
      <c r="Q7" s="340"/>
      <c r="R7" s="340"/>
      <c r="S7" s="340"/>
      <c r="T7" s="340"/>
      <c r="U7" s="340"/>
      <c r="V7" s="562"/>
      <c r="W7" s="340"/>
      <c r="X7" s="340"/>
      <c r="Y7" s="340"/>
      <c r="Z7" s="340"/>
      <c r="AA7" s="340"/>
      <c r="AB7" s="340"/>
      <c r="AC7" s="340"/>
      <c r="AD7" s="340"/>
      <c r="AE7" s="340"/>
      <c r="AF7" s="340"/>
      <c r="AG7" s="340"/>
      <c r="AH7" s="562"/>
      <c r="AI7" s="340"/>
      <c r="AJ7" s="340"/>
      <c r="AK7" s="340"/>
      <c r="AL7" s="340"/>
      <c r="AM7" s="340"/>
      <c r="AN7" s="340"/>
      <c r="AO7" s="340"/>
      <c r="AP7" s="340"/>
      <c r="AQ7" s="340"/>
      <c r="AR7" s="340"/>
      <c r="AS7" s="340"/>
      <c r="AT7" s="562"/>
      <c r="AU7" s="340"/>
      <c r="AV7" s="340"/>
      <c r="AW7" s="340"/>
      <c r="AX7" s="340"/>
      <c r="AY7" s="340"/>
      <c r="AZ7" s="340"/>
      <c r="BA7" s="340"/>
      <c r="BB7" s="340"/>
      <c r="BC7" s="340"/>
      <c r="BD7" s="340"/>
      <c r="BE7" s="340"/>
      <c r="BF7" s="562"/>
      <c r="BG7" s="340"/>
      <c r="BH7" s="340"/>
      <c r="BI7" s="340"/>
      <c r="BJ7" s="340"/>
      <c r="BK7" s="340"/>
      <c r="BL7" s="340"/>
      <c r="BM7" s="340"/>
      <c r="BN7" s="340"/>
      <c r="BO7" s="340"/>
      <c r="BP7" s="340"/>
      <c r="BQ7" s="340"/>
      <c r="BR7" s="562"/>
      <c r="BS7" s="340"/>
      <c r="BT7" s="340"/>
      <c r="BU7" s="340"/>
      <c r="BV7" s="340"/>
      <c r="BW7" s="340"/>
      <c r="BX7" s="340"/>
      <c r="BY7" s="340"/>
      <c r="BZ7" s="340"/>
      <c r="CA7" s="340"/>
      <c r="CB7" s="340"/>
      <c r="CC7" s="340"/>
      <c r="CD7" s="562"/>
      <c r="CE7" s="340"/>
      <c r="CF7" s="340"/>
      <c r="CG7" s="340"/>
      <c r="CH7" s="340"/>
      <c r="CI7" s="340"/>
      <c r="CJ7" s="340"/>
      <c r="CK7" s="340"/>
      <c r="CL7" s="340"/>
      <c r="CM7" s="340"/>
      <c r="CN7" s="340"/>
      <c r="CO7" s="340"/>
      <c r="CP7" s="562"/>
      <c r="CQ7" s="340"/>
      <c r="CR7" s="340"/>
      <c r="CS7" s="340"/>
      <c r="CT7" s="340"/>
      <c r="CU7" s="340"/>
      <c r="CV7" s="340"/>
      <c r="CW7" s="340"/>
      <c r="CX7" s="340"/>
      <c r="CY7" s="340"/>
      <c r="CZ7" s="340"/>
      <c r="DA7" s="340"/>
      <c r="DB7" s="562"/>
      <c r="DC7" s="340"/>
      <c r="DD7" s="340"/>
      <c r="DE7" s="340"/>
      <c r="DF7" s="340"/>
      <c r="DG7" s="340"/>
      <c r="DH7" s="340"/>
      <c r="DI7" s="340"/>
      <c r="DJ7" s="340"/>
      <c r="DK7" s="340"/>
      <c r="DL7" s="340"/>
      <c r="DM7" s="340"/>
      <c r="DN7" s="340"/>
      <c r="DP7" s="340"/>
    </row>
    <row r="8" spans="3:121" x14ac:dyDescent="0.3">
      <c r="D8" s="331" t="str">
        <f>'Table 3.0'!D36</f>
        <v>Short-Term RV Rental Income</v>
      </c>
      <c r="G8" s="699"/>
      <c r="H8" s="510"/>
      <c r="I8" s="510"/>
      <c r="J8" s="340"/>
      <c r="K8" s="340">
        <f>'Rent Roll'!C12</f>
        <v>0</v>
      </c>
      <c r="L8" s="340">
        <f>K8</f>
        <v>0</v>
      </c>
      <c r="M8" s="340">
        <f t="shared" ref="M8:V8" si="2">L8</f>
        <v>0</v>
      </c>
      <c r="N8" s="340">
        <f t="shared" si="2"/>
        <v>0</v>
      </c>
      <c r="O8" s="340">
        <f t="shared" si="2"/>
        <v>0</v>
      </c>
      <c r="P8" s="340">
        <f t="shared" si="2"/>
        <v>0</v>
      </c>
      <c r="Q8" s="340">
        <f t="shared" si="2"/>
        <v>0</v>
      </c>
      <c r="R8" s="340">
        <f t="shared" si="2"/>
        <v>0</v>
      </c>
      <c r="S8" s="340">
        <f t="shared" si="2"/>
        <v>0</v>
      </c>
      <c r="T8" s="340">
        <f t="shared" si="2"/>
        <v>0</v>
      </c>
      <c r="U8" s="340">
        <f t="shared" si="2"/>
        <v>0</v>
      </c>
      <c r="V8" s="562">
        <f t="shared" si="2"/>
        <v>0</v>
      </c>
      <c r="W8" s="340">
        <f>'Rent Roll'!H12</f>
        <v>12600</v>
      </c>
      <c r="X8" s="340">
        <f>W8</f>
        <v>12600</v>
      </c>
      <c r="Y8" s="340">
        <f t="shared" ref="Y8:AH8" si="3">X8</f>
        <v>12600</v>
      </c>
      <c r="Z8" s="340">
        <f t="shared" si="3"/>
        <v>12600</v>
      </c>
      <c r="AA8" s="340">
        <f t="shared" si="3"/>
        <v>12600</v>
      </c>
      <c r="AB8" s="340">
        <f t="shared" si="3"/>
        <v>12600</v>
      </c>
      <c r="AC8" s="340">
        <f t="shared" si="3"/>
        <v>12600</v>
      </c>
      <c r="AD8" s="340">
        <f t="shared" si="3"/>
        <v>12600</v>
      </c>
      <c r="AE8" s="340">
        <f t="shared" si="3"/>
        <v>12600</v>
      </c>
      <c r="AF8" s="340">
        <f t="shared" si="3"/>
        <v>12600</v>
      </c>
      <c r="AG8" s="340">
        <f t="shared" si="3"/>
        <v>12600</v>
      </c>
      <c r="AH8" s="562">
        <f t="shared" si="3"/>
        <v>12600</v>
      </c>
      <c r="AI8" s="340">
        <f>'Rent Roll'!M12</f>
        <v>13650</v>
      </c>
      <c r="AJ8" s="340">
        <f>AI8</f>
        <v>13650</v>
      </c>
      <c r="AK8" s="340">
        <f t="shared" ref="AK8:AT8" si="4">AJ8</f>
        <v>13650</v>
      </c>
      <c r="AL8" s="340">
        <f t="shared" si="4"/>
        <v>13650</v>
      </c>
      <c r="AM8" s="340">
        <f t="shared" si="4"/>
        <v>13650</v>
      </c>
      <c r="AN8" s="340">
        <f t="shared" si="4"/>
        <v>13650</v>
      </c>
      <c r="AO8" s="340">
        <f t="shared" si="4"/>
        <v>13650</v>
      </c>
      <c r="AP8" s="340">
        <f t="shared" si="4"/>
        <v>13650</v>
      </c>
      <c r="AQ8" s="340">
        <f t="shared" si="4"/>
        <v>13650</v>
      </c>
      <c r="AR8" s="340">
        <f t="shared" si="4"/>
        <v>13650</v>
      </c>
      <c r="AS8" s="340">
        <f t="shared" si="4"/>
        <v>13650</v>
      </c>
      <c r="AT8" s="562">
        <f t="shared" si="4"/>
        <v>13650</v>
      </c>
      <c r="AU8" s="340">
        <f>'Rent Roll'!R12</f>
        <v>14700</v>
      </c>
      <c r="AV8" s="340">
        <f>AU8</f>
        <v>14700</v>
      </c>
      <c r="AW8" s="340">
        <f t="shared" ref="AW8:BF8" si="5">AV8</f>
        <v>14700</v>
      </c>
      <c r="AX8" s="340">
        <f t="shared" si="5"/>
        <v>14700</v>
      </c>
      <c r="AY8" s="340">
        <f t="shared" si="5"/>
        <v>14700</v>
      </c>
      <c r="AZ8" s="340">
        <f t="shared" si="5"/>
        <v>14700</v>
      </c>
      <c r="BA8" s="340">
        <f t="shared" si="5"/>
        <v>14700</v>
      </c>
      <c r="BB8" s="340">
        <f t="shared" si="5"/>
        <v>14700</v>
      </c>
      <c r="BC8" s="340">
        <f t="shared" si="5"/>
        <v>14700</v>
      </c>
      <c r="BD8" s="340">
        <f t="shared" si="5"/>
        <v>14700</v>
      </c>
      <c r="BE8" s="340">
        <f t="shared" si="5"/>
        <v>14700</v>
      </c>
      <c r="BF8" s="562">
        <f t="shared" si="5"/>
        <v>14700</v>
      </c>
      <c r="BG8" s="340">
        <f>'Rent Roll'!W12</f>
        <v>15750</v>
      </c>
      <c r="BH8" s="340">
        <f>BG8</f>
        <v>15750</v>
      </c>
      <c r="BI8" s="340">
        <f t="shared" ref="BI8:BR8" si="6">BH8</f>
        <v>15750</v>
      </c>
      <c r="BJ8" s="340">
        <f t="shared" si="6"/>
        <v>15750</v>
      </c>
      <c r="BK8" s="340">
        <f t="shared" si="6"/>
        <v>15750</v>
      </c>
      <c r="BL8" s="340">
        <f t="shared" si="6"/>
        <v>15750</v>
      </c>
      <c r="BM8" s="340">
        <f t="shared" si="6"/>
        <v>15750</v>
      </c>
      <c r="BN8" s="340">
        <f t="shared" si="6"/>
        <v>15750</v>
      </c>
      <c r="BO8" s="340">
        <f t="shared" si="6"/>
        <v>15750</v>
      </c>
      <c r="BP8" s="340">
        <f t="shared" si="6"/>
        <v>15750</v>
      </c>
      <c r="BQ8" s="340">
        <f t="shared" si="6"/>
        <v>15750</v>
      </c>
      <c r="BR8" s="562">
        <f t="shared" si="6"/>
        <v>15750</v>
      </c>
      <c r="BS8" s="340">
        <f>'Rent Roll'!C43</f>
        <v>16800</v>
      </c>
      <c r="BT8" s="340">
        <f>BS8</f>
        <v>16800</v>
      </c>
      <c r="BU8" s="340">
        <f t="shared" ref="BU8:CD8" si="7">BT8</f>
        <v>16800</v>
      </c>
      <c r="BV8" s="340">
        <f t="shared" si="7"/>
        <v>16800</v>
      </c>
      <c r="BW8" s="340">
        <f t="shared" si="7"/>
        <v>16800</v>
      </c>
      <c r="BX8" s="340">
        <f t="shared" si="7"/>
        <v>16800</v>
      </c>
      <c r="BY8" s="340">
        <f t="shared" si="7"/>
        <v>16800</v>
      </c>
      <c r="BZ8" s="340">
        <f t="shared" si="7"/>
        <v>16800</v>
      </c>
      <c r="CA8" s="340">
        <f t="shared" si="7"/>
        <v>16800</v>
      </c>
      <c r="CB8" s="340">
        <f t="shared" si="7"/>
        <v>16800</v>
      </c>
      <c r="CC8" s="340">
        <f t="shared" si="7"/>
        <v>16800</v>
      </c>
      <c r="CD8" s="562">
        <f t="shared" si="7"/>
        <v>16800</v>
      </c>
      <c r="CE8" s="340">
        <f>'Rent Roll'!H43</f>
        <v>17850</v>
      </c>
      <c r="CF8" s="340">
        <f>CE8</f>
        <v>17850</v>
      </c>
      <c r="CG8" s="340">
        <f t="shared" ref="CG8:CP8" si="8">CF8</f>
        <v>17850</v>
      </c>
      <c r="CH8" s="340">
        <f t="shared" si="8"/>
        <v>17850</v>
      </c>
      <c r="CI8" s="340">
        <f t="shared" si="8"/>
        <v>17850</v>
      </c>
      <c r="CJ8" s="340">
        <f t="shared" si="8"/>
        <v>17850</v>
      </c>
      <c r="CK8" s="340">
        <f t="shared" si="8"/>
        <v>17850</v>
      </c>
      <c r="CL8" s="340">
        <f t="shared" si="8"/>
        <v>17850</v>
      </c>
      <c r="CM8" s="340">
        <f t="shared" si="8"/>
        <v>17850</v>
      </c>
      <c r="CN8" s="340">
        <f t="shared" si="8"/>
        <v>17850</v>
      </c>
      <c r="CO8" s="340">
        <f t="shared" si="8"/>
        <v>17850</v>
      </c>
      <c r="CP8" s="562">
        <f t="shared" si="8"/>
        <v>17850</v>
      </c>
      <c r="CQ8" s="340">
        <f>'Rent Roll'!M43</f>
        <v>18900</v>
      </c>
      <c r="CR8" s="340">
        <f>CQ8</f>
        <v>18900</v>
      </c>
      <c r="CS8" s="340">
        <f t="shared" ref="CS8:DB8" si="9">CR8</f>
        <v>18900</v>
      </c>
      <c r="CT8" s="340">
        <f t="shared" si="9"/>
        <v>18900</v>
      </c>
      <c r="CU8" s="340">
        <f t="shared" si="9"/>
        <v>18900</v>
      </c>
      <c r="CV8" s="340">
        <f t="shared" si="9"/>
        <v>18900</v>
      </c>
      <c r="CW8" s="340">
        <f t="shared" si="9"/>
        <v>18900</v>
      </c>
      <c r="CX8" s="340">
        <f t="shared" si="9"/>
        <v>18900</v>
      </c>
      <c r="CY8" s="340">
        <f t="shared" si="9"/>
        <v>18900</v>
      </c>
      <c r="CZ8" s="340">
        <f t="shared" si="9"/>
        <v>18900</v>
      </c>
      <c r="DA8" s="340">
        <f t="shared" si="9"/>
        <v>18900</v>
      </c>
      <c r="DB8" s="562">
        <f t="shared" si="9"/>
        <v>18900</v>
      </c>
      <c r="DC8" s="340">
        <f>'Rent Roll'!R43</f>
        <v>19950</v>
      </c>
      <c r="DD8" s="340">
        <f>DC8</f>
        <v>19950</v>
      </c>
      <c r="DE8" s="340">
        <f t="shared" ref="DE8:DN8" si="10">DD8</f>
        <v>19950</v>
      </c>
      <c r="DF8" s="340">
        <f t="shared" si="10"/>
        <v>19950</v>
      </c>
      <c r="DG8" s="340">
        <f t="shared" si="10"/>
        <v>19950</v>
      </c>
      <c r="DH8" s="340">
        <f t="shared" si="10"/>
        <v>19950</v>
      </c>
      <c r="DI8" s="340">
        <f t="shared" si="10"/>
        <v>19950</v>
      </c>
      <c r="DJ8" s="340">
        <f t="shared" si="10"/>
        <v>19950</v>
      </c>
      <c r="DK8" s="340">
        <f t="shared" si="10"/>
        <v>19950</v>
      </c>
      <c r="DL8" s="340">
        <f t="shared" si="10"/>
        <v>19950</v>
      </c>
      <c r="DM8" s="340">
        <f t="shared" si="10"/>
        <v>19950</v>
      </c>
      <c r="DN8" s="340">
        <f t="shared" si="10"/>
        <v>19950</v>
      </c>
      <c r="DP8" s="340">
        <f>SUM(J8:DN8)</f>
        <v>1562400</v>
      </c>
    </row>
    <row r="9" spans="3:121" x14ac:dyDescent="0.3">
      <c r="C9" s="342"/>
      <c r="D9" s="346" t="str">
        <f>'Table 3.0'!D37</f>
        <v>Long-Term RV Rental Income</v>
      </c>
      <c r="E9" s="342"/>
      <c r="F9" s="342"/>
      <c r="G9" s="700"/>
      <c r="H9" s="698"/>
      <c r="I9" s="698"/>
      <c r="J9" s="344"/>
      <c r="K9" s="344">
        <f>'Rent Roll'!D17</f>
        <v>0</v>
      </c>
      <c r="L9" s="344">
        <f>'Rent Roll'!D18</f>
        <v>0</v>
      </c>
      <c r="M9" s="344">
        <f>'Rent Roll'!D19</f>
        <v>0</v>
      </c>
      <c r="N9" s="344">
        <f>'Rent Roll'!D20</f>
        <v>0</v>
      </c>
      <c r="O9" s="344">
        <f>'Rent Roll'!D21</f>
        <v>0</v>
      </c>
      <c r="P9" s="344">
        <f>'Rent Roll'!D22</f>
        <v>0</v>
      </c>
      <c r="Q9" s="344">
        <f>'Rent Roll'!D23</f>
        <v>0</v>
      </c>
      <c r="R9" s="344">
        <f>'Rent Roll'!D24</f>
        <v>0</v>
      </c>
      <c r="S9" s="344">
        <f>'Rent Roll'!D25</f>
        <v>0</v>
      </c>
      <c r="T9" s="344">
        <f>'Rent Roll'!D26</f>
        <v>0</v>
      </c>
      <c r="U9" s="344">
        <f>'Rent Roll'!D27</f>
        <v>0</v>
      </c>
      <c r="V9" s="563">
        <f>'Rent Roll'!D28</f>
        <v>0</v>
      </c>
      <c r="W9" s="344">
        <f>'Rent Roll'!I17</f>
        <v>26622</v>
      </c>
      <c r="X9" s="344">
        <f>'Rent Roll'!I18</f>
        <v>29580</v>
      </c>
      <c r="Y9" s="344">
        <f>'Rent Roll'!I19</f>
        <v>32538.000000000004</v>
      </c>
      <c r="Z9" s="344">
        <f>'Rent Roll'!I20</f>
        <v>32538.000000000004</v>
      </c>
      <c r="AA9" s="344">
        <f>'Rent Roll'!I21</f>
        <v>31059</v>
      </c>
      <c r="AB9" s="344">
        <f>'Rent Roll'!I22</f>
        <v>29580</v>
      </c>
      <c r="AC9" s="344">
        <f>'Rent Roll'!I23</f>
        <v>26622</v>
      </c>
      <c r="AD9" s="344">
        <f>'Rent Roll'!I24</f>
        <v>23664</v>
      </c>
      <c r="AE9" s="344">
        <f>'Rent Roll'!I25</f>
        <v>20706</v>
      </c>
      <c r="AF9" s="344">
        <f>'Rent Roll'!I26</f>
        <v>20706</v>
      </c>
      <c r="AG9" s="344">
        <f>'Rent Roll'!I27</f>
        <v>23664</v>
      </c>
      <c r="AH9" s="563">
        <f>'Rent Roll'!I28</f>
        <v>25143</v>
      </c>
      <c r="AI9" s="344">
        <f>'Rent Roll'!N17</f>
        <v>27405</v>
      </c>
      <c r="AJ9" s="344">
        <f>'Rent Roll'!N18</f>
        <v>30450</v>
      </c>
      <c r="AK9" s="344">
        <f>'Rent Roll'!N19</f>
        <v>33495</v>
      </c>
      <c r="AL9" s="344">
        <f>'Rent Roll'!N20</f>
        <v>33495</v>
      </c>
      <c r="AM9" s="344">
        <f>'Rent Roll'!N21</f>
        <v>31972.5</v>
      </c>
      <c r="AN9" s="344">
        <f>'Rent Roll'!N22</f>
        <v>30450</v>
      </c>
      <c r="AO9" s="344">
        <f>'Rent Roll'!N23</f>
        <v>27405</v>
      </c>
      <c r="AP9" s="344">
        <f>'Rent Roll'!N24</f>
        <v>24360</v>
      </c>
      <c r="AQ9" s="344">
        <f>'Rent Roll'!N25</f>
        <v>21315</v>
      </c>
      <c r="AR9" s="344">
        <f>'Rent Roll'!N26</f>
        <v>21315</v>
      </c>
      <c r="AS9" s="344">
        <f>'Rent Roll'!N27</f>
        <v>24360</v>
      </c>
      <c r="AT9" s="563">
        <f>'Rent Roll'!N28</f>
        <v>25882.5</v>
      </c>
      <c r="AU9" s="344">
        <f>'Rent Roll'!S17</f>
        <v>28188</v>
      </c>
      <c r="AV9" s="344">
        <f>'Rent Roll'!S18</f>
        <v>31320</v>
      </c>
      <c r="AW9" s="344">
        <f>'Rent Roll'!S19</f>
        <v>34452</v>
      </c>
      <c r="AX9" s="344">
        <f>'Rent Roll'!S20</f>
        <v>34452</v>
      </c>
      <c r="AY9" s="344">
        <f>'Rent Roll'!S21</f>
        <v>32886</v>
      </c>
      <c r="AZ9" s="344">
        <f>'Rent Roll'!S22</f>
        <v>31320</v>
      </c>
      <c r="BA9" s="344">
        <f>'Rent Roll'!S23</f>
        <v>28188</v>
      </c>
      <c r="BB9" s="344">
        <f>'Rent Roll'!S24</f>
        <v>25056</v>
      </c>
      <c r="BC9" s="344">
        <f>'Rent Roll'!S25</f>
        <v>21924</v>
      </c>
      <c r="BD9" s="344">
        <f>'Rent Roll'!S26</f>
        <v>21924</v>
      </c>
      <c r="BE9" s="344">
        <f>'Rent Roll'!S27</f>
        <v>25056</v>
      </c>
      <c r="BF9" s="563">
        <f>'Rent Roll'!S28</f>
        <v>26622</v>
      </c>
      <c r="BG9" s="344">
        <f>'Rent Roll'!X17</f>
        <v>28971</v>
      </c>
      <c r="BH9" s="344">
        <f>'Rent Roll'!X18</f>
        <v>32190</v>
      </c>
      <c r="BI9" s="344">
        <f>'Rent Roll'!X19</f>
        <v>35409</v>
      </c>
      <c r="BJ9" s="344">
        <f>'Rent Roll'!X20</f>
        <v>35409</v>
      </c>
      <c r="BK9" s="344">
        <f>'Rent Roll'!X21</f>
        <v>33799.5</v>
      </c>
      <c r="BL9" s="344">
        <f>'Rent Roll'!X22</f>
        <v>32190</v>
      </c>
      <c r="BM9" s="344">
        <f>'Rent Roll'!X23</f>
        <v>28971</v>
      </c>
      <c r="BN9" s="344">
        <f>'Rent Roll'!X24</f>
        <v>25752</v>
      </c>
      <c r="BO9" s="344">
        <f>'Rent Roll'!X25</f>
        <v>22533</v>
      </c>
      <c r="BP9" s="344">
        <f>'Rent Roll'!X26</f>
        <v>22533</v>
      </c>
      <c r="BQ9" s="344">
        <f>'Rent Roll'!X27</f>
        <v>25752</v>
      </c>
      <c r="BR9" s="563">
        <f>'Rent Roll'!X28</f>
        <v>27361.5</v>
      </c>
      <c r="BS9" s="344">
        <f>'Rent Roll'!D48</f>
        <v>29754</v>
      </c>
      <c r="BT9" s="344">
        <f>'Rent Roll'!D49</f>
        <v>33060</v>
      </c>
      <c r="BU9" s="344">
        <f>'Rent Roll'!D50</f>
        <v>36366</v>
      </c>
      <c r="BV9" s="344">
        <f>'Rent Roll'!D51</f>
        <v>36366</v>
      </c>
      <c r="BW9" s="344">
        <f>'Rent Roll'!D52</f>
        <v>34713</v>
      </c>
      <c r="BX9" s="344">
        <f>'Rent Roll'!D53</f>
        <v>33060</v>
      </c>
      <c r="BY9" s="344">
        <f>'Rent Roll'!D54</f>
        <v>29754</v>
      </c>
      <c r="BZ9" s="344">
        <f>'Rent Roll'!D55</f>
        <v>26448</v>
      </c>
      <c r="CA9" s="344">
        <f>'Rent Roll'!D56</f>
        <v>23142</v>
      </c>
      <c r="CB9" s="344">
        <f>'Rent Roll'!D57</f>
        <v>23142</v>
      </c>
      <c r="CC9" s="344">
        <f>'Rent Roll'!D58</f>
        <v>26448</v>
      </c>
      <c r="CD9" s="563">
        <f>'Rent Roll'!D59</f>
        <v>28101</v>
      </c>
      <c r="CE9" s="344">
        <f>'Rent Roll'!I48</f>
        <v>30537</v>
      </c>
      <c r="CF9" s="344">
        <f>'Rent Roll'!I49</f>
        <v>33930</v>
      </c>
      <c r="CG9" s="344">
        <f>'Rent Roll'!I50</f>
        <v>37323</v>
      </c>
      <c r="CH9" s="344">
        <f>'Rent Roll'!I51</f>
        <v>37323</v>
      </c>
      <c r="CI9" s="344">
        <f>'Rent Roll'!I52</f>
        <v>35626.5</v>
      </c>
      <c r="CJ9" s="344">
        <f>'Rent Roll'!I53</f>
        <v>33930</v>
      </c>
      <c r="CK9" s="344">
        <f>'Rent Roll'!I54</f>
        <v>30537</v>
      </c>
      <c r="CL9" s="344">
        <f>'Rent Roll'!I55</f>
        <v>27144</v>
      </c>
      <c r="CM9" s="344">
        <f>'Rent Roll'!I56</f>
        <v>23751</v>
      </c>
      <c r="CN9" s="344">
        <f>'Rent Roll'!I57</f>
        <v>23751</v>
      </c>
      <c r="CO9" s="344">
        <f>'Rent Roll'!I58</f>
        <v>27144</v>
      </c>
      <c r="CP9" s="563">
        <f>'Rent Roll'!I59</f>
        <v>28840.5</v>
      </c>
      <c r="CQ9" s="344">
        <f>'Rent Roll'!N48</f>
        <v>31320</v>
      </c>
      <c r="CR9" s="344">
        <f>'Rent Roll'!N49</f>
        <v>34800</v>
      </c>
      <c r="CS9" s="344">
        <f>'Rent Roll'!N50</f>
        <v>38280</v>
      </c>
      <c r="CT9" s="344">
        <f>'Rent Roll'!N51</f>
        <v>38280</v>
      </c>
      <c r="CU9" s="344">
        <f>'Rent Roll'!N52</f>
        <v>36540</v>
      </c>
      <c r="CV9" s="344">
        <f>'Rent Roll'!N53</f>
        <v>34800</v>
      </c>
      <c r="CW9" s="344">
        <f>'Rent Roll'!N54</f>
        <v>31320</v>
      </c>
      <c r="CX9" s="344">
        <f>'Rent Roll'!N55</f>
        <v>27840</v>
      </c>
      <c r="CY9" s="344">
        <f>'Rent Roll'!N56</f>
        <v>24360</v>
      </c>
      <c r="CZ9" s="344">
        <f>'Rent Roll'!N57</f>
        <v>24360</v>
      </c>
      <c r="DA9" s="344">
        <f>'Rent Roll'!N58</f>
        <v>27840</v>
      </c>
      <c r="DB9" s="563">
        <f>'Rent Roll'!N59</f>
        <v>29580</v>
      </c>
      <c r="DC9" s="344">
        <f>'Rent Roll'!S48</f>
        <v>32103</v>
      </c>
      <c r="DD9" s="344">
        <f>'Rent Roll'!S49</f>
        <v>35670</v>
      </c>
      <c r="DE9" s="344">
        <f>'Rent Roll'!S50</f>
        <v>39237</v>
      </c>
      <c r="DF9" s="344">
        <f>'Rent Roll'!S51</f>
        <v>39237</v>
      </c>
      <c r="DG9" s="344">
        <f>'Rent Roll'!S52</f>
        <v>37453.5</v>
      </c>
      <c r="DH9" s="344">
        <f>'Rent Roll'!S53</f>
        <v>35670</v>
      </c>
      <c r="DI9" s="344">
        <f>'Rent Roll'!S54</f>
        <v>32103</v>
      </c>
      <c r="DJ9" s="344">
        <f>'Rent Roll'!S55</f>
        <v>28536</v>
      </c>
      <c r="DK9" s="344">
        <f>'Rent Roll'!S56</f>
        <v>24969</v>
      </c>
      <c r="DL9" s="344">
        <f>'Rent Roll'!S57</f>
        <v>24969</v>
      </c>
      <c r="DM9" s="344">
        <f>'Rent Roll'!S58</f>
        <v>28536</v>
      </c>
      <c r="DN9" s="344">
        <f>'Rent Roll'!S59</f>
        <v>30319.5</v>
      </c>
      <c r="DO9" s="342"/>
      <c r="DP9" s="344">
        <f>SUM(J9:DN9)</f>
        <v>2844900</v>
      </c>
    </row>
    <row r="10" spans="3:121" x14ac:dyDescent="0.3">
      <c r="C10" s="331" t="str">
        <f>'Table 3.0'!C38</f>
        <v>SUB-TOTAL</v>
      </c>
      <c r="J10" s="339"/>
      <c r="K10" s="339">
        <f t="shared" ref="K10:AP10" si="11">SUM(K8:K9)</f>
        <v>0</v>
      </c>
      <c r="L10" s="339">
        <f t="shared" si="11"/>
        <v>0</v>
      </c>
      <c r="M10" s="339">
        <f t="shared" si="11"/>
        <v>0</v>
      </c>
      <c r="N10" s="339">
        <f t="shared" si="11"/>
        <v>0</v>
      </c>
      <c r="O10" s="339">
        <f t="shared" si="11"/>
        <v>0</v>
      </c>
      <c r="P10" s="339">
        <f t="shared" si="11"/>
        <v>0</v>
      </c>
      <c r="Q10" s="339">
        <f t="shared" si="11"/>
        <v>0</v>
      </c>
      <c r="R10" s="339">
        <f t="shared" si="11"/>
        <v>0</v>
      </c>
      <c r="S10" s="339">
        <f t="shared" si="11"/>
        <v>0</v>
      </c>
      <c r="T10" s="339">
        <f t="shared" si="11"/>
        <v>0</v>
      </c>
      <c r="U10" s="339">
        <f t="shared" si="11"/>
        <v>0</v>
      </c>
      <c r="V10" s="564">
        <f t="shared" si="11"/>
        <v>0</v>
      </c>
      <c r="W10" s="339">
        <f t="shared" si="11"/>
        <v>39222</v>
      </c>
      <c r="X10" s="339">
        <f t="shared" si="11"/>
        <v>42180</v>
      </c>
      <c r="Y10" s="339">
        <f t="shared" si="11"/>
        <v>45138</v>
      </c>
      <c r="Z10" s="339">
        <f t="shared" si="11"/>
        <v>45138</v>
      </c>
      <c r="AA10" s="339">
        <f t="shared" si="11"/>
        <v>43659</v>
      </c>
      <c r="AB10" s="339">
        <f t="shared" si="11"/>
        <v>42180</v>
      </c>
      <c r="AC10" s="339">
        <f t="shared" si="11"/>
        <v>39222</v>
      </c>
      <c r="AD10" s="339">
        <f t="shared" si="11"/>
        <v>36264</v>
      </c>
      <c r="AE10" s="339">
        <f t="shared" si="11"/>
        <v>33306</v>
      </c>
      <c r="AF10" s="339">
        <f t="shared" si="11"/>
        <v>33306</v>
      </c>
      <c r="AG10" s="339">
        <f t="shared" si="11"/>
        <v>36264</v>
      </c>
      <c r="AH10" s="564">
        <f t="shared" si="11"/>
        <v>37743</v>
      </c>
      <c r="AI10" s="339">
        <f t="shared" si="11"/>
        <v>41055</v>
      </c>
      <c r="AJ10" s="339">
        <f t="shared" si="11"/>
        <v>44100</v>
      </c>
      <c r="AK10" s="339">
        <f t="shared" si="11"/>
        <v>47145</v>
      </c>
      <c r="AL10" s="339">
        <f t="shared" si="11"/>
        <v>47145</v>
      </c>
      <c r="AM10" s="339">
        <f t="shared" si="11"/>
        <v>45622.5</v>
      </c>
      <c r="AN10" s="339">
        <f t="shared" si="11"/>
        <v>44100</v>
      </c>
      <c r="AO10" s="339">
        <f t="shared" si="11"/>
        <v>41055</v>
      </c>
      <c r="AP10" s="339">
        <f t="shared" si="11"/>
        <v>38010</v>
      </c>
      <c r="AQ10" s="339">
        <f t="shared" ref="AQ10:BV10" si="12">SUM(AQ8:AQ9)</f>
        <v>34965</v>
      </c>
      <c r="AR10" s="339">
        <f t="shared" si="12"/>
        <v>34965</v>
      </c>
      <c r="AS10" s="339">
        <f t="shared" si="12"/>
        <v>38010</v>
      </c>
      <c r="AT10" s="564">
        <f t="shared" si="12"/>
        <v>39532.5</v>
      </c>
      <c r="AU10" s="339">
        <f t="shared" si="12"/>
        <v>42888</v>
      </c>
      <c r="AV10" s="339">
        <f t="shared" si="12"/>
        <v>46020</v>
      </c>
      <c r="AW10" s="339">
        <f t="shared" si="12"/>
        <v>49152</v>
      </c>
      <c r="AX10" s="339">
        <f t="shared" si="12"/>
        <v>49152</v>
      </c>
      <c r="AY10" s="339">
        <f t="shared" si="12"/>
        <v>47586</v>
      </c>
      <c r="AZ10" s="339">
        <f t="shared" si="12"/>
        <v>46020</v>
      </c>
      <c r="BA10" s="339">
        <f t="shared" si="12"/>
        <v>42888</v>
      </c>
      <c r="BB10" s="339">
        <f t="shared" si="12"/>
        <v>39756</v>
      </c>
      <c r="BC10" s="339">
        <f t="shared" si="12"/>
        <v>36624</v>
      </c>
      <c r="BD10" s="339">
        <f t="shared" si="12"/>
        <v>36624</v>
      </c>
      <c r="BE10" s="339">
        <f t="shared" si="12"/>
        <v>39756</v>
      </c>
      <c r="BF10" s="564">
        <f t="shared" si="12"/>
        <v>41322</v>
      </c>
      <c r="BG10" s="339">
        <f t="shared" si="12"/>
        <v>44721</v>
      </c>
      <c r="BH10" s="339">
        <f t="shared" si="12"/>
        <v>47940</v>
      </c>
      <c r="BI10" s="339">
        <f t="shared" si="12"/>
        <v>51159</v>
      </c>
      <c r="BJ10" s="339">
        <f t="shared" si="12"/>
        <v>51159</v>
      </c>
      <c r="BK10" s="339">
        <f t="shared" si="12"/>
        <v>49549.5</v>
      </c>
      <c r="BL10" s="339">
        <f t="shared" si="12"/>
        <v>47940</v>
      </c>
      <c r="BM10" s="339">
        <f t="shared" si="12"/>
        <v>44721</v>
      </c>
      <c r="BN10" s="339">
        <f t="shared" si="12"/>
        <v>41502</v>
      </c>
      <c r="BO10" s="339">
        <f t="shared" si="12"/>
        <v>38283</v>
      </c>
      <c r="BP10" s="339">
        <f t="shared" si="12"/>
        <v>38283</v>
      </c>
      <c r="BQ10" s="339">
        <f t="shared" si="12"/>
        <v>41502</v>
      </c>
      <c r="BR10" s="564">
        <f t="shared" si="12"/>
        <v>43111.5</v>
      </c>
      <c r="BS10" s="339">
        <f t="shared" si="12"/>
        <v>46554</v>
      </c>
      <c r="BT10" s="339">
        <f t="shared" si="12"/>
        <v>49860</v>
      </c>
      <c r="BU10" s="339">
        <f t="shared" si="12"/>
        <v>53166</v>
      </c>
      <c r="BV10" s="339">
        <f t="shared" si="12"/>
        <v>53166</v>
      </c>
      <c r="BW10" s="339">
        <f t="shared" ref="BW10:DB10" si="13">SUM(BW8:BW9)</f>
        <v>51513</v>
      </c>
      <c r="BX10" s="339">
        <f t="shared" si="13"/>
        <v>49860</v>
      </c>
      <c r="BY10" s="339">
        <f t="shared" si="13"/>
        <v>46554</v>
      </c>
      <c r="BZ10" s="339">
        <f t="shared" si="13"/>
        <v>43248</v>
      </c>
      <c r="CA10" s="339">
        <f t="shared" si="13"/>
        <v>39942</v>
      </c>
      <c r="CB10" s="339">
        <f t="shared" si="13"/>
        <v>39942</v>
      </c>
      <c r="CC10" s="339">
        <f t="shared" si="13"/>
        <v>43248</v>
      </c>
      <c r="CD10" s="564">
        <f t="shared" si="13"/>
        <v>44901</v>
      </c>
      <c r="CE10" s="339">
        <f t="shared" si="13"/>
        <v>48387</v>
      </c>
      <c r="CF10" s="339">
        <f t="shared" si="13"/>
        <v>51780</v>
      </c>
      <c r="CG10" s="339">
        <f t="shared" si="13"/>
        <v>55173</v>
      </c>
      <c r="CH10" s="339">
        <f t="shared" si="13"/>
        <v>55173</v>
      </c>
      <c r="CI10" s="339">
        <f t="shared" si="13"/>
        <v>53476.5</v>
      </c>
      <c r="CJ10" s="339">
        <f t="shared" si="13"/>
        <v>51780</v>
      </c>
      <c r="CK10" s="339">
        <f t="shared" si="13"/>
        <v>48387</v>
      </c>
      <c r="CL10" s="339">
        <f t="shared" si="13"/>
        <v>44994</v>
      </c>
      <c r="CM10" s="339">
        <f t="shared" si="13"/>
        <v>41601</v>
      </c>
      <c r="CN10" s="339">
        <f t="shared" si="13"/>
        <v>41601</v>
      </c>
      <c r="CO10" s="339">
        <f t="shared" si="13"/>
        <v>44994</v>
      </c>
      <c r="CP10" s="564">
        <f t="shared" si="13"/>
        <v>46690.5</v>
      </c>
      <c r="CQ10" s="339">
        <f t="shared" si="13"/>
        <v>50220</v>
      </c>
      <c r="CR10" s="339">
        <f t="shared" si="13"/>
        <v>53700</v>
      </c>
      <c r="CS10" s="339">
        <f t="shared" si="13"/>
        <v>57180</v>
      </c>
      <c r="CT10" s="339">
        <f t="shared" si="13"/>
        <v>57180</v>
      </c>
      <c r="CU10" s="339">
        <f t="shared" si="13"/>
        <v>55440</v>
      </c>
      <c r="CV10" s="339">
        <f t="shared" si="13"/>
        <v>53700</v>
      </c>
      <c r="CW10" s="339">
        <f t="shared" si="13"/>
        <v>50220</v>
      </c>
      <c r="CX10" s="339">
        <f t="shared" si="13"/>
        <v>46740</v>
      </c>
      <c r="CY10" s="339">
        <f t="shared" si="13"/>
        <v>43260</v>
      </c>
      <c r="CZ10" s="339">
        <f t="shared" si="13"/>
        <v>43260</v>
      </c>
      <c r="DA10" s="339">
        <f t="shared" si="13"/>
        <v>46740</v>
      </c>
      <c r="DB10" s="564">
        <f t="shared" si="13"/>
        <v>48480</v>
      </c>
      <c r="DC10" s="339">
        <f t="shared" ref="DC10:DJ10" si="14">SUM(DC8:DC9)</f>
        <v>52053</v>
      </c>
      <c r="DD10" s="339">
        <f t="shared" si="14"/>
        <v>55620</v>
      </c>
      <c r="DE10" s="339">
        <f t="shared" si="14"/>
        <v>59187</v>
      </c>
      <c r="DF10" s="339">
        <f t="shared" si="14"/>
        <v>59187</v>
      </c>
      <c r="DG10" s="339">
        <f t="shared" si="14"/>
        <v>57403.5</v>
      </c>
      <c r="DH10" s="339">
        <f t="shared" si="14"/>
        <v>55620</v>
      </c>
      <c r="DI10" s="339">
        <f t="shared" si="14"/>
        <v>52053</v>
      </c>
      <c r="DJ10" s="339">
        <f t="shared" si="14"/>
        <v>48486</v>
      </c>
      <c r="DK10" s="339">
        <f t="shared" ref="DK10:DN10" si="15">SUM(DK8:DK9)</f>
        <v>44919</v>
      </c>
      <c r="DL10" s="339">
        <f t="shared" si="15"/>
        <v>44919</v>
      </c>
      <c r="DM10" s="339">
        <f t="shared" si="15"/>
        <v>48486</v>
      </c>
      <c r="DN10" s="339">
        <f t="shared" si="15"/>
        <v>50269.5</v>
      </c>
      <c r="DO10" s="339"/>
      <c r="DP10" s="340">
        <f>SUM(J10:DN10)</f>
        <v>4407300</v>
      </c>
    </row>
    <row r="11" spans="3:121" x14ac:dyDescent="0.3">
      <c r="V11" s="561"/>
      <c r="AH11" s="561"/>
      <c r="AT11" s="561"/>
      <c r="BF11" s="561"/>
      <c r="BR11" s="561"/>
      <c r="CD11" s="561"/>
      <c r="CP11" s="561"/>
      <c r="DB11" s="561"/>
      <c r="DP11" s="340"/>
    </row>
    <row r="12" spans="3:121" x14ac:dyDescent="0.3">
      <c r="C12" s="331" t="str">
        <f>'Table 3.0'!C40</f>
        <v>Golf Cart Rentals ($/day) (# carts)</v>
      </c>
      <c r="G12" s="705">
        <f>'Table 3.0'!G40</f>
        <v>75</v>
      </c>
      <c r="H12" s="821">
        <f>'Table 3.0'!H40</f>
        <v>4</v>
      </c>
      <c r="J12" s="822"/>
      <c r="K12" s="822">
        <f>IF(K10=0,0,$G$12*$H$12*'Table 3.0'!$L$9*K2)</f>
        <v>0</v>
      </c>
      <c r="L12" s="822">
        <f>IF(L10=0,0,$G$12*$H$12*'Table 3.0'!$L$9*L2)</f>
        <v>0</v>
      </c>
      <c r="M12" s="822">
        <f>IF(M10=0,0,$G$12*$H$12*'Table 3.0'!$L$9*M2)</f>
        <v>0</v>
      </c>
      <c r="N12" s="822">
        <f>IF(N10=0,0,$G$12*$H$12*'Table 3.0'!$L$9*N2)</f>
        <v>0</v>
      </c>
      <c r="O12" s="822">
        <f>IF(O10=0,0,$G$12*$H$12*'Table 3.0'!$L$9*O2)</f>
        <v>0</v>
      </c>
      <c r="P12" s="822">
        <f>IF(P10=0,0,$G$12*$H$12*'Table 3.0'!$L$9*P2)</f>
        <v>0</v>
      </c>
      <c r="Q12" s="822">
        <f>IF(Q10=0,0,$G$12*$H$12*'Table 3.0'!$L$9*Q2)</f>
        <v>0</v>
      </c>
      <c r="R12" s="822">
        <f>IF(R10=0,0,$G$12*$H$12*'Table 3.0'!$L$9*R2)</f>
        <v>0</v>
      </c>
      <c r="S12" s="822">
        <f>IF(S10=0,0,$G$12*$H$12*'Table 3.0'!$L$9*S2)</f>
        <v>0</v>
      </c>
      <c r="T12" s="822">
        <f>IF(T10=0,0,$G$12*$H$12*'Table 3.0'!$L$9*T2)</f>
        <v>0</v>
      </c>
      <c r="U12" s="822">
        <f>IF(U10=0,0,$G$12*$H$12*'Table 3.0'!$L$9*U2)</f>
        <v>0</v>
      </c>
      <c r="V12" s="953">
        <f>IF(V10=0,0,$G$12*$H$12*'Table 3.0'!$L$9*V2)</f>
        <v>0</v>
      </c>
      <c r="W12" s="822">
        <f>IF(W10=0,0,$G$12*$H$12*'Table 3.0'!$L$9*W2)</f>
        <v>6510</v>
      </c>
      <c r="X12" s="822">
        <f>IF(X10=0,0,$G$12*$H$12*'Table 3.0'!$L$9*X2)</f>
        <v>6300</v>
      </c>
      <c r="Y12" s="822">
        <f>IF(Y10=0,0,$G$12*$H$12*'Table 3.0'!$L$9*Y2)</f>
        <v>6510</v>
      </c>
      <c r="Z12" s="822">
        <f>IF(Z10=0,0,$G$12*$H$12*'Table 3.0'!$L$9*Z2)</f>
        <v>6510</v>
      </c>
      <c r="AA12" s="822">
        <f>IF(AA10=0,0,$G$12*$H$12*'Table 3.0'!$L$9*AA2)</f>
        <v>6300</v>
      </c>
      <c r="AB12" s="822">
        <f>IF(AB10=0,0,$G$12*$H$12*'Table 3.0'!$L$9*AB2)</f>
        <v>6510</v>
      </c>
      <c r="AC12" s="822">
        <f>IF(AC10=0,0,$G$12*$H$12*'Table 3.0'!$L$9*AC2)</f>
        <v>6300</v>
      </c>
      <c r="AD12" s="822">
        <f>IF(AD10=0,0,$G$12*$H$12*'Table 3.0'!$L$9*AD2)</f>
        <v>6510</v>
      </c>
      <c r="AE12" s="822">
        <f>IF(AE10=0,0,$G$12*$H$12*'Table 3.0'!$L$9*AE2)</f>
        <v>6510</v>
      </c>
      <c r="AF12" s="822">
        <f>IF(AF10=0,0,$G$12*$H$12*'Table 3.0'!$L$9*AF2)</f>
        <v>5880</v>
      </c>
      <c r="AG12" s="822">
        <f>IF(AG10=0,0,$G$12*$H$12*'Table 3.0'!$L$9*AG2)</f>
        <v>6510</v>
      </c>
      <c r="AH12" s="953">
        <f>IF(AH10=0,0,$G$12*$H$12*'Table 3.0'!$L$9*AH2)</f>
        <v>6300</v>
      </c>
      <c r="AI12" s="822">
        <f>IF(AI10=0,0,$G$12*$H$12*'Table 3.0'!$L$9*AI2)</f>
        <v>6510</v>
      </c>
      <c r="AJ12" s="822">
        <f>IF(AJ10=0,0,$G$12*$H$12*'Table 3.0'!$L$9*AJ2)</f>
        <v>6300</v>
      </c>
      <c r="AK12" s="822">
        <f>IF(AK10=0,0,$G$12*$H$12*'Table 3.0'!$L$9*AK2)</f>
        <v>6510</v>
      </c>
      <c r="AL12" s="822">
        <f>IF(AL10=0,0,$G$12*$H$12*'Table 3.0'!$L$9*AL2)</f>
        <v>6510</v>
      </c>
      <c r="AM12" s="822">
        <f>IF(AM10=0,0,$G$12*$H$12*'Table 3.0'!$L$9*AM2)</f>
        <v>6300</v>
      </c>
      <c r="AN12" s="822">
        <f>IF(AN10=0,0,$G$12*$H$12*'Table 3.0'!$L$9*AN2)</f>
        <v>6510</v>
      </c>
      <c r="AO12" s="822">
        <f>IF(AO10=0,0,$G$12*$H$12*'Table 3.0'!$L$9*AO2)</f>
        <v>6300</v>
      </c>
      <c r="AP12" s="822">
        <f>IF(AP10=0,0,$G$12*$H$12*'Table 3.0'!$L$9*AP2)</f>
        <v>6510</v>
      </c>
      <c r="AQ12" s="822">
        <f>IF(AQ10=0,0,$G$12*$H$12*'Table 3.0'!$L$9*AQ2)</f>
        <v>6510</v>
      </c>
      <c r="AR12" s="822">
        <f>IF(AR10=0,0,$G$12*$H$12*'Table 3.0'!$L$9*AR2)</f>
        <v>5880</v>
      </c>
      <c r="AS12" s="822">
        <f>IF(AS10=0,0,$G$12*$H$12*'Table 3.0'!$L$9*AS2)</f>
        <v>6510</v>
      </c>
      <c r="AT12" s="953">
        <f>IF(AT10=0,0,$G$12*$H$12*'Table 3.0'!$L$9*AT2)</f>
        <v>6300</v>
      </c>
      <c r="AU12" s="822">
        <f>IF(AU10=0,0,$G$12*$H$12*'Table 3.0'!$L$9*AU2)</f>
        <v>6510</v>
      </c>
      <c r="AV12" s="822">
        <f>IF(AV10=0,0,$G$12*$H$12*'Table 3.0'!$L$9*AV2)</f>
        <v>6300</v>
      </c>
      <c r="AW12" s="822">
        <f>IF(AW10=0,0,$G$12*$H$12*'Table 3.0'!$L$9*AW2)</f>
        <v>6510</v>
      </c>
      <c r="AX12" s="822">
        <f>IF(AX10=0,0,$G$12*$H$12*'Table 3.0'!$L$9*AX2)</f>
        <v>6510</v>
      </c>
      <c r="AY12" s="822">
        <f>IF(AY10=0,0,$G$12*$H$12*'Table 3.0'!$L$9*AY2)</f>
        <v>6300</v>
      </c>
      <c r="AZ12" s="822">
        <f>IF(AZ10=0,0,$G$12*$H$12*'Table 3.0'!$L$9*AZ2)</f>
        <v>6510</v>
      </c>
      <c r="BA12" s="822">
        <f>IF(BA10=0,0,$G$12*$H$12*'Table 3.0'!$L$9*BA2)</f>
        <v>6300</v>
      </c>
      <c r="BB12" s="822">
        <f>IF(BB10=0,0,$G$12*$H$12*'Table 3.0'!$L$9*BB2)</f>
        <v>6510</v>
      </c>
      <c r="BC12" s="822">
        <f>IF(BC10=0,0,$G$12*$H$12*'Table 3.0'!$L$9*BC2)</f>
        <v>6510</v>
      </c>
      <c r="BD12" s="822">
        <f>IF(BD10=0,0,$G$12*$H$12*'Table 3.0'!$L$9*BD2)</f>
        <v>6090</v>
      </c>
      <c r="BE12" s="822">
        <f>IF(BE10=0,0,$G$12*$H$12*'Table 3.0'!$L$9*BE2)</f>
        <v>6510</v>
      </c>
      <c r="BF12" s="953">
        <f>IF(BF10=0,0,$G$12*$H$12*'Table 3.0'!$L$9*BF2)</f>
        <v>6300</v>
      </c>
      <c r="BG12" s="822">
        <f>IF(BG10=0,0,$G$12*$H$12*'Table 3.0'!$L$9*BG2)</f>
        <v>6510</v>
      </c>
      <c r="BH12" s="822">
        <f>IF(BH10=0,0,$G$12*$H$12*'Table 3.0'!$L$9*BH2)</f>
        <v>6300</v>
      </c>
      <c r="BI12" s="822">
        <f>IF(BI10=0,0,$G$12*$H$12*'Table 3.0'!$L$9*BI2)</f>
        <v>6510</v>
      </c>
      <c r="BJ12" s="822">
        <f>IF(BJ10=0,0,$G$12*$H$12*'Table 3.0'!$L$9*BJ2)</f>
        <v>6510</v>
      </c>
      <c r="BK12" s="822">
        <f>IF(BK10=0,0,$G$12*$H$12*'Table 3.0'!$L$9*BK2)</f>
        <v>6300</v>
      </c>
      <c r="BL12" s="822">
        <f>IF(BL10=0,0,$G$12*$H$12*'Table 3.0'!$L$9*BL2)</f>
        <v>6510</v>
      </c>
      <c r="BM12" s="822">
        <f>IF(BM10=0,0,$G$12*$H$12*'Table 3.0'!$L$9*BM2)</f>
        <v>6300</v>
      </c>
      <c r="BN12" s="822">
        <f>IF(BN10=0,0,$G$12*$H$12*'Table 3.0'!$L$9*BN2)</f>
        <v>6510</v>
      </c>
      <c r="BO12" s="822">
        <f>IF(BO10=0,0,$G$12*$H$12*'Table 3.0'!$L$9*BO2)</f>
        <v>6510</v>
      </c>
      <c r="BP12" s="822">
        <f>IF(BP10=0,0,$G$12*$H$12*'Table 3.0'!$L$9*BP2)</f>
        <v>5880</v>
      </c>
      <c r="BQ12" s="822">
        <f>IF(BQ10=0,0,$G$12*$H$12*'Table 3.0'!$L$9*BQ2)</f>
        <v>6510</v>
      </c>
      <c r="BR12" s="953">
        <f>IF(BR10=0,0,$G$12*$H$12*'Table 3.0'!$L$9*BR2)</f>
        <v>6300</v>
      </c>
      <c r="BS12" s="822">
        <f>IF(BS10=0,0,$G$12*$H$12*'Table 3.0'!$L$9*BS2)</f>
        <v>6510</v>
      </c>
      <c r="BT12" s="822">
        <f>IF(BT10=0,0,$G$12*$H$12*'Table 3.0'!$L$9*BT2)</f>
        <v>6300</v>
      </c>
      <c r="BU12" s="822">
        <f>IF(BU10=0,0,$G$12*$H$12*'Table 3.0'!$L$9*BU2)</f>
        <v>6510</v>
      </c>
      <c r="BV12" s="822">
        <f>IF(BV10=0,0,$G$12*$H$12*'Table 3.0'!$L$9*BV2)</f>
        <v>6510</v>
      </c>
      <c r="BW12" s="822">
        <f>IF(BW10=0,0,$G$12*$H$12*'Table 3.0'!$L$9*BW2)</f>
        <v>6300</v>
      </c>
      <c r="BX12" s="822">
        <f>IF(BX10=0,0,$G$12*$H$12*'Table 3.0'!$L$9*BX2)</f>
        <v>6510</v>
      </c>
      <c r="BY12" s="822">
        <f>IF(BY10=0,0,$G$12*$H$12*'Table 3.0'!$L$9*BY2)</f>
        <v>6300</v>
      </c>
      <c r="BZ12" s="822">
        <f>IF(BZ10=0,0,$G$12*$H$12*'Table 3.0'!$L$9*BZ2)</f>
        <v>6510</v>
      </c>
      <c r="CA12" s="822">
        <f>IF(CA10=0,0,$G$12*$H$12*'Table 3.0'!$L$9*CA2)</f>
        <v>6510</v>
      </c>
      <c r="CB12" s="822">
        <f>IF(CB10=0,0,$G$12*$H$12*'Table 3.0'!$L$9*CB2)</f>
        <v>5880</v>
      </c>
      <c r="CC12" s="822">
        <f>IF(CC10=0,0,$G$12*$H$12*'Table 3.0'!$L$9*CC2)</f>
        <v>6510</v>
      </c>
      <c r="CD12" s="953">
        <f>IF(CD10=0,0,$G$12*$H$12*'Table 3.0'!$L$9*CD2)</f>
        <v>6300</v>
      </c>
      <c r="CE12" s="822">
        <f>IF(CE10=0,0,$G$12*$H$12*'Table 3.0'!$L$9*CE2)</f>
        <v>6510</v>
      </c>
      <c r="CF12" s="822">
        <f>IF(CF10=0,0,$G$12*$H$12*'Table 3.0'!$L$9*CF2)</f>
        <v>6300</v>
      </c>
      <c r="CG12" s="822">
        <f>IF(CG10=0,0,$G$12*$H$12*'Table 3.0'!$L$9*CG2)</f>
        <v>6510</v>
      </c>
      <c r="CH12" s="822">
        <f>IF(CH10=0,0,$G$12*$H$12*'Table 3.0'!$L$9*CH2)</f>
        <v>6510</v>
      </c>
      <c r="CI12" s="822">
        <f>IF(CI10=0,0,$G$12*$H$12*'Table 3.0'!$L$9*CI2)</f>
        <v>6300</v>
      </c>
      <c r="CJ12" s="822">
        <f>IF(CJ10=0,0,$G$12*$H$12*'Table 3.0'!$L$9*CJ2)</f>
        <v>6510</v>
      </c>
      <c r="CK12" s="822">
        <f>IF(CK10=0,0,$G$12*$H$12*'Table 3.0'!$L$9*CK2)</f>
        <v>6300</v>
      </c>
      <c r="CL12" s="822">
        <f>IF(CL10=0,0,$G$12*$H$12*'Table 3.0'!$L$9*CL2)</f>
        <v>6510</v>
      </c>
      <c r="CM12" s="822">
        <f>IF(CM10=0,0,$G$12*$H$12*'Table 3.0'!$L$9*CM2)</f>
        <v>6510</v>
      </c>
      <c r="CN12" s="822">
        <f>IF(CN10=0,0,$G$12*$H$12*'Table 3.0'!$L$9*CN2)</f>
        <v>5880</v>
      </c>
      <c r="CO12" s="822">
        <f>IF(CO10=0,0,$G$12*$H$12*'Table 3.0'!$L$9*CO2)</f>
        <v>6510</v>
      </c>
      <c r="CP12" s="953">
        <f>IF(CP10=0,0,$G$12*$H$12*'Table 3.0'!$L$9*CP2)</f>
        <v>6300</v>
      </c>
      <c r="CQ12" s="822">
        <f>IF(CQ10=0,0,$G$12*$H$12*'Table 3.0'!$L$9*CQ2)</f>
        <v>6510</v>
      </c>
      <c r="CR12" s="822">
        <f>IF(CR10=0,0,$G$12*$H$12*'Table 3.0'!$L$9*CR2)</f>
        <v>6300</v>
      </c>
      <c r="CS12" s="822">
        <f>IF(CS10=0,0,$G$12*$H$12*'Table 3.0'!$L$9*CS2)</f>
        <v>6510</v>
      </c>
      <c r="CT12" s="822">
        <f>IF(CT10=0,0,$G$12*$H$12*'Table 3.0'!$L$9*CT2)</f>
        <v>6510</v>
      </c>
      <c r="CU12" s="822">
        <f>IF(CU10=0,0,$G$12*$H$12*'Table 3.0'!$L$9*CU2)</f>
        <v>6300</v>
      </c>
      <c r="CV12" s="822">
        <f>IF(CV10=0,0,$G$12*$H$12*'Table 3.0'!$L$9*CV2)</f>
        <v>6510</v>
      </c>
      <c r="CW12" s="822">
        <f>IF(CW10=0,0,$G$12*$H$12*'Table 3.0'!$L$9*CW2)</f>
        <v>6300</v>
      </c>
      <c r="CX12" s="822">
        <f>IF(CX10=0,0,$G$12*$H$12*'Table 3.0'!$L$9*CX2)</f>
        <v>6510</v>
      </c>
      <c r="CY12" s="822">
        <f>IF(CY10=0,0,$G$12*$H$12*'Table 3.0'!$L$9*CY2)</f>
        <v>6510</v>
      </c>
      <c r="CZ12" s="822">
        <f>IF(CZ10=0,0,$G$12*$H$12*'Table 3.0'!$L$9*CZ2)</f>
        <v>5880</v>
      </c>
      <c r="DA12" s="822">
        <f>IF(DA10=0,0,$G$12*$H$12*'Table 3.0'!$L$9*DA2)</f>
        <v>6510</v>
      </c>
      <c r="DB12" s="953">
        <f>IF(DB10=0,0,$G$12*$H$12*'Table 3.0'!$L$9*DB2)</f>
        <v>6300</v>
      </c>
      <c r="DC12" s="822">
        <f>IF(DC10=0,0,$G$12*$H$12*'Table 3.0'!$L$9*DC2)</f>
        <v>6510</v>
      </c>
      <c r="DD12" s="822">
        <f>IF(DD10=0,0,$G$12*$H$12*'Table 3.0'!$L$9*DD2)</f>
        <v>6300</v>
      </c>
      <c r="DE12" s="822">
        <f>IF(DE10=0,0,$G$12*$H$12*'Table 3.0'!$L$9*DE2)</f>
        <v>6510</v>
      </c>
      <c r="DF12" s="822">
        <f>IF(DF10=0,0,$G$12*$H$12*'Table 3.0'!$L$9*DF2)</f>
        <v>6510</v>
      </c>
      <c r="DG12" s="822">
        <f>IF(DG10=0,0,$G$12*$H$12*'Table 3.0'!$L$9*DG2)</f>
        <v>6300</v>
      </c>
      <c r="DH12" s="822">
        <f>IF(DH10=0,0,$G$12*$H$12*'Table 3.0'!$L$9*DH2)</f>
        <v>6510</v>
      </c>
      <c r="DI12" s="822">
        <f>IF(DI10=0,0,$G$12*$H$12*'Table 3.0'!$L$9*DI2)</f>
        <v>6300</v>
      </c>
      <c r="DJ12" s="822">
        <f>IF(DJ10=0,0,$G$12*$H$12*'Table 3.0'!$L$9*DJ2)</f>
        <v>6510</v>
      </c>
      <c r="DK12" s="822">
        <f>IF(DK10=0,0,$G$12*$H$12*'Table 3.0'!$L$9*DK2)</f>
        <v>6510</v>
      </c>
      <c r="DL12" s="822">
        <f>IF(DL10=0,0,$G$12*$H$12*'Table 3.0'!$L$9*DL2)</f>
        <v>5880</v>
      </c>
      <c r="DM12" s="822">
        <f>IF(DM10=0,0,$G$12*$H$12*'Table 3.0'!$L$9*DM2)</f>
        <v>6510</v>
      </c>
      <c r="DN12" s="822">
        <f>IF(DN10=0,0,$G$12*$H$12*'Table 3.0'!$L$9*DN2)</f>
        <v>6300</v>
      </c>
      <c r="DP12" s="340">
        <f>SUM(J12:DN12)</f>
        <v>613410</v>
      </c>
      <c r="DQ12" s="680"/>
    </row>
    <row r="13" spans="3:121" x14ac:dyDescent="0.3">
      <c r="C13" s="346" t="str">
        <f>'Table 3.0'!C41</f>
        <v>Glamping Rentals ($/night) (# spaces)</v>
      </c>
      <c r="D13" s="342"/>
      <c r="E13" s="342"/>
      <c r="F13" s="342"/>
      <c r="G13" s="760">
        <f>'Table 3.0'!G41</f>
        <v>40</v>
      </c>
      <c r="H13" s="725">
        <f>'Table 3.0'!H41</f>
        <v>10</v>
      </c>
      <c r="I13" s="342"/>
      <c r="J13" s="823"/>
      <c r="K13" s="823">
        <f>IF(K10=0,0,$G$13*$H$13*'Table 3.0'!$M$9*Monthly!K2)</f>
        <v>0</v>
      </c>
      <c r="L13" s="823">
        <f>IF(L10=0,0,$G$13*$H$13*'Table 3.0'!$M$9*Monthly!L2)</f>
        <v>0</v>
      </c>
      <c r="M13" s="823">
        <f>IF(M10=0,0,$G$13*$H$13*'Table 3.0'!$M$9*Monthly!M2)</f>
        <v>0</v>
      </c>
      <c r="N13" s="823">
        <f>IF(N10=0,0,$G$13*$H$13*'Table 3.0'!$M$9*Monthly!N2)</f>
        <v>0</v>
      </c>
      <c r="O13" s="823">
        <f>IF(O10=0,0,$G$13*$H$13*'Table 3.0'!$M$9*Monthly!O2)</f>
        <v>0</v>
      </c>
      <c r="P13" s="823">
        <f>IF(P10=0,0,$G$13*$H$13*'Table 3.0'!$M$9*Monthly!P2)</f>
        <v>0</v>
      </c>
      <c r="Q13" s="823">
        <f>IF(Q10=0,0,$G$13*$H$13*'Table 3.0'!$M$9*Monthly!Q2)</f>
        <v>0</v>
      </c>
      <c r="R13" s="823">
        <f>IF(R10=0,0,$G$13*$H$13*'Table 3.0'!$M$9*Monthly!R2)</f>
        <v>0</v>
      </c>
      <c r="S13" s="823">
        <f>IF(S10=0,0,$G$13*$H$13*'Table 3.0'!$M$9*Monthly!S2)</f>
        <v>0</v>
      </c>
      <c r="T13" s="823">
        <f>IF(T10=0,0,$G$13*$H$13*'Table 3.0'!$M$9*Monthly!T2)</f>
        <v>0</v>
      </c>
      <c r="U13" s="823">
        <f>IF(U10=0,0,$G$13*$H$13*'Table 3.0'!$M$9*Monthly!U2)</f>
        <v>0</v>
      </c>
      <c r="V13" s="954">
        <f>IF(V10=0,0,$G$13*$H$13*'Table 3.0'!$M$9*Monthly!V2)</f>
        <v>0</v>
      </c>
      <c r="W13" s="823">
        <f>IF(W10=0,0,$G$13*$H$13*'Table 3.0'!$M$9*Monthly!W2)</f>
        <v>6200</v>
      </c>
      <c r="X13" s="823">
        <f>IF(X10=0,0,$G$13*$H$13*'Table 3.0'!$M$9*Monthly!X2)</f>
        <v>6000</v>
      </c>
      <c r="Y13" s="823">
        <f>IF(Y10=0,0,$G$13*$H$13*'Table 3.0'!$M$9*Monthly!Y2)</f>
        <v>6200</v>
      </c>
      <c r="Z13" s="823">
        <f>IF(Z10=0,0,$G$13*$H$13*'Table 3.0'!$M$9*Monthly!Z2)</f>
        <v>6200</v>
      </c>
      <c r="AA13" s="823">
        <f>IF(AA10=0,0,$G$13*$H$13*'Table 3.0'!$M$9*Monthly!AA2)</f>
        <v>6000</v>
      </c>
      <c r="AB13" s="823">
        <f>IF(AB10=0,0,$G$13*$H$13*'Table 3.0'!$M$9*Monthly!AB2)</f>
        <v>6200</v>
      </c>
      <c r="AC13" s="823">
        <f>IF(AC10=0,0,$G$13*$H$13*'Table 3.0'!$M$9*Monthly!AC2)</f>
        <v>6000</v>
      </c>
      <c r="AD13" s="823">
        <f>IF(AD10=0,0,$G$13*$H$13*'Table 3.0'!$M$9*Monthly!AD2)</f>
        <v>6200</v>
      </c>
      <c r="AE13" s="823">
        <f>IF(AE10=0,0,$G$13*$H$13*'Table 3.0'!$M$9*Monthly!AE2)</f>
        <v>6200</v>
      </c>
      <c r="AF13" s="823">
        <f>IF(AF10=0,0,$G$13*$H$13*'Table 3.0'!$M$9*Monthly!AF2)</f>
        <v>5600</v>
      </c>
      <c r="AG13" s="823">
        <f>IF(AG10=0,0,$G$13*$H$13*'Table 3.0'!$M$9*Monthly!AG2)</f>
        <v>6200</v>
      </c>
      <c r="AH13" s="954">
        <f>IF(AH10=0,0,$G$13*$H$13*'Table 3.0'!$M$9*Monthly!AH2)</f>
        <v>6000</v>
      </c>
      <c r="AI13" s="823">
        <f>IF(AI10=0,0,$G$13*$H$13*'Table 3.0'!$M$9*Monthly!AI2)</f>
        <v>6200</v>
      </c>
      <c r="AJ13" s="823">
        <f>IF(AJ10=0,0,$G$13*$H$13*'Table 3.0'!$M$9*Monthly!AJ2)</f>
        <v>6000</v>
      </c>
      <c r="AK13" s="823">
        <f>IF(AK10=0,0,$G$13*$H$13*'Table 3.0'!$M$9*Monthly!AK2)</f>
        <v>6200</v>
      </c>
      <c r="AL13" s="823">
        <f>IF(AL10=0,0,$G$13*$H$13*'Table 3.0'!$M$9*Monthly!AL2)</f>
        <v>6200</v>
      </c>
      <c r="AM13" s="823">
        <f>IF(AM10=0,0,$G$13*$H$13*'Table 3.0'!$M$9*Monthly!AM2)</f>
        <v>6000</v>
      </c>
      <c r="AN13" s="823">
        <f>IF(AN10=0,0,$G$13*$H$13*'Table 3.0'!$M$9*Monthly!AN2)</f>
        <v>6200</v>
      </c>
      <c r="AO13" s="823">
        <f>IF(AO10=0,0,$G$13*$H$13*'Table 3.0'!$M$9*Monthly!AO2)</f>
        <v>6000</v>
      </c>
      <c r="AP13" s="823">
        <f>IF(AP10=0,0,$G$13*$H$13*'Table 3.0'!$M$9*Monthly!AP2)</f>
        <v>6200</v>
      </c>
      <c r="AQ13" s="823">
        <f>IF(AQ10=0,0,$G$13*$H$13*'Table 3.0'!$M$9*Monthly!AQ2)</f>
        <v>6200</v>
      </c>
      <c r="AR13" s="823">
        <f>IF(AR10=0,0,$G$13*$H$13*'Table 3.0'!$M$9*Monthly!AR2)</f>
        <v>5600</v>
      </c>
      <c r="AS13" s="823">
        <f>IF(AS10=0,0,$G$13*$H$13*'Table 3.0'!$M$9*Monthly!AS2)</f>
        <v>6200</v>
      </c>
      <c r="AT13" s="954">
        <f>IF(AT10=0,0,$G$13*$H$13*'Table 3.0'!$M$9*Monthly!AT2)</f>
        <v>6000</v>
      </c>
      <c r="AU13" s="823">
        <f>IF(AU10=0,0,$G$13*$H$13*'Table 3.0'!$M$9*Monthly!AU2)</f>
        <v>6200</v>
      </c>
      <c r="AV13" s="823">
        <f>IF(AV10=0,0,$G$13*$H$13*'Table 3.0'!$M$9*Monthly!AV2)</f>
        <v>6000</v>
      </c>
      <c r="AW13" s="823">
        <f>IF(AW10=0,0,$G$13*$H$13*'Table 3.0'!$M$9*Monthly!AW2)</f>
        <v>6200</v>
      </c>
      <c r="AX13" s="823">
        <f>IF(AX10=0,0,$G$13*$H$13*'Table 3.0'!$M$9*Monthly!AX2)</f>
        <v>6200</v>
      </c>
      <c r="AY13" s="823">
        <f>IF(AY10=0,0,$G$13*$H$13*'Table 3.0'!$M$9*Monthly!AY2)</f>
        <v>6000</v>
      </c>
      <c r="AZ13" s="823">
        <f>IF(AZ10=0,0,$G$13*$H$13*'Table 3.0'!$M$9*Monthly!AZ2)</f>
        <v>6200</v>
      </c>
      <c r="BA13" s="823">
        <f>IF(BA10=0,0,$G$13*$H$13*'Table 3.0'!$M$9*Monthly!BA2)</f>
        <v>6000</v>
      </c>
      <c r="BB13" s="823">
        <f>IF(BB10=0,0,$G$13*$H$13*'Table 3.0'!$M$9*Monthly!BB2)</f>
        <v>6200</v>
      </c>
      <c r="BC13" s="823">
        <f>IF(BC10=0,0,$G$13*$H$13*'Table 3.0'!$M$9*Monthly!BC2)</f>
        <v>6200</v>
      </c>
      <c r="BD13" s="823">
        <f>IF(BD10=0,0,$G$13*$H$13*'Table 3.0'!$M$9*Monthly!BD2)</f>
        <v>5800</v>
      </c>
      <c r="BE13" s="823">
        <f>IF(BE10=0,0,$G$13*$H$13*'Table 3.0'!$M$9*Monthly!BE2)</f>
        <v>6200</v>
      </c>
      <c r="BF13" s="954">
        <f>IF(BF10=0,0,$G$13*$H$13*'Table 3.0'!$M$9*Monthly!BF2)</f>
        <v>6000</v>
      </c>
      <c r="BG13" s="823">
        <f>IF(BG10=0,0,$G$13*$H$13*'Table 3.0'!$M$9*Monthly!BG2)</f>
        <v>6200</v>
      </c>
      <c r="BH13" s="823">
        <f>IF(BH10=0,0,$G$13*$H$13*'Table 3.0'!$M$9*Monthly!BH2)</f>
        <v>6000</v>
      </c>
      <c r="BI13" s="823">
        <f>IF(BI10=0,0,$G$13*$H$13*'Table 3.0'!$M$9*Monthly!BI2)</f>
        <v>6200</v>
      </c>
      <c r="BJ13" s="823">
        <f>IF(BJ10=0,0,$G$13*$H$13*'Table 3.0'!$M$9*Monthly!BJ2)</f>
        <v>6200</v>
      </c>
      <c r="BK13" s="823">
        <f>IF(BK10=0,0,$G$13*$H$13*'Table 3.0'!$M$9*Monthly!BK2)</f>
        <v>6000</v>
      </c>
      <c r="BL13" s="823">
        <f>IF(BL10=0,0,$G$13*$H$13*'Table 3.0'!$M$9*Monthly!BL2)</f>
        <v>6200</v>
      </c>
      <c r="BM13" s="823">
        <f>IF(BM10=0,0,$G$13*$H$13*'Table 3.0'!$M$9*Monthly!BM2)</f>
        <v>6000</v>
      </c>
      <c r="BN13" s="823">
        <f>IF(BN10=0,0,$G$13*$H$13*'Table 3.0'!$M$9*Monthly!BN2)</f>
        <v>6200</v>
      </c>
      <c r="BO13" s="823">
        <f>IF(BO10=0,0,$G$13*$H$13*'Table 3.0'!$M$9*Monthly!BO2)</f>
        <v>6200</v>
      </c>
      <c r="BP13" s="823">
        <f>IF(BP10=0,0,$G$13*$H$13*'Table 3.0'!$M$9*Monthly!BP2)</f>
        <v>5600</v>
      </c>
      <c r="BQ13" s="823">
        <f>IF(BQ10=0,0,$G$13*$H$13*'Table 3.0'!$M$9*Monthly!BQ2)</f>
        <v>6200</v>
      </c>
      <c r="BR13" s="954">
        <f>IF(BR10=0,0,$G$13*$H$13*'Table 3.0'!$M$9*Monthly!BR2)</f>
        <v>6000</v>
      </c>
      <c r="BS13" s="823">
        <f>IF(BS10=0,0,$G$13*$H$13*'Table 3.0'!$M$9*Monthly!BS2)</f>
        <v>6200</v>
      </c>
      <c r="BT13" s="823">
        <f>IF(BT10=0,0,$G$13*$H$13*'Table 3.0'!$M$9*Monthly!BT2)</f>
        <v>6000</v>
      </c>
      <c r="BU13" s="823">
        <f>IF(BU10=0,0,$G$13*$H$13*'Table 3.0'!$M$9*Monthly!BU2)</f>
        <v>6200</v>
      </c>
      <c r="BV13" s="823">
        <f>IF(BV10=0,0,$G$13*$H$13*'Table 3.0'!$M$9*Monthly!BV2)</f>
        <v>6200</v>
      </c>
      <c r="BW13" s="823">
        <f>IF(BW10=0,0,$G$13*$H$13*'Table 3.0'!$M$9*Monthly!BW2)</f>
        <v>6000</v>
      </c>
      <c r="BX13" s="823">
        <f>IF(BX10=0,0,$G$13*$H$13*'Table 3.0'!$M$9*Monthly!BX2)</f>
        <v>6200</v>
      </c>
      <c r="BY13" s="823">
        <f>IF(BY10=0,0,$G$13*$H$13*'Table 3.0'!$M$9*Monthly!BY2)</f>
        <v>6000</v>
      </c>
      <c r="BZ13" s="823">
        <f>IF(BZ10=0,0,$G$13*$H$13*'Table 3.0'!$M$9*Monthly!BZ2)</f>
        <v>6200</v>
      </c>
      <c r="CA13" s="823">
        <f>IF(CA10=0,0,$G$13*$H$13*'Table 3.0'!$M$9*Monthly!CA2)</f>
        <v>6200</v>
      </c>
      <c r="CB13" s="823">
        <f>IF(CB10=0,0,$G$13*$H$13*'Table 3.0'!$M$9*Monthly!CB2)</f>
        <v>5600</v>
      </c>
      <c r="CC13" s="823">
        <f>IF(CC10=0,0,$G$13*$H$13*'Table 3.0'!$M$9*Monthly!CC2)</f>
        <v>6200</v>
      </c>
      <c r="CD13" s="954">
        <f>IF(CD10=0,0,$G$13*$H$13*'Table 3.0'!$M$9*Monthly!CD2)</f>
        <v>6000</v>
      </c>
      <c r="CE13" s="823">
        <f>IF(CE10=0,0,$G$13*$H$13*'Table 3.0'!$M$9*Monthly!CE2)</f>
        <v>6200</v>
      </c>
      <c r="CF13" s="823">
        <f>IF(CF10=0,0,$G$13*$H$13*'Table 3.0'!$M$9*Monthly!CF2)</f>
        <v>6000</v>
      </c>
      <c r="CG13" s="823">
        <f>IF(CG10=0,0,$G$13*$H$13*'Table 3.0'!$M$9*Monthly!CG2)</f>
        <v>6200</v>
      </c>
      <c r="CH13" s="823">
        <f>IF(CH10=0,0,$G$13*$H$13*'Table 3.0'!$M$9*Monthly!CH2)</f>
        <v>6200</v>
      </c>
      <c r="CI13" s="823">
        <f>IF(CI10=0,0,$G$13*$H$13*'Table 3.0'!$M$9*Monthly!CI2)</f>
        <v>6000</v>
      </c>
      <c r="CJ13" s="823">
        <f>IF(CJ10=0,0,$G$13*$H$13*'Table 3.0'!$M$9*Monthly!CJ2)</f>
        <v>6200</v>
      </c>
      <c r="CK13" s="823">
        <f>IF(CK10=0,0,$G$13*$H$13*'Table 3.0'!$M$9*Monthly!CK2)</f>
        <v>6000</v>
      </c>
      <c r="CL13" s="823">
        <f>IF(CL10=0,0,$G$13*$H$13*'Table 3.0'!$M$9*Monthly!CL2)</f>
        <v>6200</v>
      </c>
      <c r="CM13" s="823">
        <f>IF(CM10=0,0,$G$13*$H$13*'Table 3.0'!$M$9*Monthly!CM2)</f>
        <v>6200</v>
      </c>
      <c r="CN13" s="823">
        <f>IF(CN10=0,0,$G$13*$H$13*'Table 3.0'!$M$9*Monthly!CN2)</f>
        <v>5600</v>
      </c>
      <c r="CO13" s="823">
        <f>IF(CO10=0,0,$G$13*$H$13*'Table 3.0'!$M$9*Monthly!CO2)</f>
        <v>6200</v>
      </c>
      <c r="CP13" s="954">
        <f>IF(CP10=0,0,$G$13*$H$13*'Table 3.0'!$M$9*Monthly!CP2)</f>
        <v>6000</v>
      </c>
      <c r="CQ13" s="823">
        <f>IF(CQ10=0,0,$G$13*$H$13*'Table 3.0'!$M$9*Monthly!CQ2)</f>
        <v>6200</v>
      </c>
      <c r="CR13" s="823">
        <f>IF(CR10=0,0,$G$13*$H$13*'Table 3.0'!$M$9*Monthly!CR2)</f>
        <v>6000</v>
      </c>
      <c r="CS13" s="823">
        <f>IF(CS10=0,0,$G$13*$H$13*'Table 3.0'!$M$9*Monthly!CS2)</f>
        <v>6200</v>
      </c>
      <c r="CT13" s="823">
        <f>IF(CT10=0,0,$G$13*$H$13*'Table 3.0'!$M$9*Monthly!CT2)</f>
        <v>6200</v>
      </c>
      <c r="CU13" s="823">
        <f>IF(CU10=0,0,$G$13*$H$13*'Table 3.0'!$M$9*Monthly!CU2)</f>
        <v>6000</v>
      </c>
      <c r="CV13" s="823">
        <f>IF(CV10=0,0,$G$13*$H$13*'Table 3.0'!$M$9*Monthly!CV2)</f>
        <v>6200</v>
      </c>
      <c r="CW13" s="823">
        <f>IF(CW10=0,0,$G$13*$H$13*'Table 3.0'!$M$9*Monthly!CW2)</f>
        <v>6000</v>
      </c>
      <c r="CX13" s="823">
        <f>IF(CX10=0,0,$G$13*$H$13*'Table 3.0'!$M$9*Monthly!CX2)</f>
        <v>6200</v>
      </c>
      <c r="CY13" s="823">
        <f>IF(CY10=0,0,$G$13*$H$13*'Table 3.0'!$M$9*Monthly!CY2)</f>
        <v>6200</v>
      </c>
      <c r="CZ13" s="823">
        <f>IF(CZ10=0,0,$G$13*$H$13*'Table 3.0'!$M$9*Monthly!CZ2)</f>
        <v>5600</v>
      </c>
      <c r="DA13" s="823">
        <f>IF(DA10=0,0,$G$13*$H$13*'Table 3.0'!$M$9*Monthly!DA2)</f>
        <v>6200</v>
      </c>
      <c r="DB13" s="954">
        <f>IF(DB10=0,0,$G$13*$H$13*'Table 3.0'!$M$9*Monthly!DB2)</f>
        <v>6000</v>
      </c>
      <c r="DC13" s="823">
        <f>IF(DC10=0,0,$G$13*$H$13*'Table 3.0'!$M$9*Monthly!DC2)</f>
        <v>6200</v>
      </c>
      <c r="DD13" s="823">
        <f>IF(DD10=0,0,$G$13*$H$13*'Table 3.0'!$M$9*Monthly!DD2)</f>
        <v>6000</v>
      </c>
      <c r="DE13" s="823">
        <f>IF(DE10=0,0,$G$13*$H$13*'Table 3.0'!$M$9*Monthly!DE2)</f>
        <v>6200</v>
      </c>
      <c r="DF13" s="823">
        <f>IF(DF10=0,0,$G$13*$H$13*'Table 3.0'!$M$9*Monthly!DF2)</f>
        <v>6200</v>
      </c>
      <c r="DG13" s="823">
        <f>IF(DG10=0,0,$G$13*$H$13*'Table 3.0'!$M$9*Monthly!DG2)</f>
        <v>6000</v>
      </c>
      <c r="DH13" s="823">
        <f>IF(DH10=0,0,$G$13*$H$13*'Table 3.0'!$M$9*Monthly!DH2)</f>
        <v>6200</v>
      </c>
      <c r="DI13" s="823">
        <f>IF(DI10=0,0,$G$13*$H$13*'Table 3.0'!$M$9*Monthly!DI2)</f>
        <v>6000</v>
      </c>
      <c r="DJ13" s="823">
        <f>IF(DJ10=0,0,$G$13*$H$13*'Table 3.0'!$M$9*Monthly!DJ2)</f>
        <v>6200</v>
      </c>
      <c r="DK13" s="823">
        <f>IF(DK10=0,0,$G$13*$H$13*'Table 3.0'!$M$9*Monthly!DK2)</f>
        <v>6200</v>
      </c>
      <c r="DL13" s="823">
        <f>IF(DL10=0,0,$G$13*$H$13*'Table 3.0'!$M$9*Monthly!DL2)</f>
        <v>5600</v>
      </c>
      <c r="DM13" s="823">
        <f>IF(DM10=0,0,$G$13*$H$13*'Table 3.0'!$M$9*Monthly!DM2)</f>
        <v>6200</v>
      </c>
      <c r="DN13" s="823">
        <f>IF(DN10=0,0,$G$13*$H$13*'Table 3.0'!$M$9*Monthly!DN2)</f>
        <v>6000</v>
      </c>
      <c r="DO13" s="342"/>
      <c r="DP13" s="344">
        <f>SUM(J13:DN13)</f>
        <v>584200</v>
      </c>
    </row>
    <row r="14" spans="3:121" x14ac:dyDescent="0.3">
      <c r="C14" s="331" t="str">
        <f>'Table 3.0'!C42</f>
        <v>SUB-TOTAL</v>
      </c>
      <c r="J14" s="339"/>
      <c r="K14" s="339">
        <f>SUM(K12:K13)</f>
        <v>0</v>
      </c>
      <c r="L14" s="339">
        <f t="shared" ref="L14:BW14" si="16">SUM(L12:L13)</f>
        <v>0</v>
      </c>
      <c r="M14" s="339">
        <f t="shared" si="16"/>
        <v>0</v>
      </c>
      <c r="N14" s="339">
        <f t="shared" si="16"/>
        <v>0</v>
      </c>
      <c r="O14" s="339">
        <f t="shared" si="16"/>
        <v>0</v>
      </c>
      <c r="P14" s="339">
        <f t="shared" si="16"/>
        <v>0</v>
      </c>
      <c r="Q14" s="339">
        <f t="shared" si="16"/>
        <v>0</v>
      </c>
      <c r="R14" s="339">
        <f t="shared" si="16"/>
        <v>0</v>
      </c>
      <c r="S14" s="339">
        <f t="shared" si="16"/>
        <v>0</v>
      </c>
      <c r="T14" s="339">
        <f t="shared" si="16"/>
        <v>0</v>
      </c>
      <c r="U14" s="339">
        <f t="shared" si="16"/>
        <v>0</v>
      </c>
      <c r="V14" s="564">
        <f t="shared" si="16"/>
        <v>0</v>
      </c>
      <c r="W14" s="339">
        <f t="shared" si="16"/>
        <v>12710</v>
      </c>
      <c r="X14" s="339">
        <f t="shared" si="16"/>
        <v>12300</v>
      </c>
      <c r="Y14" s="339">
        <f t="shared" si="16"/>
        <v>12710</v>
      </c>
      <c r="Z14" s="339">
        <f t="shared" si="16"/>
        <v>12710</v>
      </c>
      <c r="AA14" s="339">
        <f t="shared" si="16"/>
        <v>12300</v>
      </c>
      <c r="AB14" s="339">
        <f t="shared" si="16"/>
        <v>12710</v>
      </c>
      <c r="AC14" s="339">
        <f t="shared" si="16"/>
        <v>12300</v>
      </c>
      <c r="AD14" s="339">
        <f t="shared" si="16"/>
        <v>12710</v>
      </c>
      <c r="AE14" s="339">
        <f t="shared" si="16"/>
        <v>12710</v>
      </c>
      <c r="AF14" s="339">
        <f t="shared" si="16"/>
        <v>11480</v>
      </c>
      <c r="AG14" s="339">
        <f t="shared" si="16"/>
        <v>12710</v>
      </c>
      <c r="AH14" s="564">
        <f t="shared" si="16"/>
        <v>12300</v>
      </c>
      <c r="AI14" s="339">
        <f t="shared" si="16"/>
        <v>12710</v>
      </c>
      <c r="AJ14" s="339">
        <f t="shared" si="16"/>
        <v>12300</v>
      </c>
      <c r="AK14" s="339">
        <f t="shared" si="16"/>
        <v>12710</v>
      </c>
      <c r="AL14" s="339">
        <f t="shared" si="16"/>
        <v>12710</v>
      </c>
      <c r="AM14" s="339">
        <f t="shared" si="16"/>
        <v>12300</v>
      </c>
      <c r="AN14" s="339">
        <f t="shared" si="16"/>
        <v>12710</v>
      </c>
      <c r="AO14" s="339">
        <f t="shared" si="16"/>
        <v>12300</v>
      </c>
      <c r="AP14" s="339">
        <f t="shared" si="16"/>
        <v>12710</v>
      </c>
      <c r="AQ14" s="339">
        <f t="shared" si="16"/>
        <v>12710</v>
      </c>
      <c r="AR14" s="339">
        <f t="shared" si="16"/>
        <v>11480</v>
      </c>
      <c r="AS14" s="339">
        <f t="shared" si="16"/>
        <v>12710</v>
      </c>
      <c r="AT14" s="564">
        <f t="shared" si="16"/>
        <v>12300</v>
      </c>
      <c r="AU14" s="339">
        <f t="shared" si="16"/>
        <v>12710</v>
      </c>
      <c r="AV14" s="339">
        <f t="shared" si="16"/>
        <v>12300</v>
      </c>
      <c r="AW14" s="339">
        <f t="shared" si="16"/>
        <v>12710</v>
      </c>
      <c r="AX14" s="339">
        <f t="shared" si="16"/>
        <v>12710</v>
      </c>
      <c r="AY14" s="339">
        <f t="shared" si="16"/>
        <v>12300</v>
      </c>
      <c r="AZ14" s="339">
        <f t="shared" si="16"/>
        <v>12710</v>
      </c>
      <c r="BA14" s="339">
        <f t="shared" si="16"/>
        <v>12300</v>
      </c>
      <c r="BB14" s="339">
        <f t="shared" si="16"/>
        <v>12710</v>
      </c>
      <c r="BC14" s="339">
        <f t="shared" si="16"/>
        <v>12710</v>
      </c>
      <c r="BD14" s="339">
        <f t="shared" si="16"/>
        <v>11890</v>
      </c>
      <c r="BE14" s="339">
        <f t="shared" si="16"/>
        <v>12710</v>
      </c>
      <c r="BF14" s="564">
        <f t="shared" si="16"/>
        <v>12300</v>
      </c>
      <c r="BG14" s="339">
        <f t="shared" si="16"/>
        <v>12710</v>
      </c>
      <c r="BH14" s="339">
        <f t="shared" si="16"/>
        <v>12300</v>
      </c>
      <c r="BI14" s="339">
        <f t="shared" si="16"/>
        <v>12710</v>
      </c>
      <c r="BJ14" s="339">
        <f t="shared" si="16"/>
        <v>12710</v>
      </c>
      <c r="BK14" s="339">
        <f t="shared" si="16"/>
        <v>12300</v>
      </c>
      <c r="BL14" s="339">
        <f t="shared" si="16"/>
        <v>12710</v>
      </c>
      <c r="BM14" s="339">
        <f t="shared" si="16"/>
        <v>12300</v>
      </c>
      <c r="BN14" s="339">
        <f t="shared" si="16"/>
        <v>12710</v>
      </c>
      <c r="BO14" s="339">
        <f t="shared" si="16"/>
        <v>12710</v>
      </c>
      <c r="BP14" s="339">
        <f t="shared" si="16"/>
        <v>11480</v>
      </c>
      <c r="BQ14" s="339">
        <f t="shared" si="16"/>
        <v>12710</v>
      </c>
      <c r="BR14" s="564">
        <f t="shared" si="16"/>
        <v>12300</v>
      </c>
      <c r="BS14" s="339">
        <f t="shared" si="16"/>
        <v>12710</v>
      </c>
      <c r="BT14" s="339">
        <f t="shared" si="16"/>
        <v>12300</v>
      </c>
      <c r="BU14" s="339">
        <f t="shared" si="16"/>
        <v>12710</v>
      </c>
      <c r="BV14" s="339">
        <f t="shared" si="16"/>
        <v>12710</v>
      </c>
      <c r="BW14" s="339">
        <f t="shared" si="16"/>
        <v>12300</v>
      </c>
      <c r="BX14" s="339">
        <f t="shared" ref="BX14:DN14" si="17">SUM(BX12:BX13)</f>
        <v>12710</v>
      </c>
      <c r="BY14" s="339">
        <f t="shared" si="17"/>
        <v>12300</v>
      </c>
      <c r="BZ14" s="339">
        <f t="shared" si="17"/>
        <v>12710</v>
      </c>
      <c r="CA14" s="339">
        <f t="shared" si="17"/>
        <v>12710</v>
      </c>
      <c r="CB14" s="339">
        <f t="shared" si="17"/>
        <v>11480</v>
      </c>
      <c r="CC14" s="339">
        <f t="shared" si="17"/>
        <v>12710</v>
      </c>
      <c r="CD14" s="564">
        <f t="shared" si="17"/>
        <v>12300</v>
      </c>
      <c r="CE14" s="339">
        <f t="shared" si="17"/>
        <v>12710</v>
      </c>
      <c r="CF14" s="339">
        <f t="shared" si="17"/>
        <v>12300</v>
      </c>
      <c r="CG14" s="339">
        <f t="shared" si="17"/>
        <v>12710</v>
      </c>
      <c r="CH14" s="339">
        <f t="shared" si="17"/>
        <v>12710</v>
      </c>
      <c r="CI14" s="339">
        <f t="shared" si="17"/>
        <v>12300</v>
      </c>
      <c r="CJ14" s="339">
        <f t="shared" si="17"/>
        <v>12710</v>
      </c>
      <c r="CK14" s="339">
        <f t="shared" si="17"/>
        <v>12300</v>
      </c>
      <c r="CL14" s="339">
        <f t="shared" si="17"/>
        <v>12710</v>
      </c>
      <c r="CM14" s="339">
        <f t="shared" si="17"/>
        <v>12710</v>
      </c>
      <c r="CN14" s="339">
        <f t="shared" si="17"/>
        <v>11480</v>
      </c>
      <c r="CO14" s="339">
        <f t="shared" si="17"/>
        <v>12710</v>
      </c>
      <c r="CP14" s="564">
        <f t="shared" si="17"/>
        <v>12300</v>
      </c>
      <c r="CQ14" s="339">
        <f t="shared" si="17"/>
        <v>12710</v>
      </c>
      <c r="CR14" s="339">
        <f t="shared" si="17"/>
        <v>12300</v>
      </c>
      <c r="CS14" s="339">
        <f t="shared" si="17"/>
        <v>12710</v>
      </c>
      <c r="CT14" s="339">
        <f t="shared" si="17"/>
        <v>12710</v>
      </c>
      <c r="CU14" s="339">
        <f t="shared" si="17"/>
        <v>12300</v>
      </c>
      <c r="CV14" s="339">
        <f t="shared" si="17"/>
        <v>12710</v>
      </c>
      <c r="CW14" s="339">
        <f t="shared" si="17"/>
        <v>12300</v>
      </c>
      <c r="CX14" s="339">
        <f t="shared" si="17"/>
        <v>12710</v>
      </c>
      <c r="CY14" s="339">
        <f t="shared" si="17"/>
        <v>12710</v>
      </c>
      <c r="CZ14" s="339">
        <f t="shared" si="17"/>
        <v>11480</v>
      </c>
      <c r="DA14" s="339">
        <f t="shared" si="17"/>
        <v>12710</v>
      </c>
      <c r="DB14" s="564">
        <f t="shared" si="17"/>
        <v>12300</v>
      </c>
      <c r="DC14" s="339">
        <f t="shared" si="17"/>
        <v>12710</v>
      </c>
      <c r="DD14" s="339">
        <f t="shared" si="17"/>
        <v>12300</v>
      </c>
      <c r="DE14" s="339">
        <f t="shared" si="17"/>
        <v>12710</v>
      </c>
      <c r="DF14" s="339">
        <f t="shared" si="17"/>
        <v>12710</v>
      </c>
      <c r="DG14" s="339">
        <f t="shared" si="17"/>
        <v>12300</v>
      </c>
      <c r="DH14" s="339">
        <f t="shared" si="17"/>
        <v>12710</v>
      </c>
      <c r="DI14" s="339">
        <f t="shared" si="17"/>
        <v>12300</v>
      </c>
      <c r="DJ14" s="339">
        <f t="shared" si="17"/>
        <v>12710</v>
      </c>
      <c r="DK14" s="339">
        <f t="shared" si="17"/>
        <v>12710</v>
      </c>
      <c r="DL14" s="339">
        <f t="shared" si="17"/>
        <v>11480</v>
      </c>
      <c r="DM14" s="339">
        <f t="shared" si="17"/>
        <v>12710</v>
      </c>
      <c r="DN14" s="339">
        <f t="shared" si="17"/>
        <v>12300</v>
      </c>
      <c r="DP14" s="340">
        <f>SUM(J14:DN14)</f>
        <v>1197610</v>
      </c>
    </row>
    <row r="15" spans="3:121" x14ac:dyDescent="0.3">
      <c r="V15" s="561"/>
      <c r="AH15" s="561"/>
      <c r="AT15" s="561"/>
      <c r="BF15" s="561"/>
      <c r="BR15" s="561"/>
      <c r="CD15" s="561"/>
      <c r="CP15" s="561"/>
      <c r="DB15" s="561"/>
      <c r="DP15" s="340"/>
    </row>
    <row r="16" spans="3:121" x14ac:dyDescent="0.3">
      <c r="C16" s="331" t="str">
        <f>'Table 3.0'!C44</f>
        <v>TOTAL RENTAL INCOME</v>
      </c>
      <c r="J16" s="340"/>
      <c r="K16" s="340">
        <f>K10+K14</f>
        <v>0</v>
      </c>
      <c r="L16" s="340">
        <f t="shared" ref="L16:BW16" si="18">L10+L14</f>
        <v>0</v>
      </c>
      <c r="M16" s="340">
        <f t="shared" si="18"/>
        <v>0</v>
      </c>
      <c r="N16" s="340">
        <f t="shared" si="18"/>
        <v>0</v>
      </c>
      <c r="O16" s="340">
        <f t="shared" si="18"/>
        <v>0</v>
      </c>
      <c r="P16" s="340">
        <f t="shared" si="18"/>
        <v>0</v>
      </c>
      <c r="Q16" s="340">
        <f t="shared" si="18"/>
        <v>0</v>
      </c>
      <c r="R16" s="340">
        <f t="shared" si="18"/>
        <v>0</v>
      </c>
      <c r="S16" s="340">
        <f t="shared" si="18"/>
        <v>0</v>
      </c>
      <c r="T16" s="340">
        <f t="shared" si="18"/>
        <v>0</v>
      </c>
      <c r="U16" s="340">
        <f t="shared" si="18"/>
        <v>0</v>
      </c>
      <c r="V16" s="562">
        <f t="shared" si="18"/>
        <v>0</v>
      </c>
      <c r="W16" s="340">
        <f t="shared" si="18"/>
        <v>51932</v>
      </c>
      <c r="X16" s="340">
        <f t="shared" si="18"/>
        <v>54480</v>
      </c>
      <c r="Y16" s="340">
        <f t="shared" si="18"/>
        <v>57848</v>
      </c>
      <c r="Z16" s="340">
        <f t="shared" si="18"/>
        <v>57848</v>
      </c>
      <c r="AA16" s="340">
        <f t="shared" si="18"/>
        <v>55959</v>
      </c>
      <c r="AB16" s="340">
        <f t="shared" si="18"/>
        <v>54890</v>
      </c>
      <c r="AC16" s="340">
        <f t="shared" si="18"/>
        <v>51522</v>
      </c>
      <c r="AD16" s="340">
        <f t="shared" si="18"/>
        <v>48974</v>
      </c>
      <c r="AE16" s="340">
        <f t="shared" si="18"/>
        <v>46016</v>
      </c>
      <c r="AF16" s="340">
        <f t="shared" si="18"/>
        <v>44786</v>
      </c>
      <c r="AG16" s="340">
        <f t="shared" si="18"/>
        <v>48974</v>
      </c>
      <c r="AH16" s="562">
        <f t="shared" si="18"/>
        <v>50043</v>
      </c>
      <c r="AI16" s="340">
        <f t="shared" si="18"/>
        <v>53765</v>
      </c>
      <c r="AJ16" s="340">
        <f t="shared" si="18"/>
        <v>56400</v>
      </c>
      <c r="AK16" s="340">
        <f t="shared" si="18"/>
        <v>59855</v>
      </c>
      <c r="AL16" s="340">
        <f t="shared" si="18"/>
        <v>59855</v>
      </c>
      <c r="AM16" s="340">
        <f t="shared" si="18"/>
        <v>57922.5</v>
      </c>
      <c r="AN16" s="340">
        <f t="shared" si="18"/>
        <v>56810</v>
      </c>
      <c r="AO16" s="340">
        <f t="shared" si="18"/>
        <v>53355</v>
      </c>
      <c r="AP16" s="340">
        <f t="shared" si="18"/>
        <v>50720</v>
      </c>
      <c r="AQ16" s="340">
        <f t="shared" si="18"/>
        <v>47675</v>
      </c>
      <c r="AR16" s="340">
        <f t="shared" si="18"/>
        <v>46445</v>
      </c>
      <c r="AS16" s="340">
        <f t="shared" si="18"/>
        <v>50720</v>
      </c>
      <c r="AT16" s="562">
        <f t="shared" si="18"/>
        <v>51832.5</v>
      </c>
      <c r="AU16" s="340">
        <f t="shared" si="18"/>
        <v>55598</v>
      </c>
      <c r="AV16" s="340">
        <f t="shared" si="18"/>
        <v>58320</v>
      </c>
      <c r="AW16" s="340">
        <f t="shared" si="18"/>
        <v>61862</v>
      </c>
      <c r="AX16" s="340">
        <f t="shared" si="18"/>
        <v>61862</v>
      </c>
      <c r="AY16" s="340">
        <f t="shared" si="18"/>
        <v>59886</v>
      </c>
      <c r="AZ16" s="340">
        <f t="shared" si="18"/>
        <v>58730</v>
      </c>
      <c r="BA16" s="340">
        <f t="shared" si="18"/>
        <v>55188</v>
      </c>
      <c r="BB16" s="340">
        <f t="shared" si="18"/>
        <v>52466</v>
      </c>
      <c r="BC16" s="340">
        <f t="shared" si="18"/>
        <v>49334</v>
      </c>
      <c r="BD16" s="340">
        <f t="shared" si="18"/>
        <v>48514</v>
      </c>
      <c r="BE16" s="340">
        <f t="shared" si="18"/>
        <v>52466</v>
      </c>
      <c r="BF16" s="562">
        <f t="shared" si="18"/>
        <v>53622</v>
      </c>
      <c r="BG16" s="340">
        <f t="shared" si="18"/>
        <v>57431</v>
      </c>
      <c r="BH16" s="340">
        <f t="shared" si="18"/>
        <v>60240</v>
      </c>
      <c r="BI16" s="340">
        <f t="shared" si="18"/>
        <v>63869</v>
      </c>
      <c r="BJ16" s="340">
        <f t="shared" si="18"/>
        <v>63869</v>
      </c>
      <c r="BK16" s="340">
        <f t="shared" si="18"/>
        <v>61849.5</v>
      </c>
      <c r="BL16" s="340">
        <f t="shared" si="18"/>
        <v>60650</v>
      </c>
      <c r="BM16" s="340">
        <f t="shared" si="18"/>
        <v>57021</v>
      </c>
      <c r="BN16" s="340">
        <f t="shared" si="18"/>
        <v>54212</v>
      </c>
      <c r="BO16" s="340">
        <f t="shared" si="18"/>
        <v>50993</v>
      </c>
      <c r="BP16" s="340">
        <f t="shared" si="18"/>
        <v>49763</v>
      </c>
      <c r="BQ16" s="340">
        <f t="shared" si="18"/>
        <v>54212</v>
      </c>
      <c r="BR16" s="562">
        <f t="shared" si="18"/>
        <v>55411.5</v>
      </c>
      <c r="BS16" s="340">
        <f t="shared" si="18"/>
        <v>59264</v>
      </c>
      <c r="BT16" s="340">
        <f t="shared" si="18"/>
        <v>62160</v>
      </c>
      <c r="BU16" s="340">
        <f t="shared" si="18"/>
        <v>65876</v>
      </c>
      <c r="BV16" s="340">
        <f t="shared" si="18"/>
        <v>65876</v>
      </c>
      <c r="BW16" s="340">
        <f t="shared" si="18"/>
        <v>63813</v>
      </c>
      <c r="BX16" s="340">
        <f t="shared" ref="BX16:DN16" si="19">BX10+BX14</f>
        <v>62570</v>
      </c>
      <c r="BY16" s="340">
        <f t="shared" si="19"/>
        <v>58854</v>
      </c>
      <c r="BZ16" s="340">
        <f t="shared" si="19"/>
        <v>55958</v>
      </c>
      <c r="CA16" s="340">
        <f t="shared" si="19"/>
        <v>52652</v>
      </c>
      <c r="CB16" s="340">
        <f t="shared" si="19"/>
        <v>51422</v>
      </c>
      <c r="CC16" s="340">
        <f t="shared" si="19"/>
        <v>55958</v>
      </c>
      <c r="CD16" s="562">
        <f t="shared" si="19"/>
        <v>57201</v>
      </c>
      <c r="CE16" s="340">
        <f t="shared" si="19"/>
        <v>61097</v>
      </c>
      <c r="CF16" s="340">
        <f t="shared" si="19"/>
        <v>64080</v>
      </c>
      <c r="CG16" s="340">
        <f t="shared" si="19"/>
        <v>67883</v>
      </c>
      <c r="CH16" s="340">
        <f t="shared" si="19"/>
        <v>67883</v>
      </c>
      <c r="CI16" s="340">
        <f t="shared" si="19"/>
        <v>65776.5</v>
      </c>
      <c r="CJ16" s="340">
        <f t="shared" si="19"/>
        <v>64490</v>
      </c>
      <c r="CK16" s="340">
        <f t="shared" si="19"/>
        <v>60687</v>
      </c>
      <c r="CL16" s="340">
        <f t="shared" si="19"/>
        <v>57704</v>
      </c>
      <c r="CM16" s="340">
        <f t="shared" si="19"/>
        <v>54311</v>
      </c>
      <c r="CN16" s="340">
        <f t="shared" si="19"/>
        <v>53081</v>
      </c>
      <c r="CO16" s="340">
        <f t="shared" si="19"/>
        <v>57704</v>
      </c>
      <c r="CP16" s="562">
        <f t="shared" si="19"/>
        <v>58990.5</v>
      </c>
      <c r="CQ16" s="340">
        <f t="shared" si="19"/>
        <v>62930</v>
      </c>
      <c r="CR16" s="340">
        <f t="shared" si="19"/>
        <v>66000</v>
      </c>
      <c r="CS16" s="340">
        <f t="shared" si="19"/>
        <v>69890</v>
      </c>
      <c r="CT16" s="340">
        <f t="shared" si="19"/>
        <v>69890</v>
      </c>
      <c r="CU16" s="340">
        <f t="shared" si="19"/>
        <v>67740</v>
      </c>
      <c r="CV16" s="340">
        <f t="shared" si="19"/>
        <v>66410</v>
      </c>
      <c r="CW16" s="340">
        <f t="shared" si="19"/>
        <v>62520</v>
      </c>
      <c r="CX16" s="340">
        <f t="shared" si="19"/>
        <v>59450</v>
      </c>
      <c r="CY16" s="340">
        <f t="shared" si="19"/>
        <v>55970</v>
      </c>
      <c r="CZ16" s="340">
        <f t="shared" si="19"/>
        <v>54740</v>
      </c>
      <c r="DA16" s="340">
        <f t="shared" si="19"/>
        <v>59450</v>
      </c>
      <c r="DB16" s="562">
        <f t="shared" si="19"/>
        <v>60780</v>
      </c>
      <c r="DC16" s="340">
        <f t="shared" si="19"/>
        <v>64763</v>
      </c>
      <c r="DD16" s="340">
        <f t="shared" si="19"/>
        <v>67920</v>
      </c>
      <c r="DE16" s="340">
        <f t="shared" si="19"/>
        <v>71897</v>
      </c>
      <c r="DF16" s="340">
        <f t="shared" si="19"/>
        <v>71897</v>
      </c>
      <c r="DG16" s="340">
        <f t="shared" si="19"/>
        <v>69703.5</v>
      </c>
      <c r="DH16" s="340">
        <f t="shared" si="19"/>
        <v>68330</v>
      </c>
      <c r="DI16" s="340">
        <f t="shared" si="19"/>
        <v>64353</v>
      </c>
      <c r="DJ16" s="340">
        <f t="shared" si="19"/>
        <v>61196</v>
      </c>
      <c r="DK16" s="340">
        <f t="shared" si="19"/>
        <v>57629</v>
      </c>
      <c r="DL16" s="340">
        <f t="shared" si="19"/>
        <v>56399</v>
      </c>
      <c r="DM16" s="340">
        <f t="shared" si="19"/>
        <v>61196</v>
      </c>
      <c r="DN16" s="340">
        <f t="shared" si="19"/>
        <v>62569.5</v>
      </c>
      <c r="DP16" s="340">
        <f>SUM(J16:DN16)</f>
        <v>5604910</v>
      </c>
    </row>
    <row r="17" spans="3:120" x14ac:dyDescent="0.3">
      <c r="V17" s="561"/>
      <c r="AH17" s="561"/>
      <c r="AT17" s="561"/>
      <c r="BF17" s="561"/>
      <c r="BR17" s="561"/>
      <c r="CD17" s="561"/>
      <c r="CP17" s="561"/>
      <c r="DB17" s="561"/>
      <c r="DP17" s="340"/>
    </row>
    <row r="18" spans="3:120" x14ac:dyDescent="0.3">
      <c r="C18" s="331" t="str">
        <f>'Table 3.0'!C46</f>
        <v>OTHER INCOME</v>
      </c>
      <c r="G18" s="820"/>
      <c r="J18" s="504"/>
      <c r="K18" s="504"/>
      <c r="L18" s="504"/>
      <c r="M18" s="504"/>
      <c r="N18" s="504"/>
      <c r="O18" s="504"/>
      <c r="P18" s="504"/>
      <c r="Q18" s="504"/>
      <c r="R18" s="445"/>
      <c r="S18" s="445"/>
      <c r="T18" s="445"/>
      <c r="U18" s="445"/>
      <c r="V18" s="565"/>
      <c r="W18" s="445"/>
      <c r="X18" s="445"/>
      <c r="Y18" s="445"/>
      <c r="Z18" s="445"/>
      <c r="AA18" s="445"/>
      <c r="AB18" s="445"/>
      <c r="AC18" s="445"/>
      <c r="AD18" s="445"/>
      <c r="AE18" s="445"/>
      <c r="AF18" s="445"/>
      <c r="AG18" s="445"/>
      <c r="AH18" s="565"/>
      <c r="AI18" s="445"/>
      <c r="AJ18" s="445"/>
      <c r="AK18" s="445"/>
      <c r="AL18" s="445"/>
      <c r="AM18" s="445"/>
      <c r="AN18" s="445"/>
      <c r="AO18" s="445"/>
      <c r="AP18" s="445"/>
      <c r="AQ18" s="445"/>
      <c r="AR18" s="445"/>
      <c r="AS18" s="445"/>
      <c r="AT18" s="565"/>
      <c r="AU18" s="445"/>
      <c r="AV18" s="445"/>
      <c r="AW18" s="445"/>
      <c r="AX18" s="445"/>
      <c r="AY18" s="445"/>
      <c r="AZ18" s="445"/>
      <c r="BA18" s="445"/>
      <c r="BB18" s="445"/>
      <c r="BC18" s="445"/>
      <c r="BD18" s="445"/>
      <c r="BE18" s="445"/>
      <c r="BF18" s="565"/>
      <c r="BG18" s="445"/>
      <c r="BH18" s="445"/>
      <c r="BI18" s="445"/>
      <c r="BJ18" s="445"/>
      <c r="BK18" s="445"/>
      <c r="BL18" s="445"/>
      <c r="BM18" s="445"/>
      <c r="BN18" s="445"/>
      <c r="BO18" s="445"/>
      <c r="BP18" s="445"/>
      <c r="BQ18" s="445"/>
      <c r="BR18" s="565"/>
      <c r="BS18" s="445"/>
      <c r="BT18" s="445"/>
      <c r="BU18" s="445"/>
      <c r="BV18" s="445"/>
      <c r="BW18" s="445"/>
      <c r="BX18" s="445"/>
      <c r="BY18" s="445"/>
      <c r="BZ18" s="445"/>
      <c r="CA18" s="445"/>
      <c r="CB18" s="445"/>
      <c r="CC18" s="445"/>
      <c r="CD18" s="565"/>
      <c r="CE18" s="445"/>
      <c r="CF18" s="445"/>
      <c r="CG18" s="445"/>
      <c r="CH18" s="445"/>
      <c r="CI18" s="445"/>
      <c r="CJ18" s="445"/>
      <c r="CK18" s="445"/>
      <c r="CL18" s="445"/>
      <c r="CM18" s="445"/>
      <c r="CN18" s="445"/>
      <c r="CO18" s="445"/>
      <c r="CP18" s="565"/>
      <c r="CQ18" s="445"/>
      <c r="CR18" s="445"/>
      <c r="CS18" s="445"/>
      <c r="CT18" s="445"/>
      <c r="CU18" s="445"/>
      <c r="CV18" s="445"/>
      <c r="CW18" s="445"/>
      <c r="CX18" s="445"/>
      <c r="CY18" s="445"/>
      <c r="CZ18" s="445"/>
      <c r="DA18" s="445"/>
      <c r="DB18" s="565"/>
      <c r="DC18" s="445"/>
      <c r="DD18" s="445"/>
      <c r="DE18" s="445"/>
      <c r="DF18" s="445"/>
      <c r="DG18" s="445"/>
      <c r="DH18" s="445"/>
      <c r="DI18" s="445"/>
      <c r="DJ18" s="445"/>
      <c r="DK18" s="445"/>
      <c r="DL18" s="445"/>
      <c r="DM18" s="445"/>
      <c r="DN18" s="445"/>
      <c r="DP18" s="340"/>
    </row>
    <row r="19" spans="3:120" x14ac:dyDescent="0.3">
      <c r="C19" s="331"/>
      <c r="D19" s="331" t="str">
        <f>'Table 3.0'!D47</f>
        <v>Laundry ($/unit/month)</v>
      </c>
      <c r="G19" s="705">
        <f>'Table 3.0'!G47</f>
        <v>20</v>
      </c>
      <c r="H19" s="928"/>
      <c r="J19" s="340"/>
      <c r="K19" s="340">
        <f>IF(K10=0,0,$G$19*'Rent Roll'!$E$7*'Rent Roll'!$C$11*'Rent Roll'!$C$17)</f>
        <v>0</v>
      </c>
      <c r="L19" s="340">
        <f>IF(L10=0,0,$G$19*'Rent Roll'!$E$7*'Rent Roll'!$C$11*'Rent Roll'!$C$17)</f>
        <v>0</v>
      </c>
      <c r="M19" s="340">
        <f>IF(M10=0,0,$G$19*'Rent Roll'!$E$7*'Rent Roll'!$C$11*'Rent Roll'!$C$17)</f>
        <v>0</v>
      </c>
      <c r="N19" s="340">
        <f>IF(N10=0,0,$G$19*'Rent Roll'!$E$7*'Rent Roll'!$C$11*'Rent Roll'!$C$17)</f>
        <v>0</v>
      </c>
      <c r="O19" s="340">
        <f>IF(O10=0,0,$G$19*'Rent Roll'!$E$7*'Rent Roll'!$C$11*'Rent Roll'!$C$17)</f>
        <v>0</v>
      </c>
      <c r="P19" s="340">
        <f>IF(P10=0,0,$G$19*'Rent Roll'!$E$7*'Rent Roll'!$C$11*'Rent Roll'!$C$17)</f>
        <v>0</v>
      </c>
      <c r="Q19" s="340">
        <f>IF(Q10=0,0,$G$19*'Rent Roll'!$E$7*'Rent Roll'!$C$11*'Rent Roll'!$C$17)</f>
        <v>0</v>
      </c>
      <c r="R19" s="340">
        <f>IF(R10=0,0,$G$19*'Rent Roll'!$E$7*'Rent Roll'!$C$11*'Rent Roll'!$C$17)</f>
        <v>0</v>
      </c>
      <c r="S19" s="340">
        <f>IF(S10=0,0,$G$19*'Rent Roll'!$E$7*'Rent Roll'!$C$11*'Rent Roll'!$C$17)</f>
        <v>0</v>
      </c>
      <c r="T19" s="340">
        <f>IF(T10=0,0,$G$19*'Rent Roll'!$E$7*'Rent Roll'!$C$11*'Rent Roll'!$C$17)</f>
        <v>0</v>
      </c>
      <c r="U19" s="340">
        <f>IF(U10=0,0,$G$19*'Rent Roll'!$E$7*'Rent Roll'!$C$11*'Rent Roll'!$C$17)</f>
        <v>0</v>
      </c>
      <c r="V19" s="562">
        <f>IF(V10=0,0,$G$19*'Rent Roll'!$E$7*'Rent Roll'!$C$11*'Rent Roll'!$C$17)</f>
        <v>0</v>
      </c>
      <c r="W19" s="340">
        <f>IF(W10=0,0,$G$19*'Rent Roll'!$E$7*'Rent Roll'!$C$11*'Rent Roll'!$C$17)</f>
        <v>783</v>
      </c>
      <c r="X19" s="340">
        <f>IF(X10=0,0,$G$19*'Rent Roll'!$E$7*'Rent Roll'!$C$11*'Rent Roll'!$C$17)</f>
        <v>783</v>
      </c>
      <c r="Y19" s="340">
        <f>IF(Y10=0,0,$G$19*'Rent Roll'!$E$7*'Rent Roll'!$C$11*'Rent Roll'!$C$17)</f>
        <v>783</v>
      </c>
      <c r="Z19" s="340">
        <f>IF(Z10=0,0,$G$19*'Rent Roll'!$E$7*'Rent Roll'!$C$11*'Rent Roll'!$C$17)</f>
        <v>783</v>
      </c>
      <c r="AA19" s="340">
        <f>IF(AA10=0,0,$G$19*'Rent Roll'!$E$7*'Rent Roll'!$C$11*'Rent Roll'!$C$17)</f>
        <v>783</v>
      </c>
      <c r="AB19" s="340">
        <f>IF(AB10=0,0,$G$19*'Rent Roll'!$E$7*'Rent Roll'!$C$11*'Rent Roll'!$C$17)</f>
        <v>783</v>
      </c>
      <c r="AC19" s="340">
        <f>IF(AC10=0,0,$G$19*'Rent Roll'!$E$7*'Rent Roll'!$C$11*'Rent Roll'!$C$17)</f>
        <v>783</v>
      </c>
      <c r="AD19" s="340">
        <f>IF(AD10=0,0,$G$19*'Rent Roll'!$E$7*'Rent Roll'!$C$11*'Rent Roll'!$C$17)</f>
        <v>783</v>
      </c>
      <c r="AE19" s="340">
        <f>IF(AE10=0,0,$G$19*'Rent Roll'!$E$7*'Rent Roll'!$C$11*'Rent Roll'!$C$17)</f>
        <v>783</v>
      </c>
      <c r="AF19" s="340">
        <f>IF(AF10=0,0,$G$19*'Rent Roll'!$E$7*'Rent Roll'!$C$11*'Rent Roll'!$C$17)</f>
        <v>783</v>
      </c>
      <c r="AG19" s="340">
        <f>IF(AG10=0,0,$G$19*'Rent Roll'!$E$7*'Rent Roll'!$C$11*'Rent Roll'!$C$17)</f>
        <v>783</v>
      </c>
      <c r="AH19" s="562">
        <f>IF(AH10=0,0,$G$19*'Rent Roll'!$E$7*'Rent Roll'!$C$11*'Rent Roll'!$C$17)</f>
        <v>783</v>
      </c>
      <c r="AI19" s="340">
        <f>IF(AI10=0,0,$G$19*'Rent Roll'!$E$7*'Rent Roll'!$C$11*'Rent Roll'!$C$17)</f>
        <v>783</v>
      </c>
      <c r="AJ19" s="340">
        <f>IF(AJ10=0,0,$G$19*'Rent Roll'!$E$7*'Rent Roll'!$C$11*'Rent Roll'!$C$17)</f>
        <v>783</v>
      </c>
      <c r="AK19" s="340">
        <f>IF(AK10=0,0,$G$19*'Rent Roll'!$E$7*'Rent Roll'!$C$11*'Rent Roll'!$C$17)</f>
        <v>783</v>
      </c>
      <c r="AL19" s="340">
        <f>IF(AL10=0,0,$G$19*'Rent Roll'!$E$7*'Rent Roll'!$C$11*'Rent Roll'!$C$17)</f>
        <v>783</v>
      </c>
      <c r="AM19" s="340">
        <f>IF(AM10=0,0,$G$19*'Rent Roll'!$E$7*'Rent Roll'!$C$11*'Rent Roll'!$C$17)</f>
        <v>783</v>
      </c>
      <c r="AN19" s="340">
        <f>IF(AN10=0,0,$G$19*'Rent Roll'!$E$7*'Rent Roll'!$C$11*'Rent Roll'!$C$17)</f>
        <v>783</v>
      </c>
      <c r="AO19" s="340">
        <f>IF(AO10=0,0,$G$19*'Rent Roll'!$E$7*'Rent Roll'!$C$11*'Rent Roll'!$C$17)</f>
        <v>783</v>
      </c>
      <c r="AP19" s="340">
        <f>IF(AP10=0,0,$G$19*'Rent Roll'!$E$7*'Rent Roll'!$C$11*'Rent Roll'!$C$17)</f>
        <v>783</v>
      </c>
      <c r="AQ19" s="340">
        <f>IF(AQ10=0,0,$G$19*'Rent Roll'!$E$7*'Rent Roll'!$C$11*'Rent Roll'!$C$17)</f>
        <v>783</v>
      </c>
      <c r="AR19" s="340">
        <f>IF(AR10=0,0,$G$19*'Rent Roll'!$E$7*'Rent Roll'!$C$11*'Rent Roll'!$C$17)</f>
        <v>783</v>
      </c>
      <c r="AS19" s="340">
        <f>IF(AS10=0,0,$G$19*'Rent Roll'!$E$7*'Rent Roll'!$C$11*'Rent Roll'!$C$17)</f>
        <v>783</v>
      </c>
      <c r="AT19" s="562">
        <f>IF(AT10=0,0,$G$19*'Rent Roll'!$E$7*'Rent Roll'!$C$11*'Rent Roll'!$C$17)</f>
        <v>783</v>
      </c>
      <c r="AU19" s="340">
        <f>IF(AU10=0,0,$G$19*'Rent Roll'!$E$7*'Rent Roll'!$C$11*'Rent Roll'!$C$17)</f>
        <v>783</v>
      </c>
      <c r="AV19" s="340">
        <f>IF(AV10=0,0,$G$19*'Rent Roll'!$E$7*'Rent Roll'!$C$11*'Rent Roll'!$C$17)</f>
        <v>783</v>
      </c>
      <c r="AW19" s="340">
        <f>IF(AW10=0,0,$G$19*'Rent Roll'!$E$7*'Rent Roll'!$C$11*'Rent Roll'!$C$17)</f>
        <v>783</v>
      </c>
      <c r="AX19" s="340">
        <f>IF(AX10=0,0,$G$19*'Rent Roll'!$E$7*'Rent Roll'!$C$11*'Rent Roll'!$C$17)</f>
        <v>783</v>
      </c>
      <c r="AY19" s="340">
        <f>IF(AY10=0,0,$G$19*'Rent Roll'!$E$7*'Rent Roll'!$C$11*'Rent Roll'!$C$17)</f>
        <v>783</v>
      </c>
      <c r="AZ19" s="340">
        <f>IF(AZ10=0,0,$G$19*'Rent Roll'!$E$7*'Rent Roll'!$C$11*'Rent Roll'!$C$17)</f>
        <v>783</v>
      </c>
      <c r="BA19" s="340">
        <f>IF(BA10=0,0,$G$19*'Rent Roll'!$E$7*'Rent Roll'!$C$11*'Rent Roll'!$C$17)</f>
        <v>783</v>
      </c>
      <c r="BB19" s="340">
        <f>IF(BB10=0,0,$G$19*'Rent Roll'!$E$7*'Rent Roll'!$C$11*'Rent Roll'!$C$17)</f>
        <v>783</v>
      </c>
      <c r="BC19" s="340">
        <f>IF(BC10=0,0,$G$19*'Rent Roll'!$E$7*'Rent Roll'!$C$11*'Rent Roll'!$C$17)</f>
        <v>783</v>
      </c>
      <c r="BD19" s="340">
        <f>IF(BD10=0,0,$G$19*'Rent Roll'!$E$7*'Rent Roll'!$C$11*'Rent Roll'!$C$17)</f>
        <v>783</v>
      </c>
      <c r="BE19" s="340">
        <f>IF(BE10=0,0,$G$19*'Rent Roll'!$E$7*'Rent Roll'!$C$11*'Rent Roll'!$C$17)</f>
        <v>783</v>
      </c>
      <c r="BF19" s="562">
        <f>IF(BF10=0,0,$G$19*'Rent Roll'!$E$7*'Rent Roll'!$C$11*'Rent Roll'!$C$17)</f>
        <v>783</v>
      </c>
      <c r="BG19" s="340">
        <f>IF(BG10=0,0,$G$19*'Rent Roll'!$E$7*'Rent Roll'!$C$11*'Rent Roll'!$C$17)</f>
        <v>783</v>
      </c>
      <c r="BH19" s="340">
        <f>IF(BH10=0,0,$G$19*'Rent Roll'!$E$7*'Rent Roll'!$C$11*'Rent Roll'!$C$17)</f>
        <v>783</v>
      </c>
      <c r="BI19" s="340">
        <f>IF(BI10=0,0,$G$19*'Rent Roll'!$E$7*'Rent Roll'!$C$11*'Rent Roll'!$C$17)</f>
        <v>783</v>
      </c>
      <c r="BJ19" s="340">
        <f>IF(BJ10=0,0,$G$19*'Rent Roll'!$E$7*'Rent Roll'!$C$11*'Rent Roll'!$C$17)</f>
        <v>783</v>
      </c>
      <c r="BK19" s="340">
        <f>IF(BK10=0,0,$G$19*'Rent Roll'!$E$7*'Rent Roll'!$C$11*'Rent Roll'!$C$17)</f>
        <v>783</v>
      </c>
      <c r="BL19" s="340">
        <f>IF(BL10=0,0,$G$19*'Rent Roll'!$E$7*'Rent Roll'!$C$11*'Rent Roll'!$C$17)</f>
        <v>783</v>
      </c>
      <c r="BM19" s="340">
        <f>IF(BM10=0,0,$G$19*'Rent Roll'!$E$7*'Rent Roll'!$C$11*'Rent Roll'!$C$17)</f>
        <v>783</v>
      </c>
      <c r="BN19" s="340">
        <f>IF(BN10=0,0,$G$19*'Rent Roll'!$E$7*'Rent Roll'!$C$11*'Rent Roll'!$C$17)</f>
        <v>783</v>
      </c>
      <c r="BO19" s="340">
        <f>IF(BO10=0,0,$G$19*'Rent Roll'!$E$7*'Rent Roll'!$C$11*'Rent Roll'!$C$17)</f>
        <v>783</v>
      </c>
      <c r="BP19" s="340">
        <f>IF(BP10=0,0,$G$19*'Rent Roll'!$E$7*'Rent Roll'!$C$11*'Rent Roll'!$C$17)</f>
        <v>783</v>
      </c>
      <c r="BQ19" s="340">
        <f>IF(BQ10=0,0,$G$19*'Rent Roll'!$E$7*'Rent Roll'!$C$11*'Rent Roll'!$C$17)</f>
        <v>783</v>
      </c>
      <c r="BR19" s="562">
        <f>IF(BR10=0,0,$G$19*'Rent Roll'!$E$7*'Rent Roll'!$C$11*'Rent Roll'!$C$17)</f>
        <v>783</v>
      </c>
      <c r="BS19" s="340">
        <f>IF(BS10=0,0,$G$19*'Rent Roll'!$E$7*'Rent Roll'!$C$11*'Rent Roll'!$C$17)</f>
        <v>783</v>
      </c>
      <c r="BT19" s="340">
        <f>IF(BT10=0,0,$G$19*'Rent Roll'!$E$7*'Rent Roll'!$C$11*'Rent Roll'!$C$17)</f>
        <v>783</v>
      </c>
      <c r="BU19" s="340">
        <f>IF(BU10=0,0,$G$19*'Rent Roll'!$E$7*'Rent Roll'!$C$11*'Rent Roll'!$C$17)</f>
        <v>783</v>
      </c>
      <c r="BV19" s="340">
        <f>IF(BV10=0,0,$G$19*'Rent Roll'!$E$7*'Rent Roll'!$C$11*'Rent Roll'!$C$17)</f>
        <v>783</v>
      </c>
      <c r="BW19" s="340">
        <f>IF(BW10=0,0,$G$19*'Rent Roll'!$E$7*'Rent Roll'!$C$11*'Rent Roll'!$C$17)</f>
        <v>783</v>
      </c>
      <c r="BX19" s="340">
        <f>IF(BX10=0,0,$G$19*'Rent Roll'!$E$7*'Rent Roll'!$C$11*'Rent Roll'!$C$17)</f>
        <v>783</v>
      </c>
      <c r="BY19" s="340">
        <f>IF(BY10=0,0,$G$19*'Rent Roll'!$E$7*'Rent Roll'!$C$11*'Rent Roll'!$C$17)</f>
        <v>783</v>
      </c>
      <c r="BZ19" s="340">
        <f>IF(BZ10=0,0,$G$19*'Rent Roll'!$E$7*'Rent Roll'!$C$11*'Rent Roll'!$C$17)</f>
        <v>783</v>
      </c>
      <c r="CA19" s="340">
        <f>IF(CA10=0,0,$G$19*'Rent Roll'!$E$7*'Rent Roll'!$C$11*'Rent Roll'!$C$17)</f>
        <v>783</v>
      </c>
      <c r="CB19" s="340">
        <f>IF(CB10=0,0,$G$19*'Rent Roll'!$E$7*'Rent Roll'!$C$11*'Rent Roll'!$C$17)</f>
        <v>783</v>
      </c>
      <c r="CC19" s="340">
        <f>IF(CC10=0,0,$G$19*'Rent Roll'!$E$7*'Rent Roll'!$C$11*'Rent Roll'!$C$17)</f>
        <v>783</v>
      </c>
      <c r="CD19" s="562">
        <f>IF(CD10=0,0,$G$19*'Rent Roll'!$E$7*'Rent Roll'!$C$11*'Rent Roll'!$C$17)</f>
        <v>783</v>
      </c>
      <c r="CE19" s="340">
        <f>IF(CE10=0,0,$G$19*'Rent Roll'!$E$7*'Rent Roll'!$C$11*'Rent Roll'!$C$17)</f>
        <v>783</v>
      </c>
      <c r="CF19" s="340">
        <f>IF(CF10=0,0,$G$19*'Rent Roll'!$E$7*'Rent Roll'!$C$11*'Rent Roll'!$C$17)</f>
        <v>783</v>
      </c>
      <c r="CG19" s="340">
        <f>IF(CG10=0,0,$G$19*'Rent Roll'!$E$7*'Rent Roll'!$C$11*'Rent Roll'!$C$17)</f>
        <v>783</v>
      </c>
      <c r="CH19" s="340">
        <f>IF(CH10=0,0,$G$19*'Rent Roll'!$E$7*'Rent Roll'!$C$11*'Rent Roll'!$C$17)</f>
        <v>783</v>
      </c>
      <c r="CI19" s="340">
        <f>IF(CI10=0,0,$G$19*'Rent Roll'!$E$7*'Rent Roll'!$C$11*'Rent Roll'!$C$17)</f>
        <v>783</v>
      </c>
      <c r="CJ19" s="340">
        <f>IF(CJ10=0,0,$G$19*'Rent Roll'!$E$7*'Rent Roll'!$C$11*'Rent Roll'!$C$17)</f>
        <v>783</v>
      </c>
      <c r="CK19" s="340">
        <f>IF(CK10=0,0,$G$19*'Rent Roll'!$E$7*'Rent Roll'!$C$11*'Rent Roll'!$C$17)</f>
        <v>783</v>
      </c>
      <c r="CL19" s="340">
        <f>IF(CL10=0,0,$G$19*'Rent Roll'!$E$7*'Rent Roll'!$C$11*'Rent Roll'!$C$17)</f>
        <v>783</v>
      </c>
      <c r="CM19" s="340">
        <f>IF(CM10=0,0,$G$19*'Rent Roll'!$E$7*'Rent Roll'!$C$11*'Rent Roll'!$C$17)</f>
        <v>783</v>
      </c>
      <c r="CN19" s="340">
        <f>IF(CN10=0,0,$G$19*'Rent Roll'!$E$7*'Rent Roll'!$C$11*'Rent Roll'!$C$17)</f>
        <v>783</v>
      </c>
      <c r="CO19" s="340">
        <f>IF(CO10=0,0,$G$19*'Rent Roll'!$E$7*'Rent Roll'!$C$11*'Rent Roll'!$C$17)</f>
        <v>783</v>
      </c>
      <c r="CP19" s="562">
        <f>IF(CP10=0,0,$G$19*'Rent Roll'!$E$7*'Rent Roll'!$C$11*'Rent Roll'!$C$17)</f>
        <v>783</v>
      </c>
      <c r="CQ19" s="340">
        <f>IF(CQ10=0,0,$G$19*'Rent Roll'!$E$7*'Rent Roll'!$C$11*'Rent Roll'!$C$17)</f>
        <v>783</v>
      </c>
      <c r="CR19" s="340">
        <f>IF(CR10=0,0,$G$19*'Rent Roll'!$E$7*'Rent Roll'!$C$11*'Rent Roll'!$C$17)</f>
        <v>783</v>
      </c>
      <c r="CS19" s="340">
        <f>IF(CS10=0,0,$G$19*'Rent Roll'!$E$7*'Rent Roll'!$C$11*'Rent Roll'!$C$17)</f>
        <v>783</v>
      </c>
      <c r="CT19" s="340">
        <f>IF(CT10=0,0,$G$19*'Rent Roll'!$E$7*'Rent Roll'!$C$11*'Rent Roll'!$C$17)</f>
        <v>783</v>
      </c>
      <c r="CU19" s="340">
        <f>IF(CU10=0,0,$G$19*'Rent Roll'!$E$7*'Rent Roll'!$C$11*'Rent Roll'!$C$17)</f>
        <v>783</v>
      </c>
      <c r="CV19" s="340">
        <f>IF(CV10=0,0,$G$19*'Rent Roll'!$E$7*'Rent Roll'!$C$11*'Rent Roll'!$C$17)</f>
        <v>783</v>
      </c>
      <c r="CW19" s="340">
        <f>IF(CW10=0,0,$G$19*'Rent Roll'!$E$7*'Rent Roll'!$C$11*'Rent Roll'!$C$17)</f>
        <v>783</v>
      </c>
      <c r="CX19" s="340">
        <f>IF(CX10=0,0,$G$19*'Rent Roll'!$E$7*'Rent Roll'!$C$11*'Rent Roll'!$C$17)</f>
        <v>783</v>
      </c>
      <c r="CY19" s="340">
        <f>IF(CY10=0,0,$G$19*'Rent Roll'!$E$7*'Rent Roll'!$C$11*'Rent Roll'!$C$17)</f>
        <v>783</v>
      </c>
      <c r="CZ19" s="340">
        <f>IF(CZ10=0,0,$G$19*'Rent Roll'!$E$7*'Rent Roll'!$C$11*'Rent Roll'!$C$17)</f>
        <v>783</v>
      </c>
      <c r="DA19" s="340">
        <f>IF(DA10=0,0,$G$19*'Rent Roll'!$E$7*'Rent Roll'!$C$11*'Rent Roll'!$C$17)</f>
        <v>783</v>
      </c>
      <c r="DB19" s="562">
        <f>IF(DB10=0,0,$G$19*'Rent Roll'!$E$7*'Rent Roll'!$C$11*'Rent Roll'!$C$17)</f>
        <v>783</v>
      </c>
      <c r="DC19" s="340">
        <f>IF(DC10=0,0,$G$19*'Rent Roll'!$E$7*'Rent Roll'!$C$11*'Rent Roll'!$C$17)</f>
        <v>783</v>
      </c>
      <c r="DD19" s="340">
        <f>IF(DD10=0,0,$G$19*'Rent Roll'!$E$7*'Rent Roll'!$C$11*'Rent Roll'!$C$17)</f>
        <v>783</v>
      </c>
      <c r="DE19" s="340">
        <f>IF(DE10=0,0,$G$19*'Rent Roll'!$E$7*'Rent Roll'!$C$11*'Rent Roll'!$C$17)</f>
        <v>783</v>
      </c>
      <c r="DF19" s="340">
        <f>IF(DF10=0,0,$G$19*'Rent Roll'!$E$7*'Rent Roll'!$C$11*'Rent Roll'!$C$17)</f>
        <v>783</v>
      </c>
      <c r="DG19" s="340">
        <f>IF(DG10=0,0,$G$19*'Rent Roll'!$E$7*'Rent Roll'!$C$11*'Rent Roll'!$C$17)</f>
        <v>783</v>
      </c>
      <c r="DH19" s="340">
        <f>IF(DH10=0,0,$G$19*'Rent Roll'!$E$7*'Rent Roll'!$C$11*'Rent Roll'!$C$17)</f>
        <v>783</v>
      </c>
      <c r="DI19" s="340">
        <f>IF(DI10=0,0,$G$19*'Rent Roll'!$E$7*'Rent Roll'!$C$11*'Rent Roll'!$C$17)</f>
        <v>783</v>
      </c>
      <c r="DJ19" s="340">
        <f>IF(DJ10=0,0,$G$19*'Rent Roll'!$E$7*'Rent Roll'!$C$11*'Rent Roll'!$C$17)</f>
        <v>783</v>
      </c>
      <c r="DK19" s="340">
        <f>IF(DK10=0,0,$G$19*'Rent Roll'!$E$7*'Rent Roll'!$C$11*'Rent Roll'!$C$17)</f>
        <v>783</v>
      </c>
      <c r="DL19" s="340">
        <f>IF(DL10=0,0,$G$19*'Rent Roll'!$E$7*'Rent Roll'!$C$11*'Rent Roll'!$C$17)</f>
        <v>783</v>
      </c>
      <c r="DM19" s="340">
        <f>IF(DM10=0,0,$G$19*'Rent Roll'!$E$7*'Rent Roll'!$C$11*'Rent Roll'!$C$17)</f>
        <v>783</v>
      </c>
      <c r="DN19" s="340">
        <f>IF(DN10=0,0,$G$19*'Rent Roll'!$E$7*'Rent Roll'!$C$11*'Rent Roll'!$C$17)</f>
        <v>783</v>
      </c>
      <c r="DP19" s="340">
        <f t="shared" ref="DP19:DP24" si="20">SUM(J19:DN19)</f>
        <v>75168</v>
      </c>
    </row>
    <row r="20" spans="3:120" x14ac:dyDescent="0.3">
      <c r="C20" s="331"/>
      <c r="D20" s="331" t="str">
        <f>'Table 3.0'!D48</f>
        <v>Convenience Store Sales (gross revenue per day)</v>
      </c>
      <c r="G20" s="705">
        <f>'Table 3.0'!G48</f>
        <v>150</v>
      </c>
      <c r="H20" s="938"/>
      <c r="J20" s="340"/>
      <c r="K20" s="340">
        <f>IF(K10=0,0,$G$20*K2)</f>
        <v>0</v>
      </c>
      <c r="L20" s="340">
        <f t="shared" ref="L20:BW20" si="21">IF(L10=0,0,$G$20*L2)</f>
        <v>0</v>
      </c>
      <c r="M20" s="340">
        <f t="shared" si="21"/>
        <v>0</v>
      </c>
      <c r="N20" s="340">
        <f t="shared" si="21"/>
        <v>0</v>
      </c>
      <c r="O20" s="340">
        <f t="shared" si="21"/>
        <v>0</v>
      </c>
      <c r="P20" s="340">
        <f t="shared" si="21"/>
        <v>0</v>
      </c>
      <c r="Q20" s="340">
        <f t="shared" si="21"/>
        <v>0</v>
      </c>
      <c r="R20" s="340">
        <f t="shared" si="21"/>
        <v>0</v>
      </c>
      <c r="S20" s="340">
        <f t="shared" si="21"/>
        <v>0</v>
      </c>
      <c r="T20" s="340">
        <f t="shared" si="21"/>
        <v>0</v>
      </c>
      <c r="U20" s="340">
        <f t="shared" si="21"/>
        <v>0</v>
      </c>
      <c r="V20" s="562">
        <f t="shared" si="21"/>
        <v>0</v>
      </c>
      <c r="W20" s="340">
        <f t="shared" si="21"/>
        <v>4650</v>
      </c>
      <c r="X20" s="340">
        <f t="shared" si="21"/>
        <v>4500</v>
      </c>
      <c r="Y20" s="340">
        <f t="shared" si="21"/>
        <v>4650</v>
      </c>
      <c r="Z20" s="340">
        <f t="shared" si="21"/>
        <v>4650</v>
      </c>
      <c r="AA20" s="340">
        <f t="shared" si="21"/>
        <v>4500</v>
      </c>
      <c r="AB20" s="340">
        <f t="shared" si="21"/>
        <v>4650</v>
      </c>
      <c r="AC20" s="340">
        <f t="shared" si="21"/>
        <v>4500</v>
      </c>
      <c r="AD20" s="340">
        <f t="shared" si="21"/>
        <v>4650</v>
      </c>
      <c r="AE20" s="340">
        <f t="shared" si="21"/>
        <v>4650</v>
      </c>
      <c r="AF20" s="340">
        <f t="shared" si="21"/>
        <v>4200</v>
      </c>
      <c r="AG20" s="340">
        <f t="shared" si="21"/>
        <v>4650</v>
      </c>
      <c r="AH20" s="562">
        <f t="shared" si="21"/>
        <v>4500</v>
      </c>
      <c r="AI20" s="340">
        <f t="shared" si="21"/>
        <v>4650</v>
      </c>
      <c r="AJ20" s="340">
        <f t="shared" si="21"/>
        <v>4500</v>
      </c>
      <c r="AK20" s="340">
        <f t="shared" si="21"/>
        <v>4650</v>
      </c>
      <c r="AL20" s="340">
        <f t="shared" si="21"/>
        <v>4650</v>
      </c>
      <c r="AM20" s="340">
        <f t="shared" si="21"/>
        <v>4500</v>
      </c>
      <c r="AN20" s="340">
        <f t="shared" si="21"/>
        <v>4650</v>
      </c>
      <c r="AO20" s="340">
        <f t="shared" si="21"/>
        <v>4500</v>
      </c>
      <c r="AP20" s="340">
        <f t="shared" si="21"/>
        <v>4650</v>
      </c>
      <c r="AQ20" s="340">
        <f t="shared" si="21"/>
        <v>4650</v>
      </c>
      <c r="AR20" s="340">
        <f t="shared" si="21"/>
        <v>4200</v>
      </c>
      <c r="AS20" s="340">
        <f t="shared" si="21"/>
        <v>4650</v>
      </c>
      <c r="AT20" s="562">
        <f t="shared" si="21"/>
        <v>4500</v>
      </c>
      <c r="AU20" s="340">
        <f t="shared" si="21"/>
        <v>4650</v>
      </c>
      <c r="AV20" s="340">
        <f t="shared" si="21"/>
        <v>4500</v>
      </c>
      <c r="AW20" s="340">
        <f t="shared" si="21"/>
        <v>4650</v>
      </c>
      <c r="AX20" s="340">
        <f t="shared" si="21"/>
        <v>4650</v>
      </c>
      <c r="AY20" s="340">
        <f t="shared" si="21"/>
        <v>4500</v>
      </c>
      <c r="AZ20" s="340">
        <f t="shared" si="21"/>
        <v>4650</v>
      </c>
      <c r="BA20" s="340">
        <f t="shared" si="21"/>
        <v>4500</v>
      </c>
      <c r="BB20" s="340">
        <f t="shared" si="21"/>
        <v>4650</v>
      </c>
      <c r="BC20" s="340">
        <f t="shared" si="21"/>
        <v>4650</v>
      </c>
      <c r="BD20" s="340">
        <f t="shared" si="21"/>
        <v>4350</v>
      </c>
      <c r="BE20" s="340">
        <f t="shared" si="21"/>
        <v>4650</v>
      </c>
      <c r="BF20" s="562">
        <f t="shared" si="21"/>
        <v>4500</v>
      </c>
      <c r="BG20" s="340">
        <f t="shared" si="21"/>
        <v>4650</v>
      </c>
      <c r="BH20" s="340">
        <f t="shared" si="21"/>
        <v>4500</v>
      </c>
      <c r="BI20" s="340">
        <f t="shared" si="21"/>
        <v>4650</v>
      </c>
      <c r="BJ20" s="340">
        <f t="shared" si="21"/>
        <v>4650</v>
      </c>
      <c r="BK20" s="340">
        <f t="shared" si="21"/>
        <v>4500</v>
      </c>
      <c r="BL20" s="340">
        <f t="shared" si="21"/>
        <v>4650</v>
      </c>
      <c r="BM20" s="340">
        <f t="shared" si="21"/>
        <v>4500</v>
      </c>
      <c r="BN20" s="340">
        <f t="shared" si="21"/>
        <v>4650</v>
      </c>
      <c r="BO20" s="340">
        <f t="shared" si="21"/>
        <v>4650</v>
      </c>
      <c r="BP20" s="340">
        <f t="shared" si="21"/>
        <v>4200</v>
      </c>
      <c r="BQ20" s="340">
        <f t="shared" si="21"/>
        <v>4650</v>
      </c>
      <c r="BR20" s="562">
        <f t="shared" si="21"/>
        <v>4500</v>
      </c>
      <c r="BS20" s="340">
        <f t="shared" si="21"/>
        <v>4650</v>
      </c>
      <c r="BT20" s="340">
        <f t="shared" si="21"/>
        <v>4500</v>
      </c>
      <c r="BU20" s="340">
        <f t="shared" si="21"/>
        <v>4650</v>
      </c>
      <c r="BV20" s="340">
        <f t="shared" si="21"/>
        <v>4650</v>
      </c>
      <c r="BW20" s="340">
        <f t="shared" si="21"/>
        <v>4500</v>
      </c>
      <c r="BX20" s="340">
        <f t="shared" ref="BX20:DN20" si="22">IF(BX10=0,0,$G$20*BX2)</f>
        <v>4650</v>
      </c>
      <c r="BY20" s="340">
        <f t="shared" si="22"/>
        <v>4500</v>
      </c>
      <c r="BZ20" s="340">
        <f t="shared" si="22"/>
        <v>4650</v>
      </c>
      <c r="CA20" s="340">
        <f t="shared" si="22"/>
        <v>4650</v>
      </c>
      <c r="CB20" s="340">
        <f t="shared" si="22"/>
        <v>4200</v>
      </c>
      <c r="CC20" s="340">
        <f t="shared" si="22"/>
        <v>4650</v>
      </c>
      <c r="CD20" s="562">
        <f t="shared" si="22"/>
        <v>4500</v>
      </c>
      <c r="CE20" s="340">
        <f t="shared" si="22"/>
        <v>4650</v>
      </c>
      <c r="CF20" s="340">
        <f t="shared" si="22"/>
        <v>4500</v>
      </c>
      <c r="CG20" s="340">
        <f t="shared" si="22"/>
        <v>4650</v>
      </c>
      <c r="CH20" s="340">
        <f t="shared" si="22"/>
        <v>4650</v>
      </c>
      <c r="CI20" s="340">
        <f t="shared" si="22"/>
        <v>4500</v>
      </c>
      <c r="CJ20" s="340">
        <f t="shared" si="22"/>
        <v>4650</v>
      </c>
      <c r="CK20" s="340">
        <f t="shared" si="22"/>
        <v>4500</v>
      </c>
      <c r="CL20" s="340">
        <f t="shared" si="22"/>
        <v>4650</v>
      </c>
      <c r="CM20" s="340">
        <f t="shared" si="22"/>
        <v>4650</v>
      </c>
      <c r="CN20" s="340">
        <f t="shared" si="22"/>
        <v>4200</v>
      </c>
      <c r="CO20" s="340">
        <f t="shared" si="22"/>
        <v>4650</v>
      </c>
      <c r="CP20" s="562">
        <f t="shared" si="22"/>
        <v>4500</v>
      </c>
      <c r="CQ20" s="340">
        <f t="shared" si="22"/>
        <v>4650</v>
      </c>
      <c r="CR20" s="340">
        <f t="shared" si="22"/>
        <v>4500</v>
      </c>
      <c r="CS20" s="340">
        <f t="shared" si="22"/>
        <v>4650</v>
      </c>
      <c r="CT20" s="340">
        <f t="shared" si="22"/>
        <v>4650</v>
      </c>
      <c r="CU20" s="340">
        <f t="shared" si="22"/>
        <v>4500</v>
      </c>
      <c r="CV20" s="340">
        <f t="shared" si="22"/>
        <v>4650</v>
      </c>
      <c r="CW20" s="340">
        <f t="shared" si="22"/>
        <v>4500</v>
      </c>
      <c r="CX20" s="340">
        <f t="shared" si="22"/>
        <v>4650</v>
      </c>
      <c r="CY20" s="340">
        <f t="shared" si="22"/>
        <v>4650</v>
      </c>
      <c r="CZ20" s="340">
        <f t="shared" si="22"/>
        <v>4200</v>
      </c>
      <c r="DA20" s="340">
        <f t="shared" si="22"/>
        <v>4650</v>
      </c>
      <c r="DB20" s="562">
        <f t="shared" si="22"/>
        <v>4500</v>
      </c>
      <c r="DC20" s="340">
        <f t="shared" si="22"/>
        <v>4650</v>
      </c>
      <c r="DD20" s="340">
        <f t="shared" si="22"/>
        <v>4500</v>
      </c>
      <c r="DE20" s="340">
        <f t="shared" si="22"/>
        <v>4650</v>
      </c>
      <c r="DF20" s="340">
        <f t="shared" si="22"/>
        <v>4650</v>
      </c>
      <c r="DG20" s="340">
        <f t="shared" si="22"/>
        <v>4500</v>
      </c>
      <c r="DH20" s="340">
        <f t="shared" si="22"/>
        <v>4650</v>
      </c>
      <c r="DI20" s="340">
        <f t="shared" si="22"/>
        <v>4500</v>
      </c>
      <c r="DJ20" s="340">
        <f t="shared" si="22"/>
        <v>4650</v>
      </c>
      <c r="DK20" s="340">
        <f t="shared" si="22"/>
        <v>4650</v>
      </c>
      <c r="DL20" s="340">
        <f t="shared" si="22"/>
        <v>4200</v>
      </c>
      <c r="DM20" s="340">
        <f t="shared" si="22"/>
        <v>4650</v>
      </c>
      <c r="DN20" s="340">
        <f t="shared" si="22"/>
        <v>4500</v>
      </c>
      <c r="DP20" s="340">
        <f t="shared" si="20"/>
        <v>438150</v>
      </c>
    </row>
    <row r="21" spans="3:120" x14ac:dyDescent="0.3">
      <c r="C21" s="331"/>
      <c r="D21" s="331" t="str">
        <f>'Table 3.0'!D49</f>
        <v>Laundry Vending ($/unit/month)</v>
      </c>
      <c r="G21" s="705">
        <f>'Table 3.0'!G49</f>
        <v>10</v>
      </c>
      <c r="H21" s="928"/>
      <c r="J21" s="340"/>
      <c r="K21" s="340">
        <f>IF(K10=0,0,$G$21*'Rent Roll'!$E$7*'Rent Roll'!$C$11*'Rent Roll'!$C$17)</f>
        <v>0</v>
      </c>
      <c r="L21" s="340">
        <f>IF(L10=0,0,$G$21*'Rent Roll'!$E$7*'Rent Roll'!$C$11*'Rent Roll'!$C$17)</f>
        <v>0</v>
      </c>
      <c r="M21" s="340">
        <f>IF(M10=0,0,$G$21*'Rent Roll'!$E$7*'Rent Roll'!$C$11*'Rent Roll'!$C$17)</f>
        <v>0</v>
      </c>
      <c r="N21" s="340">
        <f>IF(N10=0,0,$G$21*'Rent Roll'!$E$7*'Rent Roll'!$C$11*'Rent Roll'!$C$17)</f>
        <v>0</v>
      </c>
      <c r="O21" s="340">
        <f>IF(O10=0,0,$G$21*'Rent Roll'!$E$7*'Rent Roll'!$C$11*'Rent Roll'!$C$17)</f>
        <v>0</v>
      </c>
      <c r="P21" s="340">
        <f>IF(P10=0,0,$G$21*'Rent Roll'!$E$7*'Rent Roll'!$C$11*'Rent Roll'!$C$17)</f>
        <v>0</v>
      </c>
      <c r="Q21" s="340">
        <f>IF(Q10=0,0,$G$21*'Rent Roll'!$E$7*'Rent Roll'!$C$11*'Rent Roll'!$C$17)</f>
        <v>0</v>
      </c>
      <c r="R21" s="340">
        <f>IF(R10=0,0,$G$21*'Rent Roll'!$E$7*'Rent Roll'!$C$11*'Rent Roll'!$C$17)</f>
        <v>0</v>
      </c>
      <c r="S21" s="340">
        <f>IF(S10=0,0,$G$21*'Rent Roll'!$E$7*'Rent Roll'!$C$11*'Rent Roll'!$C$17)</f>
        <v>0</v>
      </c>
      <c r="T21" s="340">
        <f>IF(T10=0,0,$G$21*'Rent Roll'!$E$7*'Rent Roll'!$C$11*'Rent Roll'!$C$17)</f>
        <v>0</v>
      </c>
      <c r="U21" s="340">
        <f>IF(U10=0,0,$G$21*'Rent Roll'!$E$7*'Rent Roll'!$C$11*'Rent Roll'!$C$17)</f>
        <v>0</v>
      </c>
      <c r="V21" s="562">
        <f>IF(V10=0,0,$G$21*'Rent Roll'!$E$7*'Rent Roll'!$C$11*'Rent Roll'!$C$17)</f>
        <v>0</v>
      </c>
      <c r="W21" s="340">
        <f>IF(W10=0,0,$G$21*'Rent Roll'!$E$7*'Rent Roll'!$C$11*'Rent Roll'!$C$17)</f>
        <v>391.5</v>
      </c>
      <c r="X21" s="340">
        <f>IF(X10=0,0,$G$21*'Rent Roll'!$E$7*'Rent Roll'!$C$11*'Rent Roll'!$C$17)</f>
        <v>391.5</v>
      </c>
      <c r="Y21" s="340">
        <f>IF(Y10=0,0,$G$21*'Rent Roll'!$E$7*'Rent Roll'!$C$11*'Rent Roll'!$C$17)</f>
        <v>391.5</v>
      </c>
      <c r="Z21" s="340">
        <f>IF(Z10=0,0,$G$21*'Rent Roll'!$E$7*'Rent Roll'!$C$11*'Rent Roll'!$C$17)</f>
        <v>391.5</v>
      </c>
      <c r="AA21" s="340">
        <f>IF(AA10=0,0,$G$21*'Rent Roll'!$E$7*'Rent Roll'!$C$11*'Rent Roll'!$C$17)</f>
        <v>391.5</v>
      </c>
      <c r="AB21" s="340">
        <f>IF(AB10=0,0,$G$21*'Rent Roll'!$E$7*'Rent Roll'!$C$11*'Rent Roll'!$C$17)</f>
        <v>391.5</v>
      </c>
      <c r="AC21" s="340">
        <f>IF(AC10=0,0,$G$21*'Rent Roll'!$E$7*'Rent Roll'!$C$11*'Rent Roll'!$C$17)</f>
        <v>391.5</v>
      </c>
      <c r="AD21" s="340">
        <f>IF(AD10=0,0,$G$21*'Rent Roll'!$E$7*'Rent Roll'!$C$11*'Rent Roll'!$C$17)</f>
        <v>391.5</v>
      </c>
      <c r="AE21" s="340">
        <f>IF(AE10=0,0,$G$21*'Rent Roll'!$E$7*'Rent Roll'!$C$11*'Rent Roll'!$C$17)</f>
        <v>391.5</v>
      </c>
      <c r="AF21" s="340">
        <f>IF(AF10=0,0,$G$21*'Rent Roll'!$E$7*'Rent Roll'!$C$11*'Rent Roll'!$C$17)</f>
        <v>391.5</v>
      </c>
      <c r="AG21" s="340">
        <f>IF(AG10=0,0,$G$21*'Rent Roll'!$E$7*'Rent Roll'!$C$11*'Rent Roll'!$C$17)</f>
        <v>391.5</v>
      </c>
      <c r="AH21" s="562">
        <f>IF(AH10=0,0,$G$21*'Rent Roll'!$E$7*'Rent Roll'!$C$11*'Rent Roll'!$C$17)</f>
        <v>391.5</v>
      </c>
      <c r="AI21" s="340">
        <f>IF(AI10=0,0,$G$21*'Rent Roll'!$E$7*'Rent Roll'!$C$11*'Rent Roll'!$C$17)</f>
        <v>391.5</v>
      </c>
      <c r="AJ21" s="340">
        <f>IF(AJ10=0,0,$G$21*'Rent Roll'!$E$7*'Rent Roll'!$C$11*'Rent Roll'!$C$17)</f>
        <v>391.5</v>
      </c>
      <c r="AK21" s="340">
        <f>IF(AK10=0,0,$G$21*'Rent Roll'!$E$7*'Rent Roll'!$C$11*'Rent Roll'!$C$17)</f>
        <v>391.5</v>
      </c>
      <c r="AL21" s="340">
        <f>IF(AL10=0,0,$G$21*'Rent Roll'!$E$7*'Rent Roll'!$C$11*'Rent Roll'!$C$17)</f>
        <v>391.5</v>
      </c>
      <c r="AM21" s="340">
        <f>IF(AM10=0,0,$G$21*'Rent Roll'!$E$7*'Rent Roll'!$C$11*'Rent Roll'!$C$17)</f>
        <v>391.5</v>
      </c>
      <c r="AN21" s="340">
        <f>IF(AN10=0,0,$G$21*'Rent Roll'!$E$7*'Rent Roll'!$C$11*'Rent Roll'!$C$17)</f>
        <v>391.5</v>
      </c>
      <c r="AO21" s="340">
        <f>IF(AO10=0,0,$G$21*'Rent Roll'!$E$7*'Rent Roll'!$C$11*'Rent Roll'!$C$17)</f>
        <v>391.5</v>
      </c>
      <c r="AP21" s="340">
        <f>IF(AP10=0,0,$G$21*'Rent Roll'!$E$7*'Rent Roll'!$C$11*'Rent Roll'!$C$17)</f>
        <v>391.5</v>
      </c>
      <c r="AQ21" s="340">
        <f>IF(AQ10=0,0,$G$21*'Rent Roll'!$E$7*'Rent Roll'!$C$11*'Rent Roll'!$C$17)</f>
        <v>391.5</v>
      </c>
      <c r="AR21" s="340">
        <f>IF(AR10=0,0,$G$21*'Rent Roll'!$E$7*'Rent Roll'!$C$11*'Rent Roll'!$C$17)</f>
        <v>391.5</v>
      </c>
      <c r="AS21" s="340">
        <f>IF(AS10=0,0,$G$21*'Rent Roll'!$E$7*'Rent Roll'!$C$11*'Rent Roll'!$C$17)</f>
        <v>391.5</v>
      </c>
      <c r="AT21" s="562">
        <f>IF(AT10=0,0,$G$21*'Rent Roll'!$E$7*'Rent Roll'!$C$11*'Rent Roll'!$C$17)</f>
        <v>391.5</v>
      </c>
      <c r="AU21" s="340">
        <f>IF(AU10=0,0,$G$21*'Rent Roll'!$E$7*'Rent Roll'!$C$11*'Rent Roll'!$C$17)</f>
        <v>391.5</v>
      </c>
      <c r="AV21" s="340">
        <f>IF(AV10=0,0,$G$21*'Rent Roll'!$E$7*'Rent Roll'!$C$11*'Rent Roll'!$C$17)</f>
        <v>391.5</v>
      </c>
      <c r="AW21" s="340">
        <f>IF(AW10=0,0,$G$21*'Rent Roll'!$E$7*'Rent Roll'!$C$11*'Rent Roll'!$C$17)</f>
        <v>391.5</v>
      </c>
      <c r="AX21" s="340">
        <f>IF(AX10=0,0,$G$21*'Rent Roll'!$E$7*'Rent Roll'!$C$11*'Rent Roll'!$C$17)</f>
        <v>391.5</v>
      </c>
      <c r="AY21" s="340">
        <f>IF(AY10=0,0,$G$21*'Rent Roll'!$E$7*'Rent Roll'!$C$11*'Rent Roll'!$C$17)</f>
        <v>391.5</v>
      </c>
      <c r="AZ21" s="340">
        <f>IF(AZ10=0,0,$G$21*'Rent Roll'!$E$7*'Rent Roll'!$C$11*'Rent Roll'!$C$17)</f>
        <v>391.5</v>
      </c>
      <c r="BA21" s="340">
        <f>IF(BA10=0,0,$G$21*'Rent Roll'!$E$7*'Rent Roll'!$C$11*'Rent Roll'!$C$17)</f>
        <v>391.5</v>
      </c>
      <c r="BB21" s="340">
        <f>IF(BB10=0,0,$G$21*'Rent Roll'!$E$7*'Rent Roll'!$C$11*'Rent Roll'!$C$17)</f>
        <v>391.5</v>
      </c>
      <c r="BC21" s="340">
        <f>IF(BC10=0,0,$G$21*'Rent Roll'!$E$7*'Rent Roll'!$C$11*'Rent Roll'!$C$17)</f>
        <v>391.5</v>
      </c>
      <c r="BD21" s="340">
        <f>IF(BD10=0,0,$G$21*'Rent Roll'!$E$7*'Rent Roll'!$C$11*'Rent Roll'!$C$17)</f>
        <v>391.5</v>
      </c>
      <c r="BE21" s="340">
        <f>IF(BE10=0,0,$G$21*'Rent Roll'!$E$7*'Rent Roll'!$C$11*'Rent Roll'!$C$17)</f>
        <v>391.5</v>
      </c>
      <c r="BF21" s="562">
        <f>IF(BF10=0,0,$G$21*'Rent Roll'!$E$7*'Rent Roll'!$C$11*'Rent Roll'!$C$17)</f>
        <v>391.5</v>
      </c>
      <c r="BG21" s="340">
        <f>IF(BG10=0,0,$G$21*'Rent Roll'!$E$7*'Rent Roll'!$C$11*'Rent Roll'!$C$17)</f>
        <v>391.5</v>
      </c>
      <c r="BH21" s="340">
        <f>IF(BH10=0,0,$G$21*'Rent Roll'!$E$7*'Rent Roll'!$C$11*'Rent Roll'!$C$17)</f>
        <v>391.5</v>
      </c>
      <c r="BI21" s="340">
        <f>IF(BI10=0,0,$G$21*'Rent Roll'!$E$7*'Rent Roll'!$C$11*'Rent Roll'!$C$17)</f>
        <v>391.5</v>
      </c>
      <c r="BJ21" s="340">
        <f>IF(BJ10=0,0,$G$21*'Rent Roll'!$E$7*'Rent Roll'!$C$11*'Rent Roll'!$C$17)</f>
        <v>391.5</v>
      </c>
      <c r="BK21" s="340">
        <f>IF(BK10=0,0,$G$21*'Rent Roll'!$E$7*'Rent Roll'!$C$11*'Rent Roll'!$C$17)</f>
        <v>391.5</v>
      </c>
      <c r="BL21" s="340">
        <f>IF(BL10=0,0,$G$21*'Rent Roll'!$E$7*'Rent Roll'!$C$11*'Rent Roll'!$C$17)</f>
        <v>391.5</v>
      </c>
      <c r="BM21" s="340">
        <f>IF(BM10=0,0,$G$21*'Rent Roll'!$E$7*'Rent Roll'!$C$11*'Rent Roll'!$C$17)</f>
        <v>391.5</v>
      </c>
      <c r="BN21" s="340">
        <f>IF(BN10=0,0,$G$21*'Rent Roll'!$E$7*'Rent Roll'!$C$11*'Rent Roll'!$C$17)</f>
        <v>391.5</v>
      </c>
      <c r="BO21" s="340">
        <f>IF(BO10=0,0,$G$21*'Rent Roll'!$E$7*'Rent Roll'!$C$11*'Rent Roll'!$C$17)</f>
        <v>391.5</v>
      </c>
      <c r="BP21" s="340">
        <f>IF(BP10=0,0,$G$21*'Rent Roll'!$E$7*'Rent Roll'!$C$11*'Rent Roll'!$C$17)</f>
        <v>391.5</v>
      </c>
      <c r="BQ21" s="340">
        <f>IF(BQ10=0,0,$G$21*'Rent Roll'!$E$7*'Rent Roll'!$C$11*'Rent Roll'!$C$17)</f>
        <v>391.5</v>
      </c>
      <c r="BR21" s="562">
        <f>IF(BR10=0,0,$G$21*'Rent Roll'!$E$7*'Rent Roll'!$C$11*'Rent Roll'!$C$17)</f>
        <v>391.5</v>
      </c>
      <c r="BS21" s="340">
        <f>IF(BS10=0,0,$G$21*'Rent Roll'!$E$7*'Rent Roll'!$C$11*'Rent Roll'!$C$17)</f>
        <v>391.5</v>
      </c>
      <c r="BT21" s="340">
        <f>IF(BT10=0,0,$G$21*'Rent Roll'!$E$7*'Rent Roll'!$C$11*'Rent Roll'!$C$17)</f>
        <v>391.5</v>
      </c>
      <c r="BU21" s="340">
        <f>IF(BU10=0,0,$G$21*'Rent Roll'!$E$7*'Rent Roll'!$C$11*'Rent Roll'!$C$17)</f>
        <v>391.5</v>
      </c>
      <c r="BV21" s="340">
        <f>IF(BV10=0,0,$G$21*'Rent Roll'!$E$7*'Rent Roll'!$C$11*'Rent Roll'!$C$17)</f>
        <v>391.5</v>
      </c>
      <c r="BW21" s="340">
        <f>IF(BW10=0,0,$G$21*'Rent Roll'!$E$7*'Rent Roll'!$C$11*'Rent Roll'!$C$17)</f>
        <v>391.5</v>
      </c>
      <c r="BX21" s="340">
        <f>IF(BX10=0,0,$G$21*'Rent Roll'!$E$7*'Rent Roll'!$C$11*'Rent Roll'!$C$17)</f>
        <v>391.5</v>
      </c>
      <c r="BY21" s="340">
        <f>IF(BY10=0,0,$G$21*'Rent Roll'!$E$7*'Rent Roll'!$C$11*'Rent Roll'!$C$17)</f>
        <v>391.5</v>
      </c>
      <c r="BZ21" s="340">
        <f>IF(BZ10=0,0,$G$21*'Rent Roll'!$E$7*'Rent Roll'!$C$11*'Rent Roll'!$C$17)</f>
        <v>391.5</v>
      </c>
      <c r="CA21" s="340">
        <f>IF(CA10=0,0,$G$21*'Rent Roll'!$E$7*'Rent Roll'!$C$11*'Rent Roll'!$C$17)</f>
        <v>391.5</v>
      </c>
      <c r="CB21" s="340">
        <f>IF(CB10=0,0,$G$21*'Rent Roll'!$E$7*'Rent Roll'!$C$11*'Rent Roll'!$C$17)</f>
        <v>391.5</v>
      </c>
      <c r="CC21" s="340">
        <f>IF(CC10=0,0,$G$21*'Rent Roll'!$E$7*'Rent Roll'!$C$11*'Rent Roll'!$C$17)</f>
        <v>391.5</v>
      </c>
      <c r="CD21" s="562">
        <f>IF(CD10=0,0,$G$21*'Rent Roll'!$E$7*'Rent Roll'!$C$11*'Rent Roll'!$C$17)</f>
        <v>391.5</v>
      </c>
      <c r="CE21" s="340">
        <f>IF(CE10=0,0,$G$21*'Rent Roll'!$E$7*'Rent Roll'!$C$11*'Rent Roll'!$C$17)</f>
        <v>391.5</v>
      </c>
      <c r="CF21" s="340">
        <f>IF(CF10=0,0,$G$21*'Rent Roll'!$E$7*'Rent Roll'!$C$11*'Rent Roll'!$C$17)</f>
        <v>391.5</v>
      </c>
      <c r="CG21" s="340">
        <f>IF(CG10=0,0,$G$21*'Rent Roll'!$E$7*'Rent Roll'!$C$11*'Rent Roll'!$C$17)</f>
        <v>391.5</v>
      </c>
      <c r="CH21" s="340">
        <f>IF(CH10=0,0,$G$21*'Rent Roll'!$E$7*'Rent Roll'!$C$11*'Rent Roll'!$C$17)</f>
        <v>391.5</v>
      </c>
      <c r="CI21" s="340">
        <f>IF(CI10=0,0,$G$21*'Rent Roll'!$E$7*'Rent Roll'!$C$11*'Rent Roll'!$C$17)</f>
        <v>391.5</v>
      </c>
      <c r="CJ21" s="340">
        <f>IF(CJ10=0,0,$G$21*'Rent Roll'!$E$7*'Rent Roll'!$C$11*'Rent Roll'!$C$17)</f>
        <v>391.5</v>
      </c>
      <c r="CK21" s="340">
        <f>IF(CK10=0,0,$G$21*'Rent Roll'!$E$7*'Rent Roll'!$C$11*'Rent Roll'!$C$17)</f>
        <v>391.5</v>
      </c>
      <c r="CL21" s="340">
        <f>IF(CL10=0,0,$G$21*'Rent Roll'!$E$7*'Rent Roll'!$C$11*'Rent Roll'!$C$17)</f>
        <v>391.5</v>
      </c>
      <c r="CM21" s="340">
        <f>IF(CM10=0,0,$G$21*'Rent Roll'!$E$7*'Rent Roll'!$C$11*'Rent Roll'!$C$17)</f>
        <v>391.5</v>
      </c>
      <c r="CN21" s="340">
        <f>IF(CN10=0,0,$G$21*'Rent Roll'!$E$7*'Rent Roll'!$C$11*'Rent Roll'!$C$17)</f>
        <v>391.5</v>
      </c>
      <c r="CO21" s="340">
        <f>IF(CO10=0,0,$G$21*'Rent Roll'!$E$7*'Rent Roll'!$C$11*'Rent Roll'!$C$17)</f>
        <v>391.5</v>
      </c>
      <c r="CP21" s="562">
        <f>IF(CP10=0,0,$G$21*'Rent Roll'!$E$7*'Rent Roll'!$C$11*'Rent Roll'!$C$17)</f>
        <v>391.5</v>
      </c>
      <c r="CQ21" s="340">
        <f>IF(CQ10=0,0,$G$21*'Rent Roll'!$E$7*'Rent Roll'!$C$11*'Rent Roll'!$C$17)</f>
        <v>391.5</v>
      </c>
      <c r="CR21" s="340">
        <f>IF(CR10=0,0,$G$21*'Rent Roll'!$E$7*'Rent Roll'!$C$11*'Rent Roll'!$C$17)</f>
        <v>391.5</v>
      </c>
      <c r="CS21" s="340">
        <f>IF(CS10=0,0,$G$21*'Rent Roll'!$E$7*'Rent Roll'!$C$11*'Rent Roll'!$C$17)</f>
        <v>391.5</v>
      </c>
      <c r="CT21" s="340">
        <f>IF(CT10=0,0,$G$21*'Rent Roll'!$E$7*'Rent Roll'!$C$11*'Rent Roll'!$C$17)</f>
        <v>391.5</v>
      </c>
      <c r="CU21" s="340">
        <f>IF(CU10=0,0,$G$21*'Rent Roll'!$E$7*'Rent Roll'!$C$11*'Rent Roll'!$C$17)</f>
        <v>391.5</v>
      </c>
      <c r="CV21" s="340">
        <f>IF(CV10=0,0,$G$21*'Rent Roll'!$E$7*'Rent Roll'!$C$11*'Rent Roll'!$C$17)</f>
        <v>391.5</v>
      </c>
      <c r="CW21" s="340">
        <f>IF(CW10=0,0,$G$21*'Rent Roll'!$E$7*'Rent Roll'!$C$11*'Rent Roll'!$C$17)</f>
        <v>391.5</v>
      </c>
      <c r="CX21" s="340">
        <f>IF(CX10=0,0,$G$21*'Rent Roll'!$E$7*'Rent Roll'!$C$11*'Rent Roll'!$C$17)</f>
        <v>391.5</v>
      </c>
      <c r="CY21" s="340">
        <f>IF(CY10=0,0,$G$21*'Rent Roll'!$E$7*'Rent Roll'!$C$11*'Rent Roll'!$C$17)</f>
        <v>391.5</v>
      </c>
      <c r="CZ21" s="340">
        <f>IF(CZ10=0,0,$G$21*'Rent Roll'!$E$7*'Rent Roll'!$C$11*'Rent Roll'!$C$17)</f>
        <v>391.5</v>
      </c>
      <c r="DA21" s="340">
        <f>IF(DA10=0,0,$G$21*'Rent Roll'!$E$7*'Rent Roll'!$C$11*'Rent Roll'!$C$17)</f>
        <v>391.5</v>
      </c>
      <c r="DB21" s="562">
        <f>IF(DB10=0,0,$G$21*'Rent Roll'!$E$7*'Rent Roll'!$C$11*'Rent Roll'!$C$17)</f>
        <v>391.5</v>
      </c>
      <c r="DC21" s="340">
        <f>IF(DC10=0,0,$G$21*'Rent Roll'!$E$7*'Rent Roll'!$C$11*'Rent Roll'!$C$17)</f>
        <v>391.5</v>
      </c>
      <c r="DD21" s="340">
        <f>IF(DD10=0,0,$G$21*'Rent Roll'!$E$7*'Rent Roll'!$C$11*'Rent Roll'!$C$17)</f>
        <v>391.5</v>
      </c>
      <c r="DE21" s="340">
        <f>IF(DE10=0,0,$G$21*'Rent Roll'!$E$7*'Rent Roll'!$C$11*'Rent Roll'!$C$17)</f>
        <v>391.5</v>
      </c>
      <c r="DF21" s="340">
        <f>IF(DF10=0,0,$G$21*'Rent Roll'!$E$7*'Rent Roll'!$C$11*'Rent Roll'!$C$17)</f>
        <v>391.5</v>
      </c>
      <c r="DG21" s="340">
        <f>IF(DG10=0,0,$G$21*'Rent Roll'!$E$7*'Rent Roll'!$C$11*'Rent Roll'!$C$17)</f>
        <v>391.5</v>
      </c>
      <c r="DH21" s="340">
        <f>IF(DH10=0,0,$G$21*'Rent Roll'!$E$7*'Rent Roll'!$C$11*'Rent Roll'!$C$17)</f>
        <v>391.5</v>
      </c>
      <c r="DI21" s="340">
        <f>IF(DI10=0,0,$G$21*'Rent Roll'!$E$7*'Rent Roll'!$C$11*'Rent Roll'!$C$17)</f>
        <v>391.5</v>
      </c>
      <c r="DJ21" s="340">
        <f>IF(DJ10=0,0,$G$21*'Rent Roll'!$E$7*'Rent Roll'!$C$11*'Rent Roll'!$C$17)</f>
        <v>391.5</v>
      </c>
      <c r="DK21" s="340">
        <f>IF(DK10=0,0,$G$21*'Rent Roll'!$E$7*'Rent Roll'!$C$11*'Rent Roll'!$C$17)</f>
        <v>391.5</v>
      </c>
      <c r="DL21" s="340">
        <f>IF(DL10=0,0,$G$21*'Rent Roll'!$E$7*'Rent Roll'!$C$11*'Rent Roll'!$C$17)</f>
        <v>391.5</v>
      </c>
      <c r="DM21" s="340">
        <f>IF(DM10=0,0,$G$21*'Rent Roll'!$E$7*'Rent Roll'!$C$11*'Rent Roll'!$C$17)</f>
        <v>391.5</v>
      </c>
      <c r="DN21" s="340">
        <f>IF(DN10=0,0,$G$21*'Rent Roll'!$E$7*'Rent Roll'!$C$11*'Rent Roll'!$C$17)</f>
        <v>391.5</v>
      </c>
      <c r="DP21" s="340">
        <f t="shared" si="20"/>
        <v>37584</v>
      </c>
    </row>
    <row r="22" spans="3:120" x14ac:dyDescent="0.3">
      <c r="D22" s="331" t="str">
        <f>'Table 3.0'!D50</f>
        <v>Candy/Soda Vending ($/machine/month)</v>
      </c>
      <c r="G22" s="705">
        <f>'Table 3.0'!G50</f>
        <v>250</v>
      </c>
      <c r="H22" s="928"/>
      <c r="J22" s="340"/>
      <c r="K22" s="340">
        <f>IF(K10=0,0,$G$22*'Table 3.0'!$K$10)</f>
        <v>0</v>
      </c>
      <c r="L22" s="340">
        <f>IF(L10=0,0,$G$22*'Table 3.0'!$K$10)</f>
        <v>0</v>
      </c>
      <c r="M22" s="340">
        <f>IF(M10=0,0,$G$22*'Table 3.0'!$K$10)</f>
        <v>0</v>
      </c>
      <c r="N22" s="340">
        <f>IF(N10=0,0,$G$22*'Table 3.0'!$K$10)</f>
        <v>0</v>
      </c>
      <c r="O22" s="340">
        <f>IF(O10=0,0,$G$22*'Table 3.0'!$K$10)</f>
        <v>0</v>
      </c>
      <c r="P22" s="340">
        <f>IF(P10=0,0,$G$22*'Table 3.0'!$K$10)</f>
        <v>0</v>
      </c>
      <c r="Q22" s="340">
        <f>IF(Q10=0,0,$G$22*'Table 3.0'!$K$10)</f>
        <v>0</v>
      </c>
      <c r="R22" s="340">
        <f>IF(R10=0,0,$G$22*'Table 3.0'!$K$10)</f>
        <v>0</v>
      </c>
      <c r="S22" s="340">
        <f>IF(S10=0,0,$G$22*'Table 3.0'!$K$10)</f>
        <v>0</v>
      </c>
      <c r="T22" s="340">
        <f>IF(T10=0,0,$G$22*'Table 3.0'!$K$10)</f>
        <v>0</v>
      </c>
      <c r="U22" s="340">
        <f>IF(U10=0,0,$G$22*'Table 3.0'!$K$10)</f>
        <v>0</v>
      </c>
      <c r="V22" s="562">
        <f>IF(V10=0,0,$G$22*'Table 3.0'!$K$10)</f>
        <v>0</v>
      </c>
      <c r="W22" s="340">
        <f>IF(W10=0,0,$G$22*'Table 3.0'!$K$10)</f>
        <v>500</v>
      </c>
      <c r="X22" s="340">
        <f>IF(X10=0,0,$G$22*'Table 3.0'!$K$10)</f>
        <v>500</v>
      </c>
      <c r="Y22" s="340">
        <f>IF(Y10=0,0,$G$22*'Table 3.0'!$K$10)</f>
        <v>500</v>
      </c>
      <c r="Z22" s="340">
        <f>IF(Z10=0,0,$G$22*'Table 3.0'!$K$10)</f>
        <v>500</v>
      </c>
      <c r="AA22" s="340">
        <f>IF(AA10=0,0,$G$22*'Table 3.0'!$K$10)</f>
        <v>500</v>
      </c>
      <c r="AB22" s="340">
        <f>IF(AB10=0,0,$G$22*'Table 3.0'!$K$10)</f>
        <v>500</v>
      </c>
      <c r="AC22" s="340">
        <f>IF(AC10=0,0,$G$22*'Table 3.0'!$K$10)</f>
        <v>500</v>
      </c>
      <c r="AD22" s="340">
        <f>IF(AD10=0,0,$G$22*'Table 3.0'!$K$10)</f>
        <v>500</v>
      </c>
      <c r="AE22" s="340">
        <f>IF(AE10=0,0,$G$22*'Table 3.0'!$K$10)</f>
        <v>500</v>
      </c>
      <c r="AF22" s="340">
        <f>IF(AF10=0,0,$G$22*'Table 3.0'!$K$10)</f>
        <v>500</v>
      </c>
      <c r="AG22" s="340">
        <f>IF(AG10=0,0,$G$22*'Table 3.0'!$K$10)</f>
        <v>500</v>
      </c>
      <c r="AH22" s="562">
        <f>IF(AH10=0,0,$G$22*'Table 3.0'!$K$10)</f>
        <v>500</v>
      </c>
      <c r="AI22" s="340">
        <f>IF(AI10=0,0,$G$22*'Table 3.0'!$K$10)</f>
        <v>500</v>
      </c>
      <c r="AJ22" s="340">
        <f>IF(AJ10=0,0,$G$22*'Table 3.0'!$K$10)</f>
        <v>500</v>
      </c>
      <c r="AK22" s="340">
        <f>IF(AK10=0,0,$G$22*'Table 3.0'!$K$10)</f>
        <v>500</v>
      </c>
      <c r="AL22" s="340">
        <f>IF(AL10=0,0,$G$22*'Table 3.0'!$K$10)</f>
        <v>500</v>
      </c>
      <c r="AM22" s="340">
        <f>IF(AM10=0,0,$G$22*'Table 3.0'!$K$10)</f>
        <v>500</v>
      </c>
      <c r="AN22" s="340">
        <f>IF(AN10=0,0,$G$22*'Table 3.0'!$K$10)</f>
        <v>500</v>
      </c>
      <c r="AO22" s="340">
        <f>IF(AO10=0,0,$G$22*'Table 3.0'!$K$10)</f>
        <v>500</v>
      </c>
      <c r="AP22" s="340">
        <f>IF(AP10=0,0,$G$22*'Table 3.0'!$K$10)</f>
        <v>500</v>
      </c>
      <c r="AQ22" s="340">
        <f>IF(AQ10=0,0,$G$22*'Table 3.0'!$K$10)</f>
        <v>500</v>
      </c>
      <c r="AR22" s="340">
        <f>IF(AR10=0,0,$G$22*'Table 3.0'!$K$10)</f>
        <v>500</v>
      </c>
      <c r="AS22" s="340">
        <f>IF(AS10=0,0,$G$22*'Table 3.0'!$K$10)</f>
        <v>500</v>
      </c>
      <c r="AT22" s="562">
        <f>IF(AT10=0,0,$G$22*'Table 3.0'!$K$10)</f>
        <v>500</v>
      </c>
      <c r="AU22" s="340">
        <f>IF(AU10=0,0,$G$22*'Table 3.0'!$K$10)</f>
        <v>500</v>
      </c>
      <c r="AV22" s="340">
        <f>IF(AV10=0,0,$G$22*'Table 3.0'!$K$10)</f>
        <v>500</v>
      </c>
      <c r="AW22" s="340">
        <f>IF(AW10=0,0,$G$22*'Table 3.0'!$K$10)</f>
        <v>500</v>
      </c>
      <c r="AX22" s="340">
        <f>IF(AX10=0,0,$G$22*'Table 3.0'!$K$10)</f>
        <v>500</v>
      </c>
      <c r="AY22" s="340">
        <f>IF(AY10=0,0,$G$22*'Table 3.0'!$K$10)</f>
        <v>500</v>
      </c>
      <c r="AZ22" s="340">
        <f>IF(AZ10=0,0,$G$22*'Table 3.0'!$K$10)</f>
        <v>500</v>
      </c>
      <c r="BA22" s="340">
        <f>IF(BA10=0,0,$G$22*'Table 3.0'!$K$10)</f>
        <v>500</v>
      </c>
      <c r="BB22" s="340">
        <f>IF(BB10=0,0,$G$22*'Table 3.0'!$K$10)</f>
        <v>500</v>
      </c>
      <c r="BC22" s="340">
        <f>IF(BC10=0,0,$G$22*'Table 3.0'!$K$10)</f>
        <v>500</v>
      </c>
      <c r="BD22" s="340">
        <f>IF(BD10=0,0,$G$22*'Table 3.0'!$K$10)</f>
        <v>500</v>
      </c>
      <c r="BE22" s="340">
        <f>IF(BE10=0,0,$G$22*'Table 3.0'!$K$10)</f>
        <v>500</v>
      </c>
      <c r="BF22" s="562">
        <f>IF(BF10=0,0,$G$22*'Table 3.0'!$K$10)</f>
        <v>500</v>
      </c>
      <c r="BG22" s="340">
        <f>IF(BG10=0,0,$G$22*'Table 3.0'!$K$10)</f>
        <v>500</v>
      </c>
      <c r="BH22" s="340">
        <f>IF(BH10=0,0,$G$22*'Table 3.0'!$K$10)</f>
        <v>500</v>
      </c>
      <c r="BI22" s="340">
        <f>IF(BI10=0,0,$G$22*'Table 3.0'!$K$10)</f>
        <v>500</v>
      </c>
      <c r="BJ22" s="340">
        <f>IF(BJ10=0,0,$G$22*'Table 3.0'!$K$10)</f>
        <v>500</v>
      </c>
      <c r="BK22" s="340">
        <f>IF(BK10=0,0,$G$22*'Table 3.0'!$K$10)</f>
        <v>500</v>
      </c>
      <c r="BL22" s="340">
        <f>IF(BL10=0,0,$G$22*'Table 3.0'!$K$10)</f>
        <v>500</v>
      </c>
      <c r="BM22" s="340">
        <f>IF(BM10=0,0,$G$22*'Table 3.0'!$K$10)</f>
        <v>500</v>
      </c>
      <c r="BN22" s="340">
        <f>IF(BN10=0,0,$G$22*'Table 3.0'!$K$10)</f>
        <v>500</v>
      </c>
      <c r="BO22" s="340">
        <f>IF(BO10=0,0,$G$22*'Table 3.0'!$K$10)</f>
        <v>500</v>
      </c>
      <c r="BP22" s="340">
        <f>IF(BP10=0,0,$G$22*'Table 3.0'!$K$10)</f>
        <v>500</v>
      </c>
      <c r="BQ22" s="340">
        <f>IF(BQ10=0,0,$G$22*'Table 3.0'!$K$10)</f>
        <v>500</v>
      </c>
      <c r="BR22" s="562">
        <f>IF(BR10=0,0,$G$22*'Table 3.0'!$K$10)</f>
        <v>500</v>
      </c>
      <c r="BS22" s="340">
        <f>IF(BS10=0,0,$G$22*'Table 3.0'!$K$10)</f>
        <v>500</v>
      </c>
      <c r="BT22" s="340">
        <f>IF(BT10=0,0,$G$22*'Table 3.0'!$K$10)</f>
        <v>500</v>
      </c>
      <c r="BU22" s="340">
        <f>IF(BU10=0,0,$G$22*'Table 3.0'!$K$10)</f>
        <v>500</v>
      </c>
      <c r="BV22" s="340">
        <f>IF(BV10=0,0,$G$22*'Table 3.0'!$K$10)</f>
        <v>500</v>
      </c>
      <c r="BW22" s="340">
        <f>IF(BW10=0,0,$G$22*'Table 3.0'!$K$10)</f>
        <v>500</v>
      </c>
      <c r="BX22" s="340">
        <f>IF(BX10=0,0,$G$22*'Table 3.0'!$K$10)</f>
        <v>500</v>
      </c>
      <c r="BY22" s="340">
        <f>IF(BY10=0,0,$G$22*'Table 3.0'!$K$10)</f>
        <v>500</v>
      </c>
      <c r="BZ22" s="340">
        <f>IF(BZ10=0,0,$G$22*'Table 3.0'!$K$10)</f>
        <v>500</v>
      </c>
      <c r="CA22" s="340">
        <f>IF(CA10=0,0,$G$22*'Table 3.0'!$K$10)</f>
        <v>500</v>
      </c>
      <c r="CB22" s="340">
        <f>IF(CB10=0,0,$G$22*'Table 3.0'!$K$10)</f>
        <v>500</v>
      </c>
      <c r="CC22" s="340">
        <f>IF(CC10=0,0,$G$22*'Table 3.0'!$K$10)</f>
        <v>500</v>
      </c>
      <c r="CD22" s="562">
        <f>IF(CD10=0,0,$G$22*'Table 3.0'!$K$10)</f>
        <v>500</v>
      </c>
      <c r="CE22" s="340">
        <f>IF(CE10=0,0,$G$22*'Table 3.0'!$K$10)</f>
        <v>500</v>
      </c>
      <c r="CF22" s="340">
        <f>IF(CF10=0,0,$G$22*'Table 3.0'!$K$10)</f>
        <v>500</v>
      </c>
      <c r="CG22" s="340">
        <f>IF(CG10=0,0,$G$22*'Table 3.0'!$K$10)</f>
        <v>500</v>
      </c>
      <c r="CH22" s="340">
        <f>IF(CH10=0,0,$G$22*'Table 3.0'!$K$10)</f>
        <v>500</v>
      </c>
      <c r="CI22" s="340">
        <f>IF(CI10=0,0,$G$22*'Table 3.0'!$K$10)</f>
        <v>500</v>
      </c>
      <c r="CJ22" s="340">
        <f>IF(CJ10=0,0,$G$22*'Table 3.0'!$K$10)</f>
        <v>500</v>
      </c>
      <c r="CK22" s="340">
        <f>IF(CK10=0,0,$G$22*'Table 3.0'!$K$10)</f>
        <v>500</v>
      </c>
      <c r="CL22" s="340">
        <f>IF(CL10=0,0,$G$22*'Table 3.0'!$K$10)</f>
        <v>500</v>
      </c>
      <c r="CM22" s="340">
        <f>IF(CM10=0,0,$G$22*'Table 3.0'!$K$10)</f>
        <v>500</v>
      </c>
      <c r="CN22" s="340">
        <f>IF(CN10=0,0,$G$22*'Table 3.0'!$K$10)</f>
        <v>500</v>
      </c>
      <c r="CO22" s="340">
        <f>IF(CO10=0,0,$G$22*'Table 3.0'!$K$10)</f>
        <v>500</v>
      </c>
      <c r="CP22" s="562">
        <f>IF(CP10=0,0,$G$22*'Table 3.0'!$K$10)</f>
        <v>500</v>
      </c>
      <c r="CQ22" s="340">
        <f>IF(CQ10=0,0,$G$22*'Table 3.0'!$K$10)</f>
        <v>500</v>
      </c>
      <c r="CR22" s="340">
        <f>IF(CR10=0,0,$G$22*'Table 3.0'!$K$10)</f>
        <v>500</v>
      </c>
      <c r="CS22" s="340">
        <f>IF(CS10=0,0,$G$22*'Table 3.0'!$K$10)</f>
        <v>500</v>
      </c>
      <c r="CT22" s="340">
        <f>IF(CT10=0,0,$G$22*'Table 3.0'!$K$10)</f>
        <v>500</v>
      </c>
      <c r="CU22" s="340">
        <f>IF(CU10=0,0,$G$22*'Table 3.0'!$K$10)</f>
        <v>500</v>
      </c>
      <c r="CV22" s="340">
        <f>IF(CV10=0,0,$G$22*'Table 3.0'!$K$10)</f>
        <v>500</v>
      </c>
      <c r="CW22" s="340">
        <f>IF(CW10=0,0,$G$22*'Table 3.0'!$K$10)</f>
        <v>500</v>
      </c>
      <c r="CX22" s="340">
        <f>IF(CX10=0,0,$G$22*'Table 3.0'!$K$10)</f>
        <v>500</v>
      </c>
      <c r="CY22" s="340">
        <f>IF(CY10=0,0,$G$22*'Table 3.0'!$K$10)</f>
        <v>500</v>
      </c>
      <c r="CZ22" s="340">
        <f>IF(CZ10=0,0,$G$22*'Table 3.0'!$K$10)</f>
        <v>500</v>
      </c>
      <c r="DA22" s="340">
        <f>IF(DA10=0,0,$G$22*'Table 3.0'!$K$10)</f>
        <v>500</v>
      </c>
      <c r="DB22" s="562">
        <f>IF(DB10=0,0,$G$22*'Table 3.0'!$K$10)</f>
        <v>500</v>
      </c>
      <c r="DC22" s="340">
        <f>IF(DC10=0,0,$G$22*'Table 3.0'!$K$10)</f>
        <v>500</v>
      </c>
      <c r="DD22" s="340">
        <f>IF(DD10=0,0,$G$22*'Table 3.0'!$K$10)</f>
        <v>500</v>
      </c>
      <c r="DE22" s="340">
        <f>IF(DE10=0,0,$G$22*'Table 3.0'!$K$10)</f>
        <v>500</v>
      </c>
      <c r="DF22" s="340">
        <f>IF(DF10=0,0,$G$22*'Table 3.0'!$K$10)</f>
        <v>500</v>
      </c>
      <c r="DG22" s="340">
        <f>IF(DG10=0,0,$G$22*'Table 3.0'!$K$10)</f>
        <v>500</v>
      </c>
      <c r="DH22" s="340">
        <f>IF(DH10=0,0,$G$22*'Table 3.0'!$K$10)</f>
        <v>500</v>
      </c>
      <c r="DI22" s="340">
        <f>IF(DI10=0,0,$G$22*'Table 3.0'!$K$10)</f>
        <v>500</v>
      </c>
      <c r="DJ22" s="340">
        <f>IF(DJ10=0,0,$G$22*'Table 3.0'!$K$10)</f>
        <v>500</v>
      </c>
      <c r="DK22" s="340">
        <f>IF(DK10=0,0,$G$22*'Table 3.0'!$K$10)</f>
        <v>500</v>
      </c>
      <c r="DL22" s="340">
        <f>IF(DL10=0,0,$G$22*'Table 3.0'!$K$10)</f>
        <v>500</v>
      </c>
      <c r="DM22" s="340">
        <f>IF(DM10=0,0,$G$22*'Table 3.0'!$K$10)</f>
        <v>500</v>
      </c>
      <c r="DN22" s="340">
        <f>IF(DN10=0,0,$G$22*'Table 3.0'!$K$10)</f>
        <v>500</v>
      </c>
      <c r="DP22" s="340">
        <f t="shared" si="20"/>
        <v>48000</v>
      </c>
    </row>
    <row r="23" spans="3:120" x14ac:dyDescent="0.3">
      <c r="C23" s="342"/>
      <c r="D23" s="346" t="str">
        <f>'Table 3.0'!D51</f>
        <v>Elec. Reimbursement (Reimb. per LT unit)</v>
      </c>
      <c r="E23" s="342"/>
      <c r="F23" s="342"/>
      <c r="G23" s="760">
        <f>'Table 3.0'!G51</f>
        <v>60</v>
      </c>
      <c r="H23" s="342"/>
      <c r="I23" s="342"/>
      <c r="J23" s="344"/>
      <c r="K23" s="344">
        <f>IF(K10=0,0,$G$23*'Rent Roll'!$E$7*'Rent Roll'!$C$11*'Rent Roll'!$C$17)</f>
        <v>0</v>
      </c>
      <c r="L23" s="344">
        <f>IF(L10=0,0,$G$23*'Rent Roll'!$E$7*'Rent Roll'!$C$11*'Rent Roll'!$C$17)</f>
        <v>0</v>
      </c>
      <c r="M23" s="344">
        <f>IF(M10=0,0,$G$23*'Rent Roll'!$E$7*'Rent Roll'!$C$11*'Rent Roll'!$C$17)</f>
        <v>0</v>
      </c>
      <c r="N23" s="344">
        <f>IF(N10=0,0,$G$23*'Rent Roll'!$E$7*'Rent Roll'!$C$11*'Rent Roll'!$C$17)</f>
        <v>0</v>
      </c>
      <c r="O23" s="344">
        <f>IF(O10=0,0,$G$23*'Rent Roll'!$E$7*'Rent Roll'!$C$11*'Rent Roll'!$C$17)</f>
        <v>0</v>
      </c>
      <c r="P23" s="344">
        <f>IF(P10=0,0,$G$23*'Rent Roll'!$E$7*'Rent Roll'!$C$11*'Rent Roll'!$C$17)</f>
        <v>0</v>
      </c>
      <c r="Q23" s="344">
        <f>IF(Q10=0,0,$G$23*'Rent Roll'!$E$7*'Rent Roll'!$C$11*'Rent Roll'!$C$17)</f>
        <v>0</v>
      </c>
      <c r="R23" s="344">
        <f>IF(R10=0,0,$G$23*'Rent Roll'!$E$7*'Rent Roll'!$C$11*'Rent Roll'!$C$17)</f>
        <v>0</v>
      </c>
      <c r="S23" s="344">
        <f>IF(S10=0,0,$G$23*'Rent Roll'!$E$7*'Rent Roll'!$C$11*'Rent Roll'!$C$17)</f>
        <v>0</v>
      </c>
      <c r="T23" s="344">
        <f>IF(T10=0,0,$G$23*'Rent Roll'!$E$7*'Rent Roll'!$C$11*'Rent Roll'!$C$17)</f>
        <v>0</v>
      </c>
      <c r="U23" s="344">
        <f>IF(U10=0,0,$G$23*'Rent Roll'!$E$7*'Rent Roll'!$C$11*'Rent Roll'!$C$17)</f>
        <v>0</v>
      </c>
      <c r="V23" s="563">
        <f>IF(V10=0,0,$G$23*'Rent Roll'!$E$7*'Rent Roll'!$C$11*'Rent Roll'!$C$17)</f>
        <v>0</v>
      </c>
      <c r="W23" s="344">
        <f>IF(W10=0,0,$G$23*'Rent Roll'!$E$7*'Rent Roll'!$C$11*'Rent Roll'!$C$17)</f>
        <v>2349</v>
      </c>
      <c r="X23" s="344">
        <f>IF(X10=0,0,$G$23*'Rent Roll'!$E$7*'Rent Roll'!$C$11*'Rent Roll'!$C$17)</f>
        <v>2349</v>
      </c>
      <c r="Y23" s="344">
        <f>IF(Y10=0,0,$G$23*'Rent Roll'!$E$7*'Rent Roll'!$C$11*'Rent Roll'!$C$17)</f>
        <v>2349</v>
      </c>
      <c r="Z23" s="344">
        <f>IF(Z10=0,0,$G$23*'Rent Roll'!$E$7*'Rent Roll'!$C$11*'Rent Roll'!$C$17)</f>
        <v>2349</v>
      </c>
      <c r="AA23" s="344">
        <f>IF(AA10=0,0,$G$23*'Rent Roll'!$E$7*'Rent Roll'!$C$11*'Rent Roll'!$C$17)</f>
        <v>2349</v>
      </c>
      <c r="AB23" s="344">
        <f>IF(AB10=0,0,$G$23*'Rent Roll'!$E$7*'Rent Roll'!$C$11*'Rent Roll'!$C$17)</f>
        <v>2349</v>
      </c>
      <c r="AC23" s="344">
        <f>IF(AC10=0,0,$G$23*'Rent Roll'!$E$7*'Rent Roll'!$C$11*'Rent Roll'!$C$17)</f>
        <v>2349</v>
      </c>
      <c r="AD23" s="344">
        <f>IF(AD10=0,0,$G$23*'Rent Roll'!$E$7*'Rent Roll'!$C$11*'Rent Roll'!$C$17)</f>
        <v>2349</v>
      </c>
      <c r="AE23" s="344">
        <f>IF(AE10=0,0,$G$23*'Rent Roll'!$E$7*'Rent Roll'!$C$11*'Rent Roll'!$C$17)</f>
        <v>2349</v>
      </c>
      <c r="AF23" s="344">
        <f>IF(AF10=0,0,$G$23*'Rent Roll'!$E$7*'Rent Roll'!$C$11*'Rent Roll'!$C$17)</f>
        <v>2349</v>
      </c>
      <c r="AG23" s="344">
        <f>IF(AG10=0,0,$G$23*'Rent Roll'!$E$7*'Rent Roll'!$C$11*'Rent Roll'!$C$17)</f>
        <v>2349</v>
      </c>
      <c r="AH23" s="563">
        <f>IF(AH10=0,0,$G$23*'Rent Roll'!$E$7*'Rent Roll'!$C$11*'Rent Roll'!$C$17)</f>
        <v>2349</v>
      </c>
      <c r="AI23" s="344">
        <f>IF(AI10=0,0,$G$23*'Rent Roll'!$E$7*'Rent Roll'!$C$11*'Rent Roll'!$C$17)</f>
        <v>2349</v>
      </c>
      <c r="AJ23" s="344">
        <f>IF(AJ10=0,0,$G$23*'Rent Roll'!$E$7*'Rent Roll'!$C$11*'Rent Roll'!$C$17)</f>
        <v>2349</v>
      </c>
      <c r="AK23" s="344">
        <f>IF(AK10=0,0,$G$23*'Rent Roll'!$E$7*'Rent Roll'!$C$11*'Rent Roll'!$C$17)</f>
        <v>2349</v>
      </c>
      <c r="AL23" s="344">
        <f>IF(AL10=0,0,$G$23*'Rent Roll'!$E$7*'Rent Roll'!$C$11*'Rent Roll'!$C$17)</f>
        <v>2349</v>
      </c>
      <c r="AM23" s="344">
        <f>IF(AM10=0,0,$G$23*'Rent Roll'!$E$7*'Rent Roll'!$C$11*'Rent Roll'!$C$17)</f>
        <v>2349</v>
      </c>
      <c r="AN23" s="344">
        <f>IF(AN10=0,0,$G$23*'Rent Roll'!$E$7*'Rent Roll'!$C$11*'Rent Roll'!$C$17)</f>
        <v>2349</v>
      </c>
      <c r="AO23" s="344">
        <f>IF(AO10=0,0,$G$23*'Rent Roll'!$E$7*'Rent Roll'!$C$11*'Rent Roll'!$C$17)</f>
        <v>2349</v>
      </c>
      <c r="AP23" s="344">
        <f>IF(AP10=0,0,$G$23*'Rent Roll'!$E$7*'Rent Roll'!$C$11*'Rent Roll'!$C$17)</f>
        <v>2349</v>
      </c>
      <c r="AQ23" s="344">
        <f>IF(AQ10=0,0,$G$23*'Rent Roll'!$E$7*'Rent Roll'!$C$11*'Rent Roll'!$C$17)</f>
        <v>2349</v>
      </c>
      <c r="AR23" s="344">
        <f>IF(AR10=0,0,$G$23*'Rent Roll'!$E$7*'Rent Roll'!$C$11*'Rent Roll'!$C$17)</f>
        <v>2349</v>
      </c>
      <c r="AS23" s="344">
        <f>IF(AS10=0,0,$G$23*'Rent Roll'!$E$7*'Rent Roll'!$C$11*'Rent Roll'!$C$17)</f>
        <v>2349</v>
      </c>
      <c r="AT23" s="563">
        <f>IF(AT10=0,0,$G$23*'Rent Roll'!$E$7*'Rent Roll'!$C$11*'Rent Roll'!$C$17)</f>
        <v>2349</v>
      </c>
      <c r="AU23" s="344">
        <f>IF(AU10=0,0,$G$23*'Rent Roll'!$E$7*'Rent Roll'!$C$11*'Rent Roll'!$C$17)</f>
        <v>2349</v>
      </c>
      <c r="AV23" s="344">
        <f>IF(AV10=0,0,$G$23*'Rent Roll'!$E$7*'Rent Roll'!$C$11*'Rent Roll'!$C$17)</f>
        <v>2349</v>
      </c>
      <c r="AW23" s="344">
        <f>IF(AW10=0,0,$G$23*'Rent Roll'!$E$7*'Rent Roll'!$C$11*'Rent Roll'!$C$17)</f>
        <v>2349</v>
      </c>
      <c r="AX23" s="344">
        <f>IF(AX10=0,0,$G$23*'Rent Roll'!$E$7*'Rent Roll'!$C$11*'Rent Roll'!$C$17)</f>
        <v>2349</v>
      </c>
      <c r="AY23" s="344">
        <f>IF(AY10=0,0,$G$23*'Rent Roll'!$E$7*'Rent Roll'!$C$11*'Rent Roll'!$C$17)</f>
        <v>2349</v>
      </c>
      <c r="AZ23" s="344">
        <f>IF(AZ10=0,0,$G$23*'Rent Roll'!$E$7*'Rent Roll'!$C$11*'Rent Roll'!$C$17)</f>
        <v>2349</v>
      </c>
      <c r="BA23" s="344">
        <f>IF(BA10=0,0,$G$23*'Rent Roll'!$E$7*'Rent Roll'!$C$11*'Rent Roll'!$C$17)</f>
        <v>2349</v>
      </c>
      <c r="BB23" s="344">
        <f>IF(BB10=0,0,$G$23*'Rent Roll'!$E$7*'Rent Roll'!$C$11*'Rent Roll'!$C$17)</f>
        <v>2349</v>
      </c>
      <c r="BC23" s="344">
        <f>IF(BC10=0,0,$G$23*'Rent Roll'!$E$7*'Rent Roll'!$C$11*'Rent Roll'!$C$17)</f>
        <v>2349</v>
      </c>
      <c r="BD23" s="344">
        <f>IF(BD10=0,0,$G$23*'Rent Roll'!$E$7*'Rent Roll'!$C$11*'Rent Roll'!$C$17)</f>
        <v>2349</v>
      </c>
      <c r="BE23" s="344">
        <f>IF(BE10=0,0,$G$23*'Rent Roll'!$E$7*'Rent Roll'!$C$11*'Rent Roll'!$C$17)</f>
        <v>2349</v>
      </c>
      <c r="BF23" s="563">
        <f>IF(BF10=0,0,$G$23*'Rent Roll'!$E$7*'Rent Roll'!$C$11*'Rent Roll'!$C$17)</f>
        <v>2349</v>
      </c>
      <c r="BG23" s="344">
        <f>IF(BG10=0,0,$G$23*'Rent Roll'!$E$7*'Rent Roll'!$C$11*'Rent Roll'!$C$17)</f>
        <v>2349</v>
      </c>
      <c r="BH23" s="344">
        <f>IF(BH10=0,0,$G$23*'Rent Roll'!$E$7*'Rent Roll'!$C$11*'Rent Roll'!$C$17)</f>
        <v>2349</v>
      </c>
      <c r="BI23" s="344">
        <f>IF(BI10=0,0,$G$23*'Rent Roll'!$E$7*'Rent Roll'!$C$11*'Rent Roll'!$C$17)</f>
        <v>2349</v>
      </c>
      <c r="BJ23" s="344">
        <f>IF(BJ10=0,0,$G$23*'Rent Roll'!$E$7*'Rent Roll'!$C$11*'Rent Roll'!$C$17)</f>
        <v>2349</v>
      </c>
      <c r="BK23" s="344">
        <f>IF(BK10=0,0,$G$23*'Rent Roll'!$E$7*'Rent Roll'!$C$11*'Rent Roll'!$C$17)</f>
        <v>2349</v>
      </c>
      <c r="BL23" s="344">
        <f>IF(BL10=0,0,$G$23*'Rent Roll'!$E$7*'Rent Roll'!$C$11*'Rent Roll'!$C$17)</f>
        <v>2349</v>
      </c>
      <c r="BM23" s="344">
        <f>IF(BM10=0,0,$G$23*'Rent Roll'!$E$7*'Rent Roll'!$C$11*'Rent Roll'!$C$17)</f>
        <v>2349</v>
      </c>
      <c r="BN23" s="344">
        <f>IF(BN10=0,0,$G$23*'Rent Roll'!$E$7*'Rent Roll'!$C$11*'Rent Roll'!$C$17)</f>
        <v>2349</v>
      </c>
      <c r="BO23" s="344">
        <f>IF(BO10=0,0,$G$23*'Rent Roll'!$E$7*'Rent Roll'!$C$11*'Rent Roll'!$C$17)</f>
        <v>2349</v>
      </c>
      <c r="BP23" s="344">
        <f>IF(BP10=0,0,$G$23*'Rent Roll'!$E$7*'Rent Roll'!$C$11*'Rent Roll'!$C$17)</f>
        <v>2349</v>
      </c>
      <c r="BQ23" s="344">
        <f>IF(BQ10=0,0,$G$23*'Rent Roll'!$E$7*'Rent Roll'!$C$11*'Rent Roll'!$C$17)</f>
        <v>2349</v>
      </c>
      <c r="BR23" s="563">
        <f>IF(BR10=0,0,$G$23*'Rent Roll'!$E$7*'Rent Roll'!$C$11*'Rent Roll'!$C$17)</f>
        <v>2349</v>
      </c>
      <c r="BS23" s="344">
        <f>IF(BS10=0,0,$G$23*'Rent Roll'!$E$7*'Rent Roll'!$C$11*'Rent Roll'!$C$17)</f>
        <v>2349</v>
      </c>
      <c r="BT23" s="344">
        <f>IF(BT10=0,0,$G$23*'Rent Roll'!$E$7*'Rent Roll'!$C$11*'Rent Roll'!$C$17)</f>
        <v>2349</v>
      </c>
      <c r="BU23" s="344">
        <f>IF(BU10=0,0,$G$23*'Rent Roll'!$E$7*'Rent Roll'!$C$11*'Rent Roll'!$C$17)</f>
        <v>2349</v>
      </c>
      <c r="BV23" s="344">
        <f>IF(BV10=0,0,$G$23*'Rent Roll'!$E$7*'Rent Roll'!$C$11*'Rent Roll'!$C$17)</f>
        <v>2349</v>
      </c>
      <c r="BW23" s="344">
        <f>IF(BW10=0,0,$G$23*'Rent Roll'!$E$7*'Rent Roll'!$C$11*'Rent Roll'!$C$17)</f>
        <v>2349</v>
      </c>
      <c r="BX23" s="344">
        <f>IF(BX10=0,0,$G$23*'Rent Roll'!$E$7*'Rent Roll'!$C$11*'Rent Roll'!$C$17)</f>
        <v>2349</v>
      </c>
      <c r="BY23" s="344">
        <f>IF(BY10=0,0,$G$23*'Rent Roll'!$E$7*'Rent Roll'!$C$11*'Rent Roll'!$C$17)</f>
        <v>2349</v>
      </c>
      <c r="BZ23" s="344">
        <f>IF(BZ10=0,0,$G$23*'Rent Roll'!$E$7*'Rent Roll'!$C$11*'Rent Roll'!$C$17)</f>
        <v>2349</v>
      </c>
      <c r="CA23" s="344">
        <f>IF(CA10=0,0,$G$23*'Rent Roll'!$E$7*'Rent Roll'!$C$11*'Rent Roll'!$C$17)</f>
        <v>2349</v>
      </c>
      <c r="CB23" s="344">
        <f>IF(CB10=0,0,$G$23*'Rent Roll'!$E$7*'Rent Roll'!$C$11*'Rent Roll'!$C$17)</f>
        <v>2349</v>
      </c>
      <c r="CC23" s="344">
        <f>IF(CC10=0,0,$G$23*'Rent Roll'!$E$7*'Rent Roll'!$C$11*'Rent Roll'!$C$17)</f>
        <v>2349</v>
      </c>
      <c r="CD23" s="563">
        <f>IF(CD10=0,0,$G$23*'Rent Roll'!$E$7*'Rent Roll'!$C$11*'Rent Roll'!$C$17)</f>
        <v>2349</v>
      </c>
      <c r="CE23" s="344">
        <f>IF(CE10=0,0,$G$23*'Rent Roll'!$E$7*'Rent Roll'!$C$11*'Rent Roll'!$C$17)</f>
        <v>2349</v>
      </c>
      <c r="CF23" s="344">
        <f>IF(CF10=0,0,$G$23*'Rent Roll'!$E$7*'Rent Roll'!$C$11*'Rent Roll'!$C$17)</f>
        <v>2349</v>
      </c>
      <c r="CG23" s="344">
        <f>IF(CG10=0,0,$G$23*'Rent Roll'!$E$7*'Rent Roll'!$C$11*'Rent Roll'!$C$17)</f>
        <v>2349</v>
      </c>
      <c r="CH23" s="344">
        <f>IF(CH10=0,0,$G$23*'Rent Roll'!$E$7*'Rent Roll'!$C$11*'Rent Roll'!$C$17)</f>
        <v>2349</v>
      </c>
      <c r="CI23" s="344">
        <f>IF(CI10=0,0,$G$23*'Rent Roll'!$E$7*'Rent Roll'!$C$11*'Rent Roll'!$C$17)</f>
        <v>2349</v>
      </c>
      <c r="CJ23" s="344">
        <f>IF(CJ10=0,0,$G$23*'Rent Roll'!$E$7*'Rent Roll'!$C$11*'Rent Roll'!$C$17)</f>
        <v>2349</v>
      </c>
      <c r="CK23" s="344">
        <f>IF(CK10=0,0,$G$23*'Rent Roll'!$E$7*'Rent Roll'!$C$11*'Rent Roll'!$C$17)</f>
        <v>2349</v>
      </c>
      <c r="CL23" s="344">
        <f>IF(CL10=0,0,$G$23*'Rent Roll'!$E$7*'Rent Roll'!$C$11*'Rent Roll'!$C$17)</f>
        <v>2349</v>
      </c>
      <c r="CM23" s="344">
        <f>IF(CM10=0,0,$G$23*'Rent Roll'!$E$7*'Rent Roll'!$C$11*'Rent Roll'!$C$17)</f>
        <v>2349</v>
      </c>
      <c r="CN23" s="344">
        <f>IF(CN10=0,0,$G$23*'Rent Roll'!$E$7*'Rent Roll'!$C$11*'Rent Roll'!$C$17)</f>
        <v>2349</v>
      </c>
      <c r="CO23" s="344">
        <f>IF(CO10=0,0,$G$23*'Rent Roll'!$E$7*'Rent Roll'!$C$11*'Rent Roll'!$C$17)</f>
        <v>2349</v>
      </c>
      <c r="CP23" s="563">
        <f>IF(CP10=0,0,$G$23*'Rent Roll'!$E$7*'Rent Roll'!$C$11*'Rent Roll'!$C$17)</f>
        <v>2349</v>
      </c>
      <c r="CQ23" s="344">
        <f>IF(CQ10=0,0,$G$23*'Rent Roll'!$E$7*'Rent Roll'!$C$11*'Rent Roll'!$C$17)</f>
        <v>2349</v>
      </c>
      <c r="CR23" s="344">
        <f>IF(CR10=0,0,$G$23*'Rent Roll'!$E$7*'Rent Roll'!$C$11*'Rent Roll'!$C$17)</f>
        <v>2349</v>
      </c>
      <c r="CS23" s="344">
        <f>IF(CS10=0,0,$G$23*'Rent Roll'!$E$7*'Rent Roll'!$C$11*'Rent Roll'!$C$17)</f>
        <v>2349</v>
      </c>
      <c r="CT23" s="344">
        <f>IF(CT10=0,0,$G$23*'Rent Roll'!$E$7*'Rent Roll'!$C$11*'Rent Roll'!$C$17)</f>
        <v>2349</v>
      </c>
      <c r="CU23" s="344">
        <f>IF(CU10=0,0,$G$23*'Rent Roll'!$E$7*'Rent Roll'!$C$11*'Rent Roll'!$C$17)</f>
        <v>2349</v>
      </c>
      <c r="CV23" s="344">
        <f>IF(CV10=0,0,$G$23*'Rent Roll'!$E$7*'Rent Roll'!$C$11*'Rent Roll'!$C$17)</f>
        <v>2349</v>
      </c>
      <c r="CW23" s="344">
        <f>IF(CW10=0,0,$G$23*'Rent Roll'!$E$7*'Rent Roll'!$C$11*'Rent Roll'!$C$17)</f>
        <v>2349</v>
      </c>
      <c r="CX23" s="344">
        <f>IF(CX10=0,0,$G$23*'Rent Roll'!$E$7*'Rent Roll'!$C$11*'Rent Roll'!$C$17)</f>
        <v>2349</v>
      </c>
      <c r="CY23" s="344">
        <f>IF(CY10=0,0,$G$23*'Rent Roll'!$E$7*'Rent Roll'!$C$11*'Rent Roll'!$C$17)</f>
        <v>2349</v>
      </c>
      <c r="CZ23" s="344">
        <f>IF(CZ10=0,0,$G$23*'Rent Roll'!$E$7*'Rent Roll'!$C$11*'Rent Roll'!$C$17)</f>
        <v>2349</v>
      </c>
      <c r="DA23" s="344">
        <f>IF(DA10=0,0,$G$23*'Rent Roll'!$E$7*'Rent Roll'!$C$11*'Rent Roll'!$C$17)</f>
        <v>2349</v>
      </c>
      <c r="DB23" s="563">
        <f>IF(DB10=0,0,$G$23*'Rent Roll'!$E$7*'Rent Roll'!$C$11*'Rent Roll'!$C$17)</f>
        <v>2349</v>
      </c>
      <c r="DC23" s="344">
        <f>IF(DC10=0,0,$G$23*'Rent Roll'!$E$7*'Rent Roll'!$C$11*'Rent Roll'!$C$17)</f>
        <v>2349</v>
      </c>
      <c r="DD23" s="344">
        <f>IF(DD10=0,0,$G$23*'Rent Roll'!$E$7*'Rent Roll'!$C$11*'Rent Roll'!$C$17)</f>
        <v>2349</v>
      </c>
      <c r="DE23" s="344">
        <f>IF(DE10=0,0,$G$23*'Rent Roll'!$E$7*'Rent Roll'!$C$11*'Rent Roll'!$C$17)</f>
        <v>2349</v>
      </c>
      <c r="DF23" s="344">
        <f>IF(DF10=0,0,$G$23*'Rent Roll'!$E$7*'Rent Roll'!$C$11*'Rent Roll'!$C$17)</f>
        <v>2349</v>
      </c>
      <c r="DG23" s="344">
        <f>IF(DG10=0,0,$G$23*'Rent Roll'!$E$7*'Rent Roll'!$C$11*'Rent Roll'!$C$17)</f>
        <v>2349</v>
      </c>
      <c r="DH23" s="344">
        <f>IF(DH10=0,0,$G$23*'Rent Roll'!$E$7*'Rent Roll'!$C$11*'Rent Roll'!$C$17)</f>
        <v>2349</v>
      </c>
      <c r="DI23" s="344">
        <f>IF(DI10=0,0,$G$23*'Rent Roll'!$E$7*'Rent Roll'!$C$11*'Rent Roll'!$C$17)</f>
        <v>2349</v>
      </c>
      <c r="DJ23" s="344">
        <f>IF(DJ10=0,0,$G$23*'Rent Roll'!$E$7*'Rent Roll'!$C$11*'Rent Roll'!$C$17)</f>
        <v>2349</v>
      </c>
      <c r="DK23" s="344">
        <f>IF(DK10=0,0,$G$23*'Rent Roll'!$E$7*'Rent Roll'!$C$11*'Rent Roll'!$C$17)</f>
        <v>2349</v>
      </c>
      <c r="DL23" s="344">
        <f>IF(DL10=0,0,$G$23*'Rent Roll'!$E$7*'Rent Roll'!$C$11*'Rent Roll'!$C$17)</f>
        <v>2349</v>
      </c>
      <c r="DM23" s="344">
        <f>IF(DM10=0,0,$G$23*'Rent Roll'!$E$7*'Rent Roll'!$C$11*'Rent Roll'!$C$17)</f>
        <v>2349</v>
      </c>
      <c r="DN23" s="344">
        <f>IF(DN10=0,0,$G$23*'Rent Roll'!$E$7*'Rent Roll'!$C$11*'Rent Roll'!$C$17)</f>
        <v>2349</v>
      </c>
      <c r="DO23" s="342"/>
      <c r="DP23" s="344">
        <f t="shared" si="20"/>
        <v>225504</v>
      </c>
    </row>
    <row r="24" spans="3:120" x14ac:dyDescent="0.3">
      <c r="C24" s="331" t="str">
        <f>'Table 3.0'!C52</f>
        <v>SUB-TOTAL</v>
      </c>
      <c r="J24" s="340"/>
      <c r="K24" s="340">
        <f>SUM(K19:K23)</f>
        <v>0</v>
      </c>
      <c r="L24" s="340">
        <f t="shared" ref="L24:BW24" si="23">SUM(L19:L23)</f>
        <v>0</v>
      </c>
      <c r="M24" s="340">
        <f t="shared" si="23"/>
        <v>0</v>
      </c>
      <c r="N24" s="340">
        <f t="shared" si="23"/>
        <v>0</v>
      </c>
      <c r="O24" s="340">
        <f t="shared" si="23"/>
        <v>0</v>
      </c>
      <c r="P24" s="340">
        <f t="shared" si="23"/>
        <v>0</v>
      </c>
      <c r="Q24" s="340">
        <f t="shared" si="23"/>
        <v>0</v>
      </c>
      <c r="R24" s="340">
        <f t="shared" si="23"/>
        <v>0</v>
      </c>
      <c r="S24" s="340">
        <f t="shared" si="23"/>
        <v>0</v>
      </c>
      <c r="T24" s="340">
        <f t="shared" si="23"/>
        <v>0</v>
      </c>
      <c r="U24" s="340">
        <f t="shared" si="23"/>
        <v>0</v>
      </c>
      <c r="V24" s="562">
        <f t="shared" si="23"/>
        <v>0</v>
      </c>
      <c r="W24" s="340">
        <f t="shared" si="23"/>
        <v>8673.5</v>
      </c>
      <c r="X24" s="340">
        <f t="shared" si="23"/>
        <v>8523.5</v>
      </c>
      <c r="Y24" s="340">
        <f t="shared" si="23"/>
        <v>8673.5</v>
      </c>
      <c r="Z24" s="340">
        <f t="shared" si="23"/>
        <v>8673.5</v>
      </c>
      <c r="AA24" s="340">
        <f t="shared" si="23"/>
        <v>8523.5</v>
      </c>
      <c r="AB24" s="340">
        <f t="shared" si="23"/>
        <v>8673.5</v>
      </c>
      <c r="AC24" s="340">
        <f t="shared" si="23"/>
        <v>8523.5</v>
      </c>
      <c r="AD24" s="340">
        <f t="shared" si="23"/>
        <v>8673.5</v>
      </c>
      <c r="AE24" s="340">
        <f t="shared" si="23"/>
        <v>8673.5</v>
      </c>
      <c r="AF24" s="340">
        <f t="shared" si="23"/>
        <v>8223.5</v>
      </c>
      <c r="AG24" s="340">
        <f t="shared" si="23"/>
        <v>8673.5</v>
      </c>
      <c r="AH24" s="562">
        <f t="shared" si="23"/>
        <v>8523.5</v>
      </c>
      <c r="AI24" s="340">
        <f t="shared" si="23"/>
        <v>8673.5</v>
      </c>
      <c r="AJ24" s="340">
        <f t="shared" si="23"/>
        <v>8523.5</v>
      </c>
      <c r="AK24" s="340">
        <f t="shared" si="23"/>
        <v>8673.5</v>
      </c>
      <c r="AL24" s="340">
        <f t="shared" si="23"/>
        <v>8673.5</v>
      </c>
      <c r="AM24" s="340">
        <f t="shared" si="23"/>
        <v>8523.5</v>
      </c>
      <c r="AN24" s="340">
        <f t="shared" si="23"/>
        <v>8673.5</v>
      </c>
      <c r="AO24" s="340">
        <f t="shared" si="23"/>
        <v>8523.5</v>
      </c>
      <c r="AP24" s="340">
        <f t="shared" si="23"/>
        <v>8673.5</v>
      </c>
      <c r="AQ24" s="340">
        <f t="shared" si="23"/>
        <v>8673.5</v>
      </c>
      <c r="AR24" s="340">
        <f t="shared" si="23"/>
        <v>8223.5</v>
      </c>
      <c r="AS24" s="340">
        <f t="shared" si="23"/>
        <v>8673.5</v>
      </c>
      <c r="AT24" s="562">
        <f t="shared" si="23"/>
        <v>8523.5</v>
      </c>
      <c r="AU24" s="340">
        <f t="shared" si="23"/>
        <v>8673.5</v>
      </c>
      <c r="AV24" s="340">
        <f t="shared" si="23"/>
        <v>8523.5</v>
      </c>
      <c r="AW24" s="340">
        <f t="shared" si="23"/>
        <v>8673.5</v>
      </c>
      <c r="AX24" s="340">
        <f t="shared" si="23"/>
        <v>8673.5</v>
      </c>
      <c r="AY24" s="340">
        <f t="shared" si="23"/>
        <v>8523.5</v>
      </c>
      <c r="AZ24" s="340">
        <f t="shared" si="23"/>
        <v>8673.5</v>
      </c>
      <c r="BA24" s="340">
        <f t="shared" si="23"/>
        <v>8523.5</v>
      </c>
      <c r="BB24" s="340">
        <f t="shared" si="23"/>
        <v>8673.5</v>
      </c>
      <c r="BC24" s="340">
        <f t="shared" si="23"/>
        <v>8673.5</v>
      </c>
      <c r="BD24" s="340">
        <f t="shared" si="23"/>
        <v>8373.5</v>
      </c>
      <c r="BE24" s="340">
        <f t="shared" si="23"/>
        <v>8673.5</v>
      </c>
      <c r="BF24" s="562">
        <f t="shared" si="23"/>
        <v>8523.5</v>
      </c>
      <c r="BG24" s="340">
        <f t="shared" si="23"/>
        <v>8673.5</v>
      </c>
      <c r="BH24" s="340">
        <f t="shared" si="23"/>
        <v>8523.5</v>
      </c>
      <c r="BI24" s="340">
        <f t="shared" si="23"/>
        <v>8673.5</v>
      </c>
      <c r="BJ24" s="340">
        <f t="shared" si="23"/>
        <v>8673.5</v>
      </c>
      <c r="BK24" s="340">
        <f t="shared" si="23"/>
        <v>8523.5</v>
      </c>
      <c r="BL24" s="340">
        <f t="shared" si="23"/>
        <v>8673.5</v>
      </c>
      <c r="BM24" s="340">
        <f t="shared" si="23"/>
        <v>8523.5</v>
      </c>
      <c r="BN24" s="340">
        <f t="shared" si="23"/>
        <v>8673.5</v>
      </c>
      <c r="BO24" s="340">
        <f t="shared" si="23"/>
        <v>8673.5</v>
      </c>
      <c r="BP24" s="340">
        <f t="shared" si="23"/>
        <v>8223.5</v>
      </c>
      <c r="BQ24" s="340">
        <f t="shared" si="23"/>
        <v>8673.5</v>
      </c>
      <c r="BR24" s="562">
        <f t="shared" si="23"/>
        <v>8523.5</v>
      </c>
      <c r="BS24" s="340">
        <f t="shared" si="23"/>
        <v>8673.5</v>
      </c>
      <c r="BT24" s="340">
        <f t="shared" si="23"/>
        <v>8523.5</v>
      </c>
      <c r="BU24" s="340">
        <f t="shared" si="23"/>
        <v>8673.5</v>
      </c>
      <c r="BV24" s="340">
        <f t="shared" si="23"/>
        <v>8673.5</v>
      </c>
      <c r="BW24" s="340">
        <f t="shared" si="23"/>
        <v>8523.5</v>
      </c>
      <c r="BX24" s="340">
        <f t="shared" ref="BX24:DN24" si="24">SUM(BX19:BX23)</f>
        <v>8673.5</v>
      </c>
      <c r="BY24" s="340">
        <f t="shared" si="24"/>
        <v>8523.5</v>
      </c>
      <c r="BZ24" s="340">
        <f t="shared" si="24"/>
        <v>8673.5</v>
      </c>
      <c r="CA24" s="340">
        <f t="shared" si="24"/>
        <v>8673.5</v>
      </c>
      <c r="CB24" s="340">
        <f t="shared" si="24"/>
        <v>8223.5</v>
      </c>
      <c r="CC24" s="340">
        <f t="shared" si="24"/>
        <v>8673.5</v>
      </c>
      <c r="CD24" s="562">
        <f t="shared" si="24"/>
        <v>8523.5</v>
      </c>
      <c r="CE24" s="340">
        <f t="shared" si="24"/>
        <v>8673.5</v>
      </c>
      <c r="CF24" s="340">
        <f t="shared" si="24"/>
        <v>8523.5</v>
      </c>
      <c r="CG24" s="340">
        <f t="shared" si="24"/>
        <v>8673.5</v>
      </c>
      <c r="CH24" s="340">
        <f t="shared" si="24"/>
        <v>8673.5</v>
      </c>
      <c r="CI24" s="340">
        <f t="shared" si="24"/>
        <v>8523.5</v>
      </c>
      <c r="CJ24" s="340">
        <f t="shared" si="24"/>
        <v>8673.5</v>
      </c>
      <c r="CK24" s="340">
        <f t="shared" si="24"/>
        <v>8523.5</v>
      </c>
      <c r="CL24" s="340">
        <f t="shared" si="24"/>
        <v>8673.5</v>
      </c>
      <c r="CM24" s="340">
        <f t="shared" si="24"/>
        <v>8673.5</v>
      </c>
      <c r="CN24" s="340">
        <f t="shared" si="24"/>
        <v>8223.5</v>
      </c>
      <c r="CO24" s="340">
        <f t="shared" si="24"/>
        <v>8673.5</v>
      </c>
      <c r="CP24" s="562">
        <f t="shared" si="24"/>
        <v>8523.5</v>
      </c>
      <c r="CQ24" s="340">
        <f t="shared" si="24"/>
        <v>8673.5</v>
      </c>
      <c r="CR24" s="340">
        <f t="shared" si="24"/>
        <v>8523.5</v>
      </c>
      <c r="CS24" s="340">
        <f t="shared" si="24"/>
        <v>8673.5</v>
      </c>
      <c r="CT24" s="340">
        <f t="shared" si="24"/>
        <v>8673.5</v>
      </c>
      <c r="CU24" s="340">
        <f t="shared" si="24"/>
        <v>8523.5</v>
      </c>
      <c r="CV24" s="340">
        <f t="shared" si="24"/>
        <v>8673.5</v>
      </c>
      <c r="CW24" s="340">
        <f t="shared" si="24"/>
        <v>8523.5</v>
      </c>
      <c r="CX24" s="340">
        <f t="shared" si="24"/>
        <v>8673.5</v>
      </c>
      <c r="CY24" s="340">
        <f t="shared" si="24"/>
        <v>8673.5</v>
      </c>
      <c r="CZ24" s="340">
        <f t="shared" si="24"/>
        <v>8223.5</v>
      </c>
      <c r="DA24" s="340">
        <f t="shared" si="24"/>
        <v>8673.5</v>
      </c>
      <c r="DB24" s="562">
        <f t="shared" si="24"/>
        <v>8523.5</v>
      </c>
      <c r="DC24" s="340">
        <f t="shared" si="24"/>
        <v>8673.5</v>
      </c>
      <c r="DD24" s="340">
        <f t="shared" si="24"/>
        <v>8523.5</v>
      </c>
      <c r="DE24" s="340">
        <f t="shared" si="24"/>
        <v>8673.5</v>
      </c>
      <c r="DF24" s="340">
        <f t="shared" si="24"/>
        <v>8673.5</v>
      </c>
      <c r="DG24" s="340">
        <f t="shared" si="24"/>
        <v>8523.5</v>
      </c>
      <c r="DH24" s="340">
        <f t="shared" si="24"/>
        <v>8673.5</v>
      </c>
      <c r="DI24" s="340">
        <f t="shared" si="24"/>
        <v>8523.5</v>
      </c>
      <c r="DJ24" s="340">
        <f t="shared" si="24"/>
        <v>8673.5</v>
      </c>
      <c r="DK24" s="340">
        <f t="shared" si="24"/>
        <v>8673.5</v>
      </c>
      <c r="DL24" s="340">
        <f t="shared" si="24"/>
        <v>8223.5</v>
      </c>
      <c r="DM24" s="340">
        <f t="shared" si="24"/>
        <v>8673.5</v>
      </c>
      <c r="DN24" s="340">
        <f t="shared" si="24"/>
        <v>8523.5</v>
      </c>
      <c r="DO24" s="340"/>
      <c r="DP24" s="340">
        <f t="shared" si="20"/>
        <v>824406</v>
      </c>
    </row>
    <row r="25" spans="3:120" x14ac:dyDescent="0.3">
      <c r="V25" s="561"/>
      <c r="AH25" s="561"/>
      <c r="AT25" s="561"/>
      <c r="BF25" s="561"/>
      <c r="BR25" s="561"/>
      <c r="CD25" s="561"/>
      <c r="CP25" s="561"/>
      <c r="DB25" s="561"/>
      <c r="DP25" s="340"/>
    </row>
    <row r="26" spans="3:120" x14ac:dyDescent="0.3">
      <c r="C26" s="747" t="str">
        <f>'Table 3.0'!C54</f>
        <v>EFFECTIVE GROSS REVENUE</v>
      </c>
      <c r="D26" s="747"/>
      <c r="E26" s="747"/>
      <c r="F26" s="747"/>
      <c r="G26" s="747"/>
      <c r="H26" s="747"/>
      <c r="I26" s="747"/>
      <c r="J26" s="748"/>
      <c r="K26" s="748">
        <f t="shared" ref="K26:AO26" si="25">K24+K16</f>
        <v>0</v>
      </c>
      <c r="L26" s="748">
        <f t="shared" si="25"/>
        <v>0</v>
      </c>
      <c r="M26" s="748">
        <f t="shared" si="25"/>
        <v>0</v>
      </c>
      <c r="N26" s="748">
        <f t="shared" si="25"/>
        <v>0</v>
      </c>
      <c r="O26" s="748">
        <f t="shared" si="25"/>
        <v>0</v>
      </c>
      <c r="P26" s="748">
        <f t="shared" si="25"/>
        <v>0</v>
      </c>
      <c r="Q26" s="748">
        <f t="shared" si="25"/>
        <v>0</v>
      </c>
      <c r="R26" s="748">
        <f t="shared" si="25"/>
        <v>0</v>
      </c>
      <c r="S26" s="748">
        <f t="shared" si="25"/>
        <v>0</v>
      </c>
      <c r="T26" s="748">
        <f t="shared" si="25"/>
        <v>0</v>
      </c>
      <c r="U26" s="748">
        <f t="shared" si="25"/>
        <v>0</v>
      </c>
      <c r="V26" s="749">
        <f t="shared" si="25"/>
        <v>0</v>
      </c>
      <c r="W26" s="748">
        <f t="shared" si="25"/>
        <v>60605.5</v>
      </c>
      <c r="X26" s="748">
        <f t="shared" si="25"/>
        <v>63003.5</v>
      </c>
      <c r="Y26" s="748">
        <f t="shared" si="25"/>
        <v>66521.5</v>
      </c>
      <c r="Z26" s="748">
        <f t="shared" si="25"/>
        <v>66521.5</v>
      </c>
      <c r="AA26" s="748">
        <f t="shared" si="25"/>
        <v>64482.5</v>
      </c>
      <c r="AB26" s="748">
        <f t="shared" si="25"/>
        <v>63563.5</v>
      </c>
      <c r="AC26" s="748">
        <f t="shared" si="25"/>
        <v>60045.5</v>
      </c>
      <c r="AD26" s="748">
        <f t="shared" si="25"/>
        <v>57647.5</v>
      </c>
      <c r="AE26" s="748">
        <f t="shared" si="25"/>
        <v>54689.5</v>
      </c>
      <c r="AF26" s="748">
        <f t="shared" si="25"/>
        <v>53009.5</v>
      </c>
      <c r="AG26" s="748">
        <f t="shared" si="25"/>
        <v>57647.5</v>
      </c>
      <c r="AH26" s="749">
        <f t="shared" si="25"/>
        <v>58566.5</v>
      </c>
      <c r="AI26" s="748">
        <f t="shared" si="25"/>
        <v>62438.5</v>
      </c>
      <c r="AJ26" s="748">
        <f t="shared" si="25"/>
        <v>64923.5</v>
      </c>
      <c r="AK26" s="748">
        <f t="shared" si="25"/>
        <v>68528.5</v>
      </c>
      <c r="AL26" s="748">
        <f t="shared" si="25"/>
        <v>68528.5</v>
      </c>
      <c r="AM26" s="748">
        <f t="shared" si="25"/>
        <v>66446</v>
      </c>
      <c r="AN26" s="748">
        <f t="shared" si="25"/>
        <v>65483.5</v>
      </c>
      <c r="AO26" s="748">
        <f t="shared" si="25"/>
        <v>61878.5</v>
      </c>
      <c r="AP26" s="748">
        <f t="shared" ref="AP26:BU26" si="26">AP24+AP16</f>
        <v>59393.5</v>
      </c>
      <c r="AQ26" s="748">
        <f t="shared" si="26"/>
        <v>56348.5</v>
      </c>
      <c r="AR26" s="748">
        <f t="shared" si="26"/>
        <v>54668.5</v>
      </c>
      <c r="AS26" s="748">
        <f t="shared" si="26"/>
        <v>59393.5</v>
      </c>
      <c r="AT26" s="749">
        <f t="shared" si="26"/>
        <v>60356</v>
      </c>
      <c r="AU26" s="748">
        <f t="shared" si="26"/>
        <v>64271.5</v>
      </c>
      <c r="AV26" s="748">
        <f t="shared" si="26"/>
        <v>66843.5</v>
      </c>
      <c r="AW26" s="748">
        <f t="shared" si="26"/>
        <v>70535.5</v>
      </c>
      <c r="AX26" s="748">
        <f t="shared" si="26"/>
        <v>70535.5</v>
      </c>
      <c r="AY26" s="748">
        <f t="shared" si="26"/>
        <v>68409.5</v>
      </c>
      <c r="AZ26" s="748">
        <f t="shared" si="26"/>
        <v>67403.5</v>
      </c>
      <c r="BA26" s="748">
        <f t="shared" si="26"/>
        <v>63711.5</v>
      </c>
      <c r="BB26" s="748">
        <f t="shared" si="26"/>
        <v>61139.5</v>
      </c>
      <c r="BC26" s="748">
        <f t="shared" si="26"/>
        <v>58007.5</v>
      </c>
      <c r="BD26" s="748">
        <f t="shared" si="26"/>
        <v>56887.5</v>
      </c>
      <c r="BE26" s="748">
        <f t="shared" si="26"/>
        <v>61139.5</v>
      </c>
      <c r="BF26" s="749">
        <f t="shared" si="26"/>
        <v>62145.5</v>
      </c>
      <c r="BG26" s="748">
        <f t="shared" si="26"/>
        <v>66104.5</v>
      </c>
      <c r="BH26" s="748">
        <f t="shared" si="26"/>
        <v>68763.5</v>
      </c>
      <c r="BI26" s="748">
        <f t="shared" si="26"/>
        <v>72542.5</v>
      </c>
      <c r="BJ26" s="748">
        <f t="shared" si="26"/>
        <v>72542.5</v>
      </c>
      <c r="BK26" s="748">
        <f t="shared" si="26"/>
        <v>70373</v>
      </c>
      <c r="BL26" s="748">
        <f t="shared" si="26"/>
        <v>69323.5</v>
      </c>
      <c r="BM26" s="748">
        <f t="shared" si="26"/>
        <v>65544.5</v>
      </c>
      <c r="BN26" s="748">
        <f t="shared" si="26"/>
        <v>62885.5</v>
      </c>
      <c r="BO26" s="748">
        <f t="shared" si="26"/>
        <v>59666.5</v>
      </c>
      <c r="BP26" s="748">
        <f t="shared" si="26"/>
        <v>57986.5</v>
      </c>
      <c r="BQ26" s="748">
        <f t="shared" si="26"/>
        <v>62885.5</v>
      </c>
      <c r="BR26" s="749">
        <f t="shared" si="26"/>
        <v>63935</v>
      </c>
      <c r="BS26" s="748">
        <f t="shared" si="26"/>
        <v>67937.5</v>
      </c>
      <c r="BT26" s="748">
        <f t="shared" si="26"/>
        <v>70683.5</v>
      </c>
      <c r="BU26" s="748">
        <f t="shared" si="26"/>
        <v>74549.5</v>
      </c>
      <c r="BV26" s="748">
        <f t="shared" ref="BV26:DA26" si="27">BV24+BV16</f>
        <v>74549.5</v>
      </c>
      <c r="BW26" s="748">
        <f t="shared" si="27"/>
        <v>72336.5</v>
      </c>
      <c r="BX26" s="748">
        <f t="shared" si="27"/>
        <v>71243.5</v>
      </c>
      <c r="BY26" s="748">
        <f t="shared" si="27"/>
        <v>67377.5</v>
      </c>
      <c r="BZ26" s="748">
        <f t="shared" si="27"/>
        <v>64631.5</v>
      </c>
      <c r="CA26" s="748">
        <f t="shared" si="27"/>
        <v>61325.5</v>
      </c>
      <c r="CB26" s="748">
        <f t="shared" si="27"/>
        <v>59645.5</v>
      </c>
      <c r="CC26" s="748">
        <f t="shared" si="27"/>
        <v>64631.5</v>
      </c>
      <c r="CD26" s="749">
        <f t="shared" si="27"/>
        <v>65724.5</v>
      </c>
      <c r="CE26" s="748">
        <f t="shared" si="27"/>
        <v>69770.5</v>
      </c>
      <c r="CF26" s="748">
        <f t="shared" si="27"/>
        <v>72603.5</v>
      </c>
      <c r="CG26" s="748">
        <f t="shared" si="27"/>
        <v>76556.5</v>
      </c>
      <c r="CH26" s="748">
        <f t="shared" si="27"/>
        <v>76556.5</v>
      </c>
      <c r="CI26" s="748">
        <f t="shared" si="27"/>
        <v>74300</v>
      </c>
      <c r="CJ26" s="748">
        <f t="shared" si="27"/>
        <v>73163.5</v>
      </c>
      <c r="CK26" s="748">
        <f t="shared" si="27"/>
        <v>69210.5</v>
      </c>
      <c r="CL26" s="748">
        <f t="shared" si="27"/>
        <v>66377.5</v>
      </c>
      <c r="CM26" s="748">
        <f t="shared" si="27"/>
        <v>62984.5</v>
      </c>
      <c r="CN26" s="748">
        <f t="shared" si="27"/>
        <v>61304.5</v>
      </c>
      <c r="CO26" s="748">
        <f t="shared" si="27"/>
        <v>66377.5</v>
      </c>
      <c r="CP26" s="749">
        <f t="shared" si="27"/>
        <v>67514</v>
      </c>
      <c r="CQ26" s="748">
        <f t="shared" si="27"/>
        <v>71603.5</v>
      </c>
      <c r="CR26" s="748">
        <f t="shared" si="27"/>
        <v>74523.5</v>
      </c>
      <c r="CS26" s="748">
        <f t="shared" si="27"/>
        <v>78563.5</v>
      </c>
      <c r="CT26" s="748">
        <f t="shared" si="27"/>
        <v>78563.5</v>
      </c>
      <c r="CU26" s="748">
        <f t="shared" si="27"/>
        <v>76263.5</v>
      </c>
      <c r="CV26" s="748">
        <f t="shared" si="27"/>
        <v>75083.5</v>
      </c>
      <c r="CW26" s="748">
        <f t="shared" si="27"/>
        <v>71043.5</v>
      </c>
      <c r="CX26" s="748">
        <f t="shared" si="27"/>
        <v>68123.5</v>
      </c>
      <c r="CY26" s="748">
        <f t="shared" si="27"/>
        <v>64643.5</v>
      </c>
      <c r="CZ26" s="748">
        <f t="shared" si="27"/>
        <v>62963.5</v>
      </c>
      <c r="DA26" s="748">
        <f t="shared" si="27"/>
        <v>68123.5</v>
      </c>
      <c r="DB26" s="749">
        <f t="shared" ref="DB26:DN26" si="28">DB24+DB16</f>
        <v>69303.5</v>
      </c>
      <c r="DC26" s="748">
        <f t="shared" si="28"/>
        <v>73436.5</v>
      </c>
      <c r="DD26" s="748">
        <f t="shared" si="28"/>
        <v>76443.5</v>
      </c>
      <c r="DE26" s="748">
        <f t="shared" si="28"/>
        <v>80570.5</v>
      </c>
      <c r="DF26" s="748">
        <f t="shared" si="28"/>
        <v>80570.5</v>
      </c>
      <c r="DG26" s="748">
        <f t="shared" si="28"/>
        <v>78227</v>
      </c>
      <c r="DH26" s="748">
        <f t="shared" si="28"/>
        <v>77003.5</v>
      </c>
      <c r="DI26" s="748">
        <f t="shared" si="28"/>
        <v>72876.5</v>
      </c>
      <c r="DJ26" s="748">
        <f t="shared" si="28"/>
        <v>69869.5</v>
      </c>
      <c r="DK26" s="748">
        <f t="shared" si="28"/>
        <v>66302.5</v>
      </c>
      <c r="DL26" s="748">
        <f t="shared" si="28"/>
        <v>64622.5</v>
      </c>
      <c r="DM26" s="748">
        <f t="shared" si="28"/>
        <v>69869.5</v>
      </c>
      <c r="DN26" s="748">
        <f t="shared" si="28"/>
        <v>71093</v>
      </c>
      <c r="DO26" s="748"/>
      <c r="DP26" s="748">
        <f>SUM(J26:DJ26)</f>
        <v>6157428.5</v>
      </c>
    </row>
    <row r="27" spans="3:120" x14ac:dyDescent="0.3">
      <c r="V27" s="561"/>
      <c r="AH27" s="561"/>
      <c r="AT27" s="561"/>
      <c r="BF27" s="561"/>
      <c r="BR27" s="561"/>
      <c r="CD27" s="561"/>
      <c r="CP27" s="561"/>
      <c r="DB27" s="561"/>
      <c r="DP27" s="340"/>
    </row>
    <row r="28" spans="3:120" x14ac:dyDescent="0.3">
      <c r="C28" s="331" t="str">
        <f>'Table 3.0'!C56</f>
        <v>DEPARTMENTAL EXPENSES</v>
      </c>
      <c r="V28" s="561"/>
      <c r="AH28" s="561"/>
      <c r="AT28" s="561"/>
      <c r="BF28" s="561"/>
      <c r="BR28" s="561"/>
      <c r="CD28" s="561"/>
      <c r="CP28" s="561"/>
      <c r="DB28" s="561"/>
      <c r="DP28" s="340"/>
    </row>
    <row r="29" spans="3:120" x14ac:dyDescent="0.3">
      <c r="D29" s="331" t="str">
        <f>'Table 3.0'!D57</f>
        <v>Labor</v>
      </c>
      <c r="V29" s="561"/>
      <c r="AH29" s="561"/>
      <c r="AT29" s="561"/>
      <c r="BF29" s="561"/>
      <c r="BR29" s="561"/>
      <c r="CD29" s="561"/>
      <c r="CP29" s="561"/>
      <c r="DB29" s="561"/>
      <c r="DP29" s="340"/>
    </row>
    <row r="30" spans="3:120" x14ac:dyDescent="0.3">
      <c r="E30" s="331" t="str">
        <f>'Table 3.0'!E58</f>
        <v>Salaries &amp; Wages</v>
      </c>
      <c r="V30" s="561"/>
      <c r="AH30" s="561"/>
      <c r="AT30" s="561"/>
      <c r="BF30" s="561"/>
      <c r="BR30" s="561"/>
      <c r="CD30" s="561"/>
      <c r="CP30" s="561"/>
      <c r="DB30" s="561"/>
      <c r="DP30" s="340"/>
    </row>
    <row r="31" spans="3:120" x14ac:dyDescent="0.3">
      <c r="F31" s="331" t="str">
        <f>'Table 3.0'!F59</f>
        <v>Community Manager</v>
      </c>
      <c r="G31" s="936">
        <f>'Table 3.0'!G59</f>
        <v>0.03</v>
      </c>
      <c r="H31" s="942" t="str">
        <f>'Table 3.0'!H59</f>
        <v>YoY Growth</v>
      </c>
      <c r="K31" s="340"/>
      <c r="L31" s="340"/>
      <c r="M31" s="340"/>
      <c r="N31" s="340"/>
      <c r="O31" s="340"/>
      <c r="P31" s="340"/>
      <c r="Q31" s="340"/>
      <c r="R31" s="340"/>
      <c r="S31" s="340"/>
      <c r="T31" s="340"/>
      <c r="U31" s="340"/>
      <c r="V31" s="562"/>
      <c r="W31" s="340">
        <f>Labor!$H$18/12</f>
        <v>5416.666666666667</v>
      </c>
      <c r="X31" s="340">
        <f>Labor!$H$18/12</f>
        <v>5416.666666666667</v>
      </c>
      <c r="Y31" s="340">
        <f>Labor!$H$18/12</f>
        <v>5416.666666666667</v>
      </c>
      <c r="Z31" s="340">
        <f>Labor!$H$18/12</f>
        <v>5416.666666666667</v>
      </c>
      <c r="AA31" s="340">
        <f>Labor!$H$18/12</f>
        <v>5416.666666666667</v>
      </c>
      <c r="AB31" s="340">
        <f>Labor!$H$18/12</f>
        <v>5416.666666666667</v>
      </c>
      <c r="AC31" s="340">
        <f>Labor!$H$18/12</f>
        <v>5416.666666666667</v>
      </c>
      <c r="AD31" s="340">
        <f>Labor!$H$18/12</f>
        <v>5416.666666666667</v>
      </c>
      <c r="AE31" s="340">
        <f>Labor!$H$18/12</f>
        <v>5416.666666666667</v>
      </c>
      <c r="AF31" s="340">
        <f>Labor!$H$18/12</f>
        <v>5416.666666666667</v>
      </c>
      <c r="AG31" s="340">
        <f>Labor!$H$18/12</f>
        <v>5416.666666666667</v>
      </c>
      <c r="AH31" s="562">
        <f>Labor!$H$18/12</f>
        <v>5416.666666666667</v>
      </c>
      <c r="AI31" s="340">
        <f>Labor!$H$18/12*(1+$G$31)</f>
        <v>5579.166666666667</v>
      </c>
      <c r="AJ31" s="340">
        <f>Labor!$H$18/12*(1+$G$31)</f>
        <v>5579.166666666667</v>
      </c>
      <c r="AK31" s="340">
        <f>Labor!$H$18/12*(1+$G$31)</f>
        <v>5579.166666666667</v>
      </c>
      <c r="AL31" s="340">
        <f>Labor!$H$18/12*(1+$G$31)</f>
        <v>5579.166666666667</v>
      </c>
      <c r="AM31" s="340">
        <f>Labor!$H$18/12*(1+$G$31)</f>
        <v>5579.166666666667</v>
      </c>
      <c r="AN31" s="340">
        <f>Labor!$H$18/12*(1+$G$31)</f>
        <v>5579.166666666667</v>
      </c>
      <c r="AO31" s="340">
        <f>Labor!$H$18/12*(1+$G$31)</f>
        <v>5579.166666666667</v>
      </c>
      <c r="AP31" s="340">
        <f>Labor!$H$18/12*(1+$G$31)</f>
        <v>5579.166666666667</v>
      </c>
      <c r="AQ31" s="340">
        <f>Labor!$H$18/12*(1+$G$31)</f>
        <v>5579.166666666667</v>
      </c>
      <c r="AR31" s="340">
        <f>Labor!$H$18/12*(1+$G$31)</f>
        <v>5579.166666666667</v>
      </c>
      <c r="AS31" s="340">
        <f>Labor!$H$18/12*(1+$G$31)</f>
        <v>5579.166666666667</v>
      </c>
      <c r="AT31" s="562">
        <f>Labor!$H$18/12*(1+$G$31)</f>
        <v>5579.166666666667</v>
      </c>
      <c r="AU31" s="340">
        <f>Labor!$H$18/12*(1+$G$31)^2</f>
        <v>5746.541666666667</v>
      </c>
      <c r="AV31" s="340">
        <f>Labor!$H$18/12*(1+$G$31)^2</f>
        <v>5746.541666666667</v>
      </c>
      <c r="AW31" s="340">
        <f>Labor!$H$18/12*(1+$G$31)^2</f>
        <v>5746.541666666667</v>
      </c>
      <c r="AX31" s="340">
        <f>Labor!$H$18/12*(1+$G$31)^2</f>
        <v>5746.541666666667</v>
      </c>
      <c r="AY31" s="340">
        <f>Labor!$H$18/12*(1+$G$31)^2</f>
        <v>5746.541666666667</v>
      </c>
      <c r="AZ31" s="340">
        <f>Labor!$H$18/12*(1+$G$31)^2</f>
        <v>5746.541666666667</v>
      </c>
      <c r="BA31" s="340">
        <f>Labor!$H$18/12*(1+$G$31)^2</f>
        <v>5746.541666666667</v>
      </c>
      <c r="BB31" s="340">
        <f>Labor!$H$18/12*(1+$G$31)^2</f>
        <v>5746.541666666667</v>
      </c>
      <c r="BC31" s="340">
        <f>Labor!$H$18/12*(1+$G$31)^2</f>
        <v>5746.541666666667</v>
      </c>
      <c r="BD31" s="340">
        <f>Labor!$H$18/12*(1+$G$31)^2</f>
        <v>5746.541666666667</v>
      </c>
      <c r="BE31" s="340">
        <f>Labor!$H$18/12*(1+$G$31)^2</f>
        <v>5746.541666666667</v>
      </c>
      <c r="BF31" s="562">
        <f>Labor!$H$18/12*(1+$G$31)^2</f>
        <v>5746.541666666667</v>
      </c>
      <c r="BG31" s="340">
        <f>Labor!$H$18/12*(1+$G$31)^3</f>
        <v>5918.9379166666668</v>
      </c>
      <c r="BH31" s="340">
        <f>Labor!$H$18/12*(1+$G$31)^3</f>
        <v>5918.9379166666668</v>
      </c>
      <c r="BI31" s="340">
        <f>Labor!$H$18/12*(1+$G$31)^3</f>
        <v>5918.9379166666668</v>
      </c>
      <c r="BJ31" s="340">
        <f>Labor!$H$18/12*(1+$G$31)^3</f>
        <v>5918.9379166666668</v>
      </c>
      <c r="BK31" s="340">
        <f>Labor!$H$18/12*(1+$G$31)^3</f>
        <v>5918.9379166666668</v>
      </c>
      <c r="BL31" s="340">
        <f>Labor!$H$18/12*(1+$G$31)^3</f>
        <v>5918.9379166666668</v>
      </c>
      <c r="BM31" s="340">
        <f>Labor!$H$18/12*(1+$G$31)^3</f>
        <v>5918.9379166666668</v>
      </c>
      <c r="BN31" s="340">
        <f>Labor!$H$18/12*(1+$G$31)^3</f>
        <v>5918.9379166666668</v>
      </c>
      <c r="BO31" s="340">
        <f>Labor!$H$18/12*(1+$G$31)^3</f>
        <v>5918.9379166666668</v>
      </c>
      <c r="BP31" s="340">
        <f>Labor!$H$18/12*(1+$G$31)^3</f>
        <v>5918.9379166666668</v>
      </c>
      <c r="BQ31" s="340">
        <f>Labor!$H$18/12*(1+$G$31)^3</f>
        <v>5918.9379166666668</v>
      </c>
      <c r="BR31" s="562">
        <f>Labor!$H$18/12*(1+$G$31)^3</f>
        <v>5918.9379166666668</v>
      </c>
      <c r="BS31" s="340">
        <f>Labor!$H$18/12*(1+$G$31)^4</f>
        <v>6096.5060541666662</v>
      </c>
      <c r="BT31" s="340">
        <f>Labor!$H$18/12*(1+$G$31)^4</f>
        <v>6096.5060541666662</v>
      </c>
      <c r="BU31" s="340">
        <f>Labor!$H$18/12*(1+$G$31)^4</f>
        <v>6096.5060541666662</v>
      </c>
      <c r="BV31" s="340">
        <f>Labor!$H$18/12*(1+$G$31)^4</f>
        <v>6096.5060541666662</v>
      </c>
      <c r="BW31" s="340">
        <f>Labor!$H$18/12*(1+$G$31)^4</f>
        <v>6096.5060541666662</v>
      </c>
      <c r="BX31" s="340">
        <f>Labor!$H$18/12*(1+$G$31)^4</f>
        <v>6096.5060541666662</v>
      </c>
      <c r="BY31" s="340">
        <f>Labor!$H$18/12*(1+$G$31)^4</f>
        <v>6096.5060541666662</v>
      </c>
      <c r="BZ31" s="340">
        <f>Labor!$H$18/12*(1+$G$31)^4</f>
        <v>6096.5060541666662</v>
      </c>
      <c r="CA31" s="340">
        <f>Labor!$H$18/12*(1+$G$31)^4</f>
        <v>6096.5060541666662</v>
      </c>
      <c r="CB31" s="340">
        <f>Labor!$H$18/12*(1+$G$31)^4</f>
        <v>6096.5060541666662</v>
      </c>
      <c r="CC31" s="340">
        <f>Labor!$H$18/12*(1+$G$31)^4</f>
        <v>6096.5060541666662</v>
      </c>
      <c r="CD31" s="562">
        <f>Labor!$H$18/12*(1+$G$31)^4</f>
        <v>6096.5060541666662</v>
      </c>
      <c r="CE31" s="340">
        <f>Labor!$H$18/12*(1+$G$31)^5</f>
        <v>6279.4012357916663</v>
      </c>
      <c r="CF31" s="340">
        <f>Labor!$H$18/12*(1+$G$31)^5</f>
        <v>6279.4012357916663</v>
      </c>
      <c r="CG31" s="340">
        <f>Labor!$H$18/12*(1+$G$31)^5</f>
        <v>6279.4012357916663</v>
      </c>
      <c r="CH31" s="340">
        <f>Labor!$H$18/12*(1+$G$31)^5</f>
        <v>6279.4012357916663</v>
      </c>
      <c r="CI31" s="340">
        <f>Labor!$H$18/12*(1+$G$31)^5</f>
        <v>6279.4012357916663</v>
      </c>
      <c r="CJ31" s="340">
        <f>Labor!$H$18/12*(1+$G$31)^5</f>
        <v>6279.4012357916663</v>
      </c>
      <c r="CK31" s="340">
        <f>Labor!$H$18/12*(1+$G$31)^5</f>
        <v>6279.4012357916663</v>
      </c>
      <c r="CL31" s="340">
        <f>Labor!$H$18/12*(1+$G$31)^5</f>
        <v>6279.4012357916663</v>
      </c>
      <c r="CM31" s="340">
        <f>Labor!$H$18/12*(1+$G$31)^5</f>
        <v>6279.4012357916663</v>
      </c>
      <c r="CN31" s="340">
        <f>Labor!$H$18/12*(1+$G$31)^5</f>
        <v>6279.4012357916663</v>
      </c>
      <c r="CO31" s="340">
        <f>Labor!$H$18/12*(1+$G$31)^5</f>
        <v>6279.4012357916663</v>
      </c>
      <c r="CP31" s="562">
        <f>Labor!$H$18/12*(1+$G$31)^5</f>
        <v>6279.4012357916663</v>
      </c>
      <c r="CQ31" s="340">
        <f>Labor!$H$18/12*(1+$G$31)^6</f>
        <v>6467.7832728654166</v>
      </c>
      <c r="CR31" s="340">
        <f>Labor!$H$18/12*(1+$G$31)^6</f>
        <v>6467.7832728654166</v>
      </c>
      <c r="CS31" s="340">
        <f>Labor!$H$18/12*(1+$G$31)^6</f>
        <v>6467.7832728654166</v>
      </c>
      <c r="CT31" s="340">
        <f>Labor!$H$18/12*(1+$G$31)^6</f>
        <v>6467.7832728654166</v>
      </c>
      <c r="CU31" s="340">
        <f>Labor!$H$18/12*(1+$G$31)^6</f>
        <v>6467.7832728654166</v>
      </c>
      <c r="CV31" s="340">
        <f>Labor!$H$18/12*(1+$G$31)^6</f>
        <v>6467.7832728654166</v>
      </c>
      <c r="CW31" s="340">
        <f>Labor!$H$18/12*(1+$G$31)^6</f>
        <v>6467.7832728654166</v>
      </c>
      <c r="CX31" s="340">
        <f>Labor!$H$18/12*(1+$G$31)^6</f>
        <v>6467.7832728654166</v>
      </c>
      <c r="CY31" s="340">
        <f>Labor!$H$18/12*(1+$G$31)^6</f>
        <v>6467.7832728654166</v>
      </c>
      <c r="CZ31" s="340">
        <f>Labor!$H$18/12*(1+$G$31)^6</f>
        <v>6467.7832728654166</v>
      </c>
      <c r="DA31" s="340">
        <f>Labor!$H$18/12*(1+$G$31)^6</f>
        <v>6467.7832728654166</v>
      </c>
      <c r="DB31" s="562">
        <f>Labor!$H$18/12*(1+$G$31)^6</f>
        <v>6467.7832728654166</v>
      </c>
      <c r="DC31" s="340">
        <f>Labor!$H$18/12*(1+$G$31)^7</f>
        <v>6661.8167710513799</v>
      </c>
      <c r="DD31" s="340">
        <f>Labor!$H$18/12*(1+$G$31)^7</f>
        <v>6661.8167710513799</v>
      </c>
      <c r="DE31" s="340">
        <f>Labor!$H$18/12*(1+$G$31)^7</f>
        <v>6661.8167710513799</v>
      </c>
      <c r="DF31" s="340">
        <f>Labor!$H$18/12*(1+$G$31)^7</f>
        <v>6661.8167710513799</v>
      </c>
      <c r="DG31" s="340">
        <f>Labor!$H$18/12*(1+$G$31)^7</f>
        <v>6661.8167710513799</v>
      </c>
      <c r="DH31" s="340">
        <f>Labor!$H$18/12*(1+$G$31)^7</f>
        <v>6661.8167710513799</v>
      </c>
      <c r="DI31" s="340">
        <f>Labor!$H$18/12*(1+$G$31)^7</f>
        <v>6661.8167710513799</v>
      </c>
      <c r="DJ31" s="340">
        <f>Labor!$H$18/12*(1+$G$31)^7</f>
        <v>6661.8167710513799</v>
      </c>
      <c r="DK31" s="340">
        <f>Labor!$H$18/12*(1+$G$31)^7</f>
        <v>6661.8167710513799</v>
      </c>
      <c r="DL31" s="340">
        <f>Labor!$H$18/12*(1+$G$31)^7</f>
        <v>6661.8167710513799</v>
      </c>
      <c r="DM31" s="340">
        <f>Labor!$H$18/12*(1+$G$31)^7</f>
        <v>6661.8167710513799</v>
      </c>
      <c r="DN31" s="340">
        <f>Labor!$H$18/12*(1+$G$31)^7</f>
        <v>6661.8167710513799</v>
      </c>
      <c r="DP31" s="340">
        <f t="shared" ref="DP31:DP43" si="29">SUM(J31:DN31)</f>
        <v>578001.84300650132</v>
      </c>
    </row>
    <row r="32" spans="3:120" x14ac:dyDescent="0.3">
      <c r="F32" s="331" t="str">
        <f>'Table 3.0'!F60</f>
        <v>Maintenance</v>
      </c>
      <c r="G32" s="936">
        <f>'Table 3.0'!G60</f>
        <v>0.03</v>
      </c>
      <c r="H32" s="942" t="str">
        <f>'Table 3.0'!H60</f>
        <v>YoY Growth</v>
      </c>
      <c r="K32" s="340"/>
      <c r="L32" s="340"/>
      <c r="M32" s="340"/>
      <c r="N32" s="340"/>
      <c r="O32" s="340"/>
      <c r="P32" s="340"/>
      <c r="Q32" s="340"/>
      <c r="R32" s="340"/>
      <c r="S32" s="340"/>
      <c r="T32" s="340"/>
      <c r="U32" s="340"/>
      <c r="V32" s="562"/>
      <c r="W32" s="340">
        <f>Labor!$H$19/12</f>
        <v>5000</v>
      </c>
      <c r="X32" s="340">
        <f>Labor!$H$19/12</f>
        <v>5000</v>
      </c>
      <c r="Y32" s="340">
        <f>Labor!$H$19/12</f>
        <v>5000</v>
      </c>
      <c r="Z32" s="340">
        <f>Labor!$H$19/12</f>
        <v>5000</v>
      </c>
      <c r="AA32" s="340">
        <f>Labor!$H$19/12</f>
        <v>5000</v>
      </c>
      <c r="AB32" s="340">
        <f>Labor!$H$19/12</f>
        <v>5000</v>
      </c>
      <c r="AC32" s="340">
        <f>Labor!$H$19/12</f>
        <v>5000</v>
      </c>
      <c r="AD32" s="340">
        <f>Labor!$H$19/12</f>
        <v>5000</v>
      </c>
      <c r="AE32" s="340">
        <f>Labor!$H$19/12</f>
        <v>5000</v>
      </c>
      <c r="AF32" s="340">
        <f>Labor!$H$19/12</f>
        <v>5000</v>
      </c>
      <c r="AG32" s="340">
        <f>Labor!$H$19/12</f>
        <v>5000</v>
      </c>
      <c r="AH32" s="562">
        <f>Labor!$H$19/12</f>
        <v>5000</v>
      </c>
      <c r="AI32" s="340">
        <f>(Labor!$H$19/12)*(1+$G$32)</f>
        <v>5150</v>
      </c>
      <c r="AJ32" s="340">
        <f>(Labor!$H$19/12)*(1+$G$32)</f>
        <v>5150</v>
      </c>
      <c r="AK32" s="340">
        <f>(Labor!$H$19/12)*(1+$G$32)</f>
        <v>5150</v>
      </c>
      <c r="AL32" s="340">
        <f>(Labor!$H$19/12)*(1+$G$32)</f>
        <v>5150</v>
      </c>
      <c r="AM32" s="340">
        <f>(Labor!$H$19/12)*(1+$G$32)</f>
        <v>5150</v>
      </c>
      <c r="AN32" s="340">
        <f>(Labor!$H$19/12)*(1+$G$32)</f>
        <v>5150</v>
      </c>
      <c r="AO32" s="340">
        <f>(Labor!$H$19/12)*(1+$G$32)</f>
        <v>5150</v>
      </c>
      <c r="AP32" s="340">
        <f>(Labor!$H$19/12)*(1+$G$32)</f>
        <v>5150</v>
      </c>
      <c r="AQ32" s="340">
        <f>(Labor!$H$19/12)*(1+$G$32)</f>
        <v>5150</v>
      </c>
      <c r="AR32" s="340">
        <f>(Labor!$H$19/12)*(1+$G$32)</f>
        <v>5150</v>
      </c>
      <c r="AS32" s="340">
        <f>(Labor!$H$19/12)*(1+$G$32)</f>
        <v>5150</v>
      </c>
      <c r="AT32" s="562">
        <f>(Labor!$H$19/12)*(1+$G$32)</f>
        <v>5150</v>
      </c>
      <c r="AU32" s="340">
        <f>(Labor!$H$19/12)*(1+$G$32)^2</f>
        <v>5304.5</v>
      </c>
      <c r="AV32" s="340">
        <f>(Labor!$H$19/12)*(1+$G$32)^2</f>
        <v>5304.5</v>
      </c>
      <c r="AW32" s="340">
        <f>(Labor!$H$19/12)*(1+$G$32)^2</f>
        <v>5304.5</v>
      </c>
      <c r="AX32" s="340">
        <f>(Labor!$H$19/12)*(1+$G$32)^2</f>
        <v>5304.5</v>
      </c>
      <c r="AY32" s="340">
        <f>(Labor!$H$19/12)*(1+$G$32)^2</f>
        <v>5304.5</v>
      </c>
      <c r="AZ32" s="340">
        <f>(Labor!$H$19/12)*(1+$G$32)^2</f>
        <v>5304.5</v>
      </c>
      <c r="BA32" s="340">
        <f>(Labor!$H$19/12)*(1+$G$32)^2</f>
        <v>5304.5</v>
      </c>
      <c r="BB32" s="340">
        <f>(Labor!$H$19/12)*(1+$G$32)^2</f>
        <v>5304.5</v>
      </c>
      <c r="BC32" s="340">
        <f>(Labor!$H$19/12)*(1+$G$32)^2</f>
        <v>5304.5</v>
      </c>
      <c r="BD32" s="340">
        <f>(Labor!$H$19/12)*(1+$G$32)^2</f>
        <v>5304.5</v>
      </c>
      <c r="BE32" s="340">
        <f>(Labor!$H$19/12)*(1+$G$32)^2</f>
        <v>5304.5</v>
      </c>
      <c r="BF32" s="562">
        <f>(Labor!$H$19/12)*(1+$G$32)^2</f>
        <v>5304.5</v>
      </c>
      <c r="BG32" s="340">
        <f>(Labor!$H$19/12)*(1+$G$32)^3</f>
        <v>5463.6350000000002</v>
      </c>
      <c r="BH32" s="340">
        <f>(Labor!$H$19/12)*(1+$G$32)^3</f>
        <v>5463.6350000000002</v>
      </c>
      <c r="BI32" s="340">
        <f>(Labor!$H$19/12)*(1+$G$32)^3</f>
        <v>5463.6350000000002</v>
      </c>
      <c r="BJ32" s="340">
        <f>(Labor!$H$19/12)*(1+$G$32)^3</f>
        <v>5463.6350000000002</v>
      </c>
      <c r="BK32" s="340">
        <f>(Labor!$H$19/12)*(1+$G$32)^3</f>
        <v>5463.6350000000002</v>
      </c>
      <c r="BL32" s="340">
        <f>(Labor!$H$19/12)*(1+$G$32)^3</f>
        <v>5463.6350000000002</v>
      </c>
      <c r="BM32" s="340">
        <f>(Labor!$H$19/12)*(1+$G$32)^3</f>
        <v>5463.6350000000002</v>
      </c>
      <c r="BN32" s="340">
        <f>(Labor!$H$19/12)*(1+$G$32)^3</f>
        <v>5463.6350000000002</v>
      </c>
      <c r="BO32" s="340">
        <f>(Labor!$H$19/12)*(1+$G$32)^3</f>
        <v>5463.6350000000002</v>
      </c>
      <c r="BP32" s="340">
        <f>(Labor!$H$19/12)*(1+$G$32)^3</f>
        <v>5463.6350000000002</v>
      </c>
      <c r="BQ32" s="340">
        <f>(Labor!$H$19/12)*(1+$G$32)^3</f>
        <v>5463.6350000000002</v>
      </c>
      <c r="BR32" s="562">
        <f>(Labor!$H$19/12)*(1+$G$32)^3</f>
        <v>5463.6350000000002</v>
      </c>
      <c r="BS32" s="340">
        <f>(Labor!$H$19/12)*(1+$G$32)^4</f>
        <v>5627.5440499999995</v>
      </c>
      <c r="BT32" s="340">
        <f>(Labor!$H$19/12)*(1+$G$32)^4</f>
        <v>5627.5440499999995</v>
      </c>
      <c r="BU32" s="340">
        <f>(Labor!$H$19/12)*(1+$G$32)^4</f>
        <v>5627.5440499999995</v>
      </c>
      <c r="BV32" s="340">
        <f>(Labor!$H$19/12)*(1+$G$32)^4</f>
        <v>5627.5440499999995</v>
      </c>
      <c r="BW32" s="340">
        <f>(Labor!$H$19/12)*(1+$G$32)^4</f>
        <v>5627.5440499999995</v>
      </c>
      <c r="BX32" s="340">
        <f>(Labor!$H$19/12)*(1+$G$32)^4</f>
        <v>5627.5440499999995</v>
      </c>
      <c r="BY32" s="340">
        <f>(Labor!$H$19/12)*(1+$G$32)^4</f>
        <v>5627.5440499999995</v>
      </c>
      <c r="BZ32" s="340">
        <f>(Labor!$H$19/12)*(1+$G$32)^4</f>
        <v>5627.5440499999995</v>
      </c>
      <c r="CA32" s="340">
        <f>(Labor!$H$19/12)*(1+$G$32)^4</f>
        <v>5627.5440499999995</v>
      </c>
      <c r="CB32" s="340">
        <f>(Labor!$H$19/12)*(1+$G$32)^4</f>
        <v>5627.5440499999995</v>
      </c>
      <c r="CC32" s="340">
        <f>(Labor!$H$19/12)*(1+$G$32)^4</f>
        <v>5627.5440499999995</v>
      </c>
      <c r="CD32" s="562">
        <f>(Labor!$H$19/12)*(1+$G$32)^4</f>
        <v>5627.5440499999995</v>
      </c>
      <c r="CE32" s="340">
        <f>(Labor!$H$19/12)*(1+$G$32)^5</f>
        <v>5796.3703714999992</v>
      </c>
      <c r="CF32" s="340">
        <f>(Labor!$H$19/12)*(1+$G$32)^5</f>
        <v>5796.3703714999992</v>
      </c>
      <c r="CG32" s="340">
        <f>(Labor!$H$19/12)*(1+$G$32)^5</f>
        <v>5796.3703714999992</v>
      </c>
      <c r="CH32" s="340">
        <f>(Labor!$H$19/12)*(1+$G$32)^5</f>
        <v>5796.3703714999992</v>
      </c>
      <c r="CI32" s="340">
        <f>(Labor!$H$19/12)*(1+$G$32)^5</f>
        <v>5796.3703714999992</v>
      </c>
      <c r="CJ32" s="340">
        <f>(Labor!$H$19/12)*(1+$G$32)^5</f>
        <v>5796.3703714999992</v>
      </c>
      <c r="CK32" s="340">
        <f>(Labor!$H$19/12)*(1+$G$32)^5</f>
        <v>5796.3703714999992</v>
      </c>
      <c r="CL32" s="340">
        <f>(Labor!$H$19/12)*(1+$G$32)^5</f>
        <v>5796.3703714999992</v>
      </c>
      <c r="CM32" s="340">
        <f>(Labor!$H$19/12)*(1+$G$32)^5</f>
        <v>5796.3703714999992</v>
      </c>
      <c r="CN32" s="340">
        <f>(Labor!$H$19/12)*(1+$G$32)^5</f>
        <v>5796.3703714999992</v>
      </c>
      <c r="CO32" s="340">
        <f>(Labor!$H$19/12)*(1+$G$32)^5</f>
        <v>5796.3703714999992</v>
      </c>
      <c r="CP32" s="562">
        <f>(Labor!$H$19/12)*(1+$G$32)^5</f>
        <v>5796.3703714999992</v>
      </c>
      <c r="CQ32" s="340">
        <f>(Labor!$H$19/12)*(1+$G$32)^6</f>
        <v>5970.2614826449999</v>
      </c>
      <c r="CR32" s="340">
        <f>(Labor!$H$19/12)*(1+$G$32)^6</f>
        <v>5970.2614826449999</v>
      </c>
      <c r="CS32" s="340">
        <f>(Labor!$H$19/12)*(1+$G$32)^6</f>
        <v>5970.2614826449999</v>
      </c>
      <c r="CT32" s="340">
        <f>(Labor!$H$19/12)*(1+$G$32)^6</f>
        <v>5970.2614826449999</v>
      </c>
      <c r="CU32" s="340">
        <f>(Labor!$H$19/12)*(1+$G$32)^6</f>
        <v>5970.2614826449999</v>
      </c>
      <c r="CV32" s="340">
        <f>(Labor!$H$19/12)*(1+$G$32)^6</f>
        <v>5970.2614826449999</v>
      </c>
      <c r="CW32" s="340">
        <f>(Labor!$H$19/12)*(1+$G$32)^6</f>
        <v>5970.2614826449999</v>
      </c>
      <c r="CX32" s="340">
        <f>(Labor!$H$19/12)*(1+$G$32)^6</f>
        <v>5970.2614826449999</v>
      </c>
      <c r="CY32" s="340">
        <f>(Labor!$H$19/12)*(1+$G$32)^6</f>
        <v>5970.2614826449999</v>
      </c>
      <c r="CZ32" s="340">
        <f>(Labor!$H$19/12)*(1+$G$32)^6</f>
        <v>5970.2614826449999</v>
      </c>
      <c r="DA32" s="340">
        <f>(Labor!$H$19/12)*(1+$G$32)^6</f>
        <v>5970.2614826449999</v>
      </c>
      <c r="DB32" s="562">
        <f>(Labor!$H$19/12)*(1+$G$32)^6</f>
        <v>5970.2614826449999</v>
      </c>
      <c r="DC32" s="340">
        <f>(Labor!$H$19/12)*(1+$G$32)^7</f>
        <v>6149.3693271243501</v>
      </c>
      <c r="DD32" s="340">
        <f>(Labor!$H$19/12)*(1+$G$32)^7</f>
        <v>6149.3693271243501</v>
      </c>
      <c r="DE32" s="340">
        <f>(Labor!$H$19/12)*(1+$G$32)^7</f>
        <v>6149.3693271243501</v>
      </c>
      <c r="DF32" s="340">
        <f>(Labor!$H$19/12)*(1+$G$32)^7</f>
        <v>6149.3693271243501</v>
      </c>
      <c r="DG32" s="340">
        <f>(Labor!$H$19/12)*(1+$G$32)^7</f>
        <v>6149.3693271243501</v>
      </c>
      <c r="DH32" s="340">
        <f>(Labor!$H$19/12)*(1+$G$32)^7</f>
        <v>6149.3693271243501</v>
      </c>
      <c r="DI32" s="340">
        <f>(Labor!$H$19/12)*(1+$G$32)^7</f>
        <v>6149.3693271243501</v>
      </c>
      <c r="DJ32" s="340">
        <f>(Labor!$H$19/12)*(1+$G$32)^7</f>
        <v>6149.3693271243501</v>
      </c>
      <c r="DK32" s="340">
        <f>(Labor!$H$19/12)*(1+$G$32)^7</f>
        <v>6149.3693271243501</v>
      </c>
      <c r="DL32" s="340">
        <f>(Labor!$H$19/12)*(1+$G$32)^7</f>
        <v>6149.3693271243501</v>
      </c>
      <c r="DM32" s="340">
        <f>(Labor!$H$19/12)*(1+$G$32)^7</f>
        <v>6149.3693271243501</v>
      </c>
      <c r="DN32" s="340">
        <f>(Labor!$H$19/12)*(1+$G$32)^7</f>
        <v>6149.3693271243501</v>
      </c>
      <c r="DP32" s="340">
        <f t="shared" si="29"/>
        <v>533540.16277523199</v>
      </c>
    </row>
    <row r="33" spans="3:120" x14ac:dyDescent="0.3">
      <c r="F33" s="331" t="str">
        <f>'Table 3.0'!F61</f>
        <v>Clubhouse Staff</v>
      </c>
      <c r="G33" s="936">
        <f>'Table 3.0'!G61</f>
        <v>0.03</v>
      </c>
      <c r="H33" s="942" t="str">
        <f>'Table 3.0'!H61</f>
        <v>YoY Growth</v>
      </c>
      <c r="K33" s="340"/>
      <c r="L33" s="340"/>
      <c r="M33" s="340"/>
      <c r="N33" s="340"/>
      <c r="O33" s="340"/>
      <c r="P33" s="340"/>
      <c r="Q33" s="340"/>
      <c r="R33" s="340"/>
      <c r="S33" s="340"/>
      <c r="T33" s="340"/>
      <c r="U33" s="340"/>
      <c r="V33" s="562"/>
      <c r="W33" s="340">
        <f>(Labor!$H$20/12)+(Labor!$H$21/12)</f>
        <v>5000</v>
      </c>
      <c r="X33" s="340">
        <f>(Labor!$H$20/12)+(Labor!$H$21/12)</f>
        <v>5000</v>
      </c>
      <c r="Y33" s="340">
        <f>(Labor!$H$20/12)+(Labor!$H$21/12)</f>
        <v>5000</v>
      </c>
      <c r="Z33" s="340">
        <f>(Labor!$H$20/12)+(Labor!$H$21/12)</f>
        <v>5000</v>
      </c>
      <c r="AA33" s="340">
        <f>(Labor!$H$20/12)+(Labor!$H$21/12)</f>
        <v>5000</v>
      </c>
      <c r="AB33" s="340">
        <f>(Labor!$H$20/12)+(Labor!$H$21/12)</f>
        <v>5000</v>
      </c>
      <c r="AC33" s="340">
        <f>(Labor!$H$20/12)+(Labor!$H$21/12)</f>
        <v>5000</v>
      </c>
      <c r="AD33" s="340">
        <f>(Labor!$H$20/12)+(Labor!$H$21/12)</f>
        <v>5000</v>
      </c>
      <c r="AE33" s="340">
        <f>(Labor!$H$20/12)+(Labor!$H$21/12)</f>
        <v>5000</v>
      </c>
      <c r="AF33" s="340">
        <f>(Labor!$H$20/12)+(Labor!$H$21/12)</f>
        <v>5000</v>
      </c>
      <c r="AG33" s="340">
        <f>(Labor!$H$20/12)+(Labor!$H$21/12)</f>
        <v>5000</v>
      </c>
      <c r="AH33" s="562">
        <f>(Labor!$H$20/12)+(Labor!$H$21/12)</f>
        <v>5000</v>
      </c>
      <c r="AI33" s="340">
        <f>((Labor!$H$20/12)+(Labor!$H$21/12))*(1+$G$33)</f>
        <v>5150</v>
      </c>
      <c r="AJ33" s="340">
        <f>((Labor!$H$20/12)+(Labor!$H$21/12))*(1+$G$33)</f>
        <v>5150</v>
      </c>
      <c r="AK33" s="340">
        <f>((Labor!$H$20/12)+(Labor!$H$21/12))*(1+$G$33)</f>
        <v>5150</v>
      </c>
      <c r="AL33" s="340">
        <f>((Labor!$H$20/12)+(Labor!$H$21/12))*(1+$G$33)</f>
        <v>5150</v>
      </c>
      <c r="AM33" s="340">
        <f>((Labor!$H$20/12)+(Labor!$H$21/12))*(1+$G$33)</f>
        <v>5150</v>
      </c>
      <c r="AN33" s="340">
        <f>((Labor!$H$20/12)+(Labor!$H$21/12))*(1+$G$33)</f>
        <v>5150</v>
      </c>
      <c r="AO33" s="340">
        <f>((Labor!$H$20/12)+(Labor!$H$21/12))*(1+$G$33)</f>
        <v>5150</v>
      </c>
      <c r="AP33" s="340">
        <f>((Labor!$H$20/12)+(Labor!$H$21/12))*(1+$G$33)</f>
        <v>5150</v>
      </c>
      <c r="AQ33" s="340">
        <f>((Labor!$H$20/12)+(Labor!$H$21/12))*(1+$G$33)</f>
        <v>5150</v>
      </c>
      <c r="AR33" s="340">
        <f>((Labor!$H$20/12)+(Labor!$H$21/12))*(1+$G$33)</f>
        <v>5150</v>
      </c>
      <c r="AS33" s="340">
        <f>((Labor!$H$20/12)+(Labor!$H$21/12))*(1+$G$33)</f>
        <v>5150</v>
      </c>
      <c r="AT33" s="562">
        <f>((Labor!$H$20/12)+(Labor!$H$21/12))*(1+$G$33)</f>
        <v>5150</v>
      </c>
      <c r="AU33" s="340">
        <f>((Labor!$H$20/12)+(Labor!$H$21/12))*(1+$G$33)^2</f>
        <v>5304.5</v>
      </c>
      <c r="AV33" s="340">
        <f>((Labor!$H$20/12)+(Labor!$H$21/12))*(1+$G$33)^2</f>
        <v>5304.5</v>
      </c>
      <c r="AW33" s="340">
        <f>((Labor!$H$20/12)+(Labor!$H$21/12))*(1+$G$33)^2</f>
        <v>5304.5</v>
      </c>
      <c r="AX33" s="340">
        <f>((Labor!$H$20/12)+(Labor!$H$21/12))*(1+$G$33)^2</f>
        <v>5304.5</v>
      </c>
      <c r="AY33" s="340">
        <f>((Labor!$H$20/12)+(Labor!$H$21/12))*(1+$G$33)^2</f>
        <v>5304.5</v>
      </c>
      <c r="AZ33" s="340">
        <f>((Labor!$H$20/12)+(Labor!$H$21/12))*(1+$G$33)^2</f>
        <v>5304.5</v>
      </c>
      <c r="BA33" s="340">
        <f>((Labor!$H$20/12)+(Labor!$H$21/12))*(1+$G$33)^2</f>
        <v>5304.5</v>
      </c>
      <c r="BB33" s="340">
        <f>((Labor!$H$20/12)+(Labor!$H$21/12))*(1+$G$33)^2</f>
        <v>5304.5</v>
      </c>
      <c r="BC33" s="340">
        <f>((Labor!$H$20/12)+(Labor!$H$21/12))*(1+$G$33)^2</f>
        <v>5304.5</v>
      </c>
      <c r="BD33" s="340">
        <f>((Labor!$H$20/12)+(Labor!$H$21/12))*(1+$G$33)^2</f>
        <v>5304.5</v>
      </c>
      <c r="BE33" s="340">
        <f>((Labor!$H$20/12)+(Labor!$H$21/12))*(1+$G$33)^2</f>
        <v>5304.5</v>
      </c>
      <c r="BF33" s="562">
        <f>((Labor!$H$20/12)+(Labor!$H$21/12))*(1+$G$33)^2</f>
        <v>5304.5</v>
      </c>
      <c r="BG33" s="340">
        <f>((Labor!$H$20/12)+(Labor!$H$21/12))*(1+$G$33)^3</f>
        <v>5463.6350000000002</v>
      </c>
      <c r="BH33" s="340">
        <f>((Labor!$H$20/12)+(Labor!$H$21/12))*(1+$G$33)^3</f>
        <v>5463.6350000000002</v>
      </c>
      <c r="BI33" s="340">
        <f>((Labor!$H$20/12)+(Labor!$H$21/12))*(1+$G$33)^3</f>
        <v>5463.6350000000002</v>
      </c>
      <c r="BJ33" s="340">
        <f>((Labor!$H$20/12)+(Labor!$H$21/12))*(1+$G$33)^3</f>
        <v>5463.6350000000002</v>
      </c>
      <c r="BK33" s="340">
        <f>((Labor!$H$20/12)+(Labor!$H$21/12))*(1+$G$33)^3</f>
        <v>5463.6350000000002</v>
      </c>
      <c r="BL33" s="340">
        <f>((Labor!$H$20/12)+(Labor!$H$21/12))*(1+$G$33)^3</f>
        <v>5463.6350000000002</v>
      </c>
      <c r="BM33" s="340">
        <f>((Labor!$H$20/12)+(Labor!$H$21/12))*(1+$G$33)^3</f>
        <v>5463.6350000000002</v>
      </c>
      <c r="BN33" s="340">
        <f>((Labor!$H$20/12)+(Labor!$H$21/12))*(1+$G$33)^3</f>
        <v>5463.6350000000002</v>
      </c>
      <c r="BO33" s="340">
        <f>((Labor!$H$20/12)+(Labor!$H$21/12))*(1+$G$33)^3</f>
        <v>5463.6350000000002</v>
      </c>
      <c r="BP33" s="340">
        <f>((Labor!$H$20/12)+(Labor!$H$21/12))*(1+$G$33)^3</f>
        <v>5463.6350000000002</v>
      </c>
      <c r="BQ33" s="340">
        <f>((Labor!$H$20/12)+(Labor!$H$21/12))*(1+$G$33)^3</f>
        <v>5463.6350000000002</v>
      </c>
      <c r="BR33" s="562">
        <f>((Labor!$H$20/12)+(Labor!$H$21/12))*(1+$G$33)^3</f>
        <v>5463.6350000000002</v>
      </c>
      <c r="BS33" s="340">
        <f>((Labor!$H$20/12)+(Labor!$H$21/12))*(1+$G$33)^4</f>
        <v>5627.5440499999995</v>
      </c>
      <c r="BT33" s="340">
        <f>((Labor!$H$20/12)+(Labor!$H$21/12))*(1+$G$33)^4</f>
        <v>5627.5440499999995</v>
      </c>
      <c r="BU33" s="340">
        <f>((Labor!$H$20/12)+(Labor!$H$21/12))*(1+$G$33)^4</f>
        <v>5627.5440499999995</v>
      </c>
      <c r="BV33" s="340">
        <f>((Labor!$H$20/12)+(Labor!$H$21/12))*(1+$G$33)^4</f>
        <v>5627.5440499999995</v>
      </c>
      <c r="BW33" s="340">
        <f>((Labor!$H$20/12)+(Labor!$H$21/12))*(1+$G$33)^4</f>
        <v>5627.5440499999995</v>
      </c>
      <c r="BX33" s="340">
        <f>((Labor!$H$20/12)+(Labor!$H$21/12))*(1+$G$33)^4</f>
        <v>5627.5440499999995</v>
      </c>
      <c r="BY33" s="340">
        <f>((Labor!$H$20/12)+(Labor!$H$21/12))*(1+$G$33)^4</f>
        <v>5627.5440499999995</v>
      </c>
      <c r="BZ33" s="340">
        <f>((Labor!$H$20/12)+(Labor!$H$21/12))*(1+$G$33)^4</f>
        <v>5627.5440499999995</v>
      </c>
      <c r="CA33" s="340">
        <f>((Labor!$H$20/12)+(Labor!$H$21/12))*(1+$G$33)^4</f>
        <v>5627.5440499999995</v>
      </c>
      <c r="CB33" s="340">
        <f>((Labor!$H$20/12)+(Labor!$H$21/12))*(1+$G$33)^4</f>
        <v>5627.5440499999995</v>
      </c>
      <c r="CC33" s="340">
        <f>((Labor!$H$20/12)+(Labor!$H$21/12))*(1+$G$33)^4</f>
        <v>5627.5440499999995</v>
      </c>
      <c r="CD33" s="562">
        <f>((Labor!$H$20/12)+(Labor!$H$21/12))*(1+$G$33)^4</f>
        <v>5627.5440499999995</v>
      </c>
      <c r="CE33" s="340">
        <f>((Labor!$H$20/12)+(Labor!$H$21/12))*(1+$G$33)^5</f>
        <v>5796.3703714999992</v>
      </c>
      <c r="CF33" s="340">
        <f>((Labor!$H$20/12)+(Labor!$H$21/12))*(1+$G$33)^5</f>
        <v>5796.3703714999992</v>
      </c>
      <c r="CG33" s="340">
        <f>((Labor!$H$20/12)+(Labor!$H$21/12))*(1+$G$33)^5</f>
        <v>5796.3703714999992</v>
      </c>
      <c r="CH33" s="340">
        <f>((Labor!$H$20/12)+(Labor!$H$21/12))*(1+$G$33)^5</f>
        <v>5796.3703714999992</v>
      </c>
      <c r="CI33" s="340">
        <f>((Labor!$H$20/12)+(Labor!$H$21/12))*(1+$G$33)^5</f>
        <v>5796.3703714999992</v>
      </c>
      <c r="CJ33" s="340">
        <f>((Labor!$H$20/12)+(Labor!$H$21/12))*(1+$G$33)^5</f>
        <v>5796.3703714999992</v>
      </c>
      <c r="CK33" s="340">
        <f>((Labor!$H$20/12)+(Labor!$H$21/12))*(1+$G$33)^5</f>
        <v>5796.3703714999992</v>
      </c>
      <c r="CL33" s="340">
        <f>((Labor!$H$20/12)+(Labor!$H$21/12))*(1+$G$33)^5</f>
        <v>5796.3703714999992</v>
      </c>
      <c r="CM33" s="340">
        <f>((Labor!$H$20/12)+(Labor!$H$21/12))*(1+$G$33)^5</f>
        <v>5796.3703714999992</v>
      </c>
      <c r="CN33" s="340">
        <f>((Labor!$H$20/12)+(Labor!$H$21/12))*(1+$G$33)^5</f>
        <v>5796.3703714999992</v>
      </c>
      <c r="CO33" s="340">
        <f>((Labor!$H$20/12)+(Labor!$H$21/12))*(1+$G$33)^5</f>
        <v>5796.3703714999992</v>
      </c>
      <c r="CP33" s="562">
        <f>((Labor!$H$20/12)+(Labor!$H$21/12))*(1+$G$33)^5</f>
        <v>5796.3703714999992</v>
      </c>
      <c r="CQ33" s="340">
        <f>((Labor!$H$20/12)+(Labor!$H$21/12))*(1+$G$33)^6</f>
        <v>5970.2614826449999</v>
      </c>
      <c r="CR33" s="340">
        <f>((Labor!$H$20/12)+(Labor!$H$21/12))*(1+$G$33)^6</f>
        <v>5970.2614826449999</v>
      </c>
      <c r="CS33" s="340">
        <f>((Labor!$H$20/12)+(Labor!$H$21/12))*(1+$G$33)^6</f>
        <v>5970.2614826449999</v>
      </c>
      <c r="CT33" s="340">
        <f>((Labor!$H$20/12)+(Labor!$H$21/12))*(1+$G$33)^6</f>
        <v>5970.2614826449999</v>
      </c>
      <c r="CU33" s="340">
        <f>((Labor!$H$20/12)+(Labor!$H$21/12))*(1+$G$33)^6</f>
        <v>5970.2614826449999</v>
      </c>
      <c r="CV33" s="340">
        <f>((Labor!$H$20/12)+(Labor!$H$21/12))*(1+$G$33)^6</f>
        <v>5970.2614826449999</v>
      </c>
      <c r="CW33" s="340">
        <f>((Labor!$H$20/12)+(Labor!$H$21/12))*(1+$G$33)^6</f>
        <v>5970.2614826449999</v>
      </c>
      <c r="CX33" s="340">
        <f>((Labor!$H$20/12)+(Labor!$H$21/12))*(1+$G$33)^6</f>
        <v>5970.2614826449999</v>
      </c>
      <c r="CY33" s="340">
        <f>((Labor!$H$20/12)+(Labor!$H$21/12))*(1+$G$33)^6</f>
        <v>5970.2614826449999</v>
      </c>
      <c r="CZ33" s="340">
        <f>((Labor!$H$20/12)+(Labor!$H$21/12))*(1+$G$33)^6</f>
        <v>5970.2614826449999</v>
      </c>
      <c r="DA33" s="340">
        <f>((Labor!$H$20/12)+(Labor!$H$21/12))*(1+$G$33)^6</f>
        <v>5970.2614826449999</v>
      </c>
      <c r="DB33" s="562">
        <f>((Labor!$H$20/12)+(Labor!$H$21/12))*(1+$G$33)^6</f>
        <v>5970.2614826449999</v>
      </c>
      <c r="DC33" s="340">
        <f>((Labor!$H$20/12)+(Labor!$H$21/12))*(1+$G$33)^7</f>
        <v>6149.3693271243501</v>
      </c>
      <c r="DD33" s="340">
        <f>((Labor!$H$20/12)+(Labor!$H$21/12))*(1+$G$33)^7</f>
        <v>6149.3693271243501</v>
      </c>
      <c r="DE33" s="340">
        <f>((Labor!$H$20/12)+(Labor!$H$21/12))*(1+$G$33)^7</f>
        <v>6149.3693271243501</v>
      </c>
      <c r="DF33" s="340">
        <f>((Labor!$H$20/12)+(Labor!$H$21/12))*(1+$G$33)^7</f>
        <v>6149.3693271243501</v>
      </c>
      <c r="DG33" s="340">
        <f>((Labor!$H$20/12)+(Labor!$H$21/12))*(1+$G$33)^7</f>
        <v>6149.3693271243501</v>
      </c>
      <c r="DH33" s="340">
        <f>((Labor!$H$20/12)+(Labor!$H$21/12))*(1+$G$33)^7</f>
        <v>6149.3693271243501</v>
      </c>
      <c r="DI33" s="340">
        <f>((Labor!$H$20/12)+(Labor!$H$21/12))*(1+$G$33)^7</f>
        <v>6149.3693271243501</v>
      </c>
      <c r="DJ33" s="340">
        <f>((Labor!$H$20/12)+(Labor!$H$21/12))*(1+$G$33)^7</f>
        <v>6149.3693271243501</v>
      </c>
      <c r="DK33" s="340">
        <f>((Labor!$H$20/12)+(Labor!$H$21/12))*(1+$G$33)^7</f>
        <v>6149.3693271243501</v>
      </c>
      <c r="DL33" s="340">
        <f>((Labor!$H$20/12)+(Labor!$H$21/12))*(1+$G$33)^7</f>
        <v>6149.3693271243501</v>
      </c>
      <c r="DM33" s="340">
        <f>((Labor!$H$20/12)+(Labor!$H$21/12))*(1+$G$33)^7</f>
        <v>6149.3693271243501</v>
      </c>
      <c r="DN33" s="340">
        <f>((Labor!$H$20/12)+(Labor!$H$21/12))*(1+$G$33)^7</f>
        <v>6149.3693271243501</v>
      </c>
      <c r="DP33" s="340">
        <f t="shared" si="29"/>
        <v>533540.16277523199</v>
      </c>
    </row>
    <row r="34" spans="3:120" x14ac:dyDescent="0.3">
      <c r="E34" s="331" t="str">
        <f>'Table 3.0'!E62</f>
        <v>Payroll Taxes &amp; Incentives</v>
      </c>
      <c r="V34" s="561"/>
      <c r="AH34" s="561"/>
      <c r="AT34" s="561"/>
      <c r="BF34" s="561"/>
      <c r="BR34" s="561"/>
      <c r="CD34" s="561"/>
      <c r="CP34" s="561"/>
      <c r="DB34" s="561"/>
      <c r="DP34" s="340"/>
    </row>
    <row r="35" spans="3:120" x14ac:dyDescent="0.3">
      <c r="F35" s="331" t="str">
        <f>'Table 3.0'!F63</f>
        <v>Payroll Taxes</v>
      </c>
      <c r="G35" s="936">
        <f>'Table 3.0'!G63</f>
        <v>0.1</v>
      </c>
      <c r="H35" s="942" t="str">
        <f>'Table 3.0'!H63</f>
        <v>of Salaries and Wages</v>
      </c>
      <c r="V35" s="561"/>
      <c r="W35" s="340">
        <f>$G$35*SUM(W31:W33)</f>
        <v>1541.666666666667</v>
      </c>
      <c r="X35" s="340">
        <f t="shared" ref="X35:CI35" si="30">$G$35*SUM(X31:X33)</f>
        <v>1541.666666666667</v>
      </c>
      <c r="Y35" s="340">
        <f t="shared" si="30"/>
        <v>1541.666666666667</v>
      </c>
      <c r="Z35" s="340">
        <f t="shared" si="30"/>
        <v>1541.666666666667</v>
      </c>
      <c r="AA35" s="340">
        <f t="shared" si="30"/>
        <v>1541.666666666667</v>
      </c>
      <c r="AB35" s="340">
        <f t="shared" si="30"/>
        <v>1541.666666666667</v>
      </c>
      <c r="AC35" s="340">
        <f t="shared" si="30"/>
        <v>1541.666666666667</v>
      </c>
      <c r="AD35" s="340">
        <f t="shared" si="30"/>
        <v>1541.666666666667</v>
      </c>
      <c r="AE35" s="340">
        <f t="shared" si="30"/>
        <v>1541.666666666667</v>
      </c>
      <c r="AF35" s="340">
        <f t="shared" si="30"/>
        <v>1541.666666666667</v>
      </c>
      <c r="AG35" s="340">
        <f t="shared" si="30"/>
        <v>1541.666666666667</v>
      </c>
      <c r="AH35" s="562">
        <f t="shared" si="30"/>
        <v>1541.666666666667</v>
      </c>
      <c r="AI35" s="340">
        <f t="shared" si="30"/>
        <v>1587.916666666667</v>
      </c>
      <c r="AJ35" s="340">
        <f t="shared" si="30"/>
        <v>1587.916666666667</v>
      </c>
      <c r="AK35" s="340">
        <f t="shared" si="30"/>
        <v>1587.916666666667</v>
      </c>
      <c r="AL35" s="340">
        <f t="shared" si="30"/>
        <v>1587.916666666667</v>
      </c>
      <c r="AM35" s="340">
        <f t="shared" si="30"/>
        <v>1587.916666666667</v>
      </c>
      <c r="AN35" s="340">
        <f t="shared" si="30"/>
        <v>1587.916666666667</v>
      </c>
      <c r="AO35" s="340">
        <f t="shared" si="30"/>
        <v>1587.916666666667</v>
      </c>
      <c r="AP35" s="340">
        <f t="shared" si="30"/>
        <v>1587.916666666667</v>
      </c>
      <c r="AQ35" s="340">
        <f t="shared" si="30"/>
        <v>1587.916666666667</v>
      </c>
      <c r="AR35" s="340">
        <f t="shared" si="30"/>
        <v>1587.916666666667</v>
      </c>
      <c r="AS35" s="340">
        <f t="shared" si="30"/>
        <v>1587.916666666667</v>
      </c>
      <c r="AT35" s="562">
        <f t="shared" si="30"/>
        <v>1587.916666666667</v>
      </c>
      <c r="AU35" s="340">
        <f t="shared" si="30"/>
        <v>1635.5541666666668</v>
      </c>
      <c r="AV35" s="340">
        <f t="shared" si="30"/>
        <v>1635.5541666666668</v>
      </c>
      <c r="AW35" s="340">
        <f t="shared" si="30"/>
        <v>1635.5541666666668</v>
      </c>
      <c r="AX35" s="340">
        <f t="shared" si="30"/>
        <v>1635.5541666666668</v>
      </c>
      <c r="AY35" s="340">
        <f t="shared" si="30"/>
        <v>1635.5541666666668</v>
      </c>
      <c r="AZ35" s="340">
        <f t="shared" si="30"/>
        <v>1635.5541666666668</v>
      </c>
      <c r="BA35" s="340">
        <f t="shared" si="30"/>
        <v>1635.5541666666668</v>
      </c>
      <c r="BB35" s="340">
        <f t="shared" si="30"/>
        <v>1635.5541666666668</v>
      </c>
      <c r="BC35" s="340">
        <f t="shared" si="30"/>
        <v>1635.5541666666668</v>
      </c>
      <c r="BD35" s="340">
        <f t="shared" si="30"/>
        <v>1635.5541666666668</v>
      </c>
      <c r="BE35" s="340">
        <f t="shared" si="30"/>
        <v>1635.5541666666668</v>
      </c>
      <c r="BF35" s="562">
        <f t="shared" si="30"/>
        <v>1635.5541666666668</v>
      </c>
      <c r="BG35" s="340">
        <f t="shared" si="30"/>
        <v>1684.6207916666667</v>
      </c>
      <c r="BH35" s="340">
        <f t="shared" si="30"/>
        <v>1684.6207916666667</v>
      </c>
      <c r="BI35" s="340">
        <f t="shared" si="30"/>
        <v>1684.6207916666667</v>
      </c>
      <c r="BJ35" s="340">
        <f t="shared" si="30"/>
        <v>1684.6207916666667</v>
      </c>
      <c r="BK35" s="340">
        <f t="shared" si="30"/>
        <v>1684.6207916666667</v>
      </c>
      <c r="BL35" s="340">
        <f t="shared" si="30"/>
        <v>1684.6207916666667</v>
      </c>
      <c r="BM35" s="340">
        <f t="shared" si="30"/>
        <v>1684.6207916666667</v>
      </c>
      <c r="BN35" s="340">
        <f t="shared" si="30"/>
        <v>1684.6207916666667</v>
      </c>
      <c r="BO35" s="340">
        <f t="shared" si="30"/>
        <v>1684.6207916666667</v>
      </c>
      <c r="BP35" s="340">
        <f t="shared" si="30"/>
        <v>1684.6207916666667</v>
      </c>
      <c r="BQ35" s="340">
        <f t="shared" si="30"/>
        <v>1684.6207916666667</v>
      </c>
      <c r="BR35" s="562">
        <f t="shared" si="30"/>
        <v>1684.6207916666667</v>
      </c>
      <c r="BS35" s="340">
        <f t="shared" si="30"/>
        <v>1735.1594154166667</v>
      </c>
      <c r="BT35" s="340">
        <f t="shared" si="30"/>
        <v>1735.1594154166667</v>
      </c>
      <c r="BU35" s="340">
        <f t="shared" si="30"/>
        <v>1735.1594154166667</v>
      </c>
      <c r="BV35" s="340">
        <f t="shared" si="30"/>
        <v>1735.1594154166667</v>
      </c>
      <c r="BW35" s="340">
        <f t="shared" si="30"/>
        <v>1735.1594154166667</v>
      </c>
      <c r="BX35" s="340">
        <f t="shared" si="30"/>
        <v>1735.1594154166667</v>
      </c>
      <c r="BY35" s="340">
        <f t="shared" si="30"/>
        <v>1735.1594154166667</v>
      </c>
      <c r="BZ35" s="340">
        <f t="shared" si="30"/>
        <v>1735.1594154166667</v>
      </c>
      <c r="CA35" s="340">
        <f t="shared" si="30"/>
        <v>1735.1594154166667</v>
      </c>
      <c r="CB35" s="340">
        <f t="shared" si="30"/>
        <v>1735.1594154166667</v>
      </c>
      <c r="CC35" s="340">
        <f t="shared" si="30"/>
        <v>1735.1594154166667</v>
      </c>
      <c r="CD35" s="562">
        <f t="shared" si="30"/>
        <v>1735.1594154166667</v>
      </c>
      <c r="CE35" s="340">
        <f t="shared" si="30"/>
        <v>1787.2141978791669</v>
      </c>
      <c r="CF35" s="340">
        <f t="shared" si="30"/>
        <v>1787.2141978791669</v>
      </c>
      <c r="CG35" s="340">
        <f t="shared" si="30"/>
        <v>1787.2141978791669</v>
      </c>
      <c r="CH35" s="340">
        <f t="shared" si="30"/>
        <v>1787.2141978791669</v>
      </c>
      <c r="CI35" s="340">
        <f t="shared" si="30"/>
        <v>1787.2141978791669</v>
      </c>
      <c r="CJ35" s="340">
        <f t="shared" ref="CJ35:DN35" si="31">$G$35*SUM(CJ31:CJ33)</f>
        <v>1787.2141978791669</v>
      </c>
      <c r="CK35" s="340">
        <f t="shared" si="31"/>
        <v>1787.2141978791669</v>
      </c>
      <c r="CL35" s="340">
        <f t="shared" si="31"/>
        <v>1787.2141978791669</v>
      </c>
      <c r="CM35" s="340">
        <f t="shared" si="31"/>
        <v>1787.2141978791669</v>
      </c>
      <c r="CN35" s="340">
        <f t="shared" si="31"/>
        <v>1787.2141978791669</v>
      </c>
      <c r="CO35" s="340">
        <f t="shared" si="31"/>
        <v>1787.2141978791669</v>
      </c>
      <c r="CP35" s="562">
        <f t="shared" si="31"/>
        <v>1787.2141978791669</v>
      </c>
      <c r="CQ35" s="340">
        <f t="shared" si="31"/>
        <v>1840.8306238155417</v>
      </c>
      <c r="CR35" s="340">
        <f t="shared" si="31"/>
        <v>1840.8306238155417</v>
      </c>
      <c r="CS35" s="340">
        <f t="shared" si="31"/>
        <v>1840.8306238155417</v>
      </c>
      <c r="CT35" s="340">
        <f t="shared" si="31"/>
        <v>1840.8306238155417</v>
      </c>
      <c r="CU35" s="340">
        <f t="shared" si="31"/>
        <v>1840.8306238155417</v>
      </c>
      <c r="CV35" s="340">
        <f t="shared" si="31"/>
        <v>1840.8306238155417</v>
      </c>
      <c r="CW35" s="340">
        <f t="shared" si="31"/>
        <v>1840.8306238155417</v>
      </c>
      <c r="CX35" s="340">
        <f t="shared" si="31"/>
        <v>1840.8306238155417</v>
      </c>
      <c r="CY35" s="340">
        <f t="shared" si="31"/>
        <v>1840.8306238155417</v>
      </c>
      <c r="CZ35" s="340">
        <f t="shared" si="31"/>
        <v>1840.8306238155417</v>
      </c>
      <c r="DA35" s="340">
        <f t="shared" si="31"/>
        <v>1840.8306238155417</v>
      </c>
      <c r="DB35" s="562">
        <f t="shared" si="31"/>
        <v>1840.8306238155417</v>
      </c>
      <c r="DC35" s="340">
        <f t="shared" si="31"/>
        <v>1896.0555425300081</v>
      </c>
      <c r="DD35" s="340">
        <f t="shared" si="31"/>
        <v>1896.0555425300081</v>
      </c>
      <c r="DE35" s="340">
        <f t="shared" si="31"/>
        <v>1896.0555425300081</v>
      </c>
      <c r="DF35" s="340">
        <f t="shared" si="31"/>
        <v>1896.0555425300081</v>
      </c>
      <c r="DG35" s="340">
        <f t="shared" si="31"/>
        <v>1896.0555425300081</v>
      </c>
      <c r="DH35" s="340">
        <f t="shared" si="31"/>
        <v>1896.0555425300081</v>
      </c>
      <c r="DI35" s="340">
        <f t="shared" si="31"/>
        <v>1896.0555425300081</v>
      </c>
      <c r="DJ35" s="340">
        <f t="shared" si="31"/>
        <v>1896.0555425300081</v>
      </c>
      <c r="DK35" s="340">
        <f t="shared" si="31"/>
        <v>1896.0555425300081</v>
      </c>
      <c r="DL35" s="340">
        <f t="shared" si="31"/>
        <v>1896.0555425300081</v>
      </c>
      <c r="DM35" s="340">
        <f t="shared" si="31"/>
        <v>1896.0555425300081</v>
      </c>
      <c r="DN35" s="340">
        <f t="shared" si="31"/>
        <v>1896.0555425300081</v>
      </c>
      <c r="DP35" s="340">
        <f t="shared" si="29"/>
        <v>164508.21685569634</v>
      </c>
    </row>
    <row r="36" spans="3:120" x14ac:dyDescent="0.3">
      <c r="F36" s="331" t="str">
        <f>'Table 3.0'!F64</f>
        <v>Payroll Processing Fees</v>
      </c>
      <c r="G36" s="936">
        <f>'Table 3.0'!G64</f>
        <v>0.01</v>
      </c>
      <c r="H36" s="942" t="str">
        <f>'Table 3.0'!H64</f>
        <v>of Salaries and Wages</v>
      </c>
      <c r="V36" s="561"/>
      <c r="W36" s="340">
        <f>$G$36*SUM(W31:W33)</f>
        <v>154.16666666666669</v>
      </c>
      <c r="X36" s="340">
        <f t="shared" ref="X36:CI36" si="32">$G$36*SUM(X31:X33)</f>
        <v>154.16666666666669</v>
      </c>
      <c r="Y36" s="340">
        <f t="shared" si="32"/>
        <v>154.16666666666669</v>
      </c>
      <c r="Z36" s="340">
        <f t="shared" si="32"/>
        <v>154.16666666666669</v>
      </c>
      <c r="AA36" s="340">
        <f t="shared" si="32"/>
        <v>154.16666666666669</v>
      </c>
      <c r="AB36" s="340">
        <f t="shared" si="32"/>
        <v>154.16666666666669</v>
      </c>
      <c r="AC36" s="340">
        <f t="shared" si="32"/>
        <v>154.16666666666669</v>
      </c>
      <c r="AD36" s="340">
        <f t="shared" si="32"/>
        <v>154.16666666666669</v>
      </c>
      <c r="AE36" s="340">
        <f t="shared" si="32"/>
        <v>154.16666666666669</v>
      </c>
      <c r="AF36" s="340">
        <f t="shared" si="32"/>
        <v>154.16666666666669</v>
      </c>
      <c r="AG36" s="340">
        <f t="shared" si="32"/>
        <v>154.16666666666669</v>
      </c>
      <c r="AH36" s="562">
        <f t="shared" si="32"/>
        <v>154.16666666666669</v>
      </c>
      <c r="AI36" s="340">
        <f t="shared" si="32"/>
        <v>158.79166666666669</v>
      </c>
      <c r="AJ36" s="340">
        <f t="shared" si="32"/>
        <v>158.79166666666669</v>
      </c>
      <c r="AK36" s="340">
        <f t="shared" si="32"/>
        <v>158.79166666666669</v>
      </c>
      <c r="AL36" s="340">
        <f t="shared" si="32"/>
        <v>158.79166666666669</v>
      </c>
      <c r="AM36" s="340">
        <f t="shared" si="32"/>
        <v>158.79166666666669</v>
      </c>
      <c r="AN36" s="340">
        <f t="shared" si="32"/>
        <v>158.79166666666669</v>
      </c>
      <c r="AO36" s="340">
        <f t="shared" si="32"/>
        <v>158.79166666666669</v>
      </c>
      <c r="AP36" s="340">
        <f t="shared" si="32"/>
        <v>158.79166666666669</v>
      </c>
      <c r="AQ36" s="340">
        <f t="shared" si="32"/>
        <v>158.79166666666669</v>
      </c>
      <c r="AR36" s="340">
        <f t="shared" si="32"/>
        <v>158.79166666666669</v>
      </c>
      <c r="AS36" s="340">
        <f t="shared" si="32"/>
        <v>158.79166666666669</v>
      </c>
      <c r="AT36" s="562">
        <f t="shared" si="32"/>
        <v>158.79166666666669</v>
      </c>
      <c r="AU36" s="340">
        <f t="shared" si="32"/>
        <v>163.55541666666667</v>
      </c>
      <c r="AV36" s="340">
        <f t="shared" si="32"/>
        <v>163.55541666666667</v>
      </c>
      <c r="AW36" s="340">
        <f t="shared" si="32"/>
        <v>163.55541666666667</v>
      </c>
      <c r="AX36" s="340">
        <f t="shared" si="32"/>
        <v>163.55541666666667</v>
      </c>
      <c r="AY36" s="340">
        <f t="shared" si="32"/>
        <v>163.55541666666667</v>
      </c>
      <c r="AZ36" s="340">
        <f t="shared" si="32"/>
        <v>163.55541666666667</v>
      </c>
      <c r="BA36" s="340">
        <f t="shared" si="32"/>
        <v>163.55541666666667</v>
      </c>
      <c r="BB36" s="340">
        <f t="shared" si="32"/>
        <v>163.55541666666667</v>
      </c>
      <c r="BC36" s="340">
        <f t="shared" si="32"/>
        <v>163.55541666666667</v>
      </c>
      <c r="BD36" s="340">
        <f t="shared" si="32"/>
        <v>163.55541666666667</v>
      </c>
      <c r="BE36" s="340">
        <f t="shared" si="32"/>
        <v>163.55541666666667</v>
      </c>
      <c r="BF36" s="562">
        <f t="shared" si="32"/>
        <v>163.55541666666667</v>
      </c>
      <c r="BG36" s="340">
        <f t="shared" si="32"/>
        <v>168.46207916666665</v>
      </c>
      <c r="BH36" s="340">
        <f t="shared" si="32"/>
        <v>168.46207916666665</v>
      </c>
      <c r="BI36" s="340">
        <f t="shared" si="32"/>
        <v>168.46207916666665</v>
      </c>
      <c r="BJ36" s="340">
        <f t="shared" si="32"/>
        <v>168.46207916666665</v>
      </c>
      <c r="BK36" s="340">
        <f t="shared" si="32"/>
        <v>168.46207916666665</v>
      </c>
      <c r="BL36" s="340">
        <f t="shared" si="32"/>
        <v>168.46207916666665</v>
      </c>
      <c r="BM36" s="340">
        <f t="shared" si="32"/>
        <v>168.46207916666665</v>
      </c>
      <c r="BN36" s="340">
        <f t="shared" si="32"/>
        <v>168.46207916666665</v>
      </c>
      <c r="BO36" s="340">
        <f t="shared" si="32"/>
        <v>168.46207916666665</v>
      </c>
      <c r="BP36" s="340">
        <f t="shared" si="32"/>
        <v>168.46207916666665</v>
      </c>
      <c r="BQ36" s="340">
        <f t="shared" si="32"/>
        <v>168.46207916666665</v>
      </c>
      <c r="BR36" s="562">
        <f t="shared" si="32"/>
        <v>168.46207916666665</v>
      </c>
      <c r="BS36" s="340">
        <f t="shared" si="32"/>
        <v>173.51594154166665</v>
      </c>
      <c r="BT36" s="340">
        <f t="shared" si="32"/>
        <v>173.51594154166665</v>
      </c>
      <c r="BU36" s="340">
        <f t="shared" si="32"/>
        <v>173.51594154166665</v>
      </c>
      <c r="BV36" s="340">
        <f t="shared" si="32"/>
        <v>173.51594154166665</v>
      </c>
      <c r="BW36" s="340">
        <f t="shared" si="32"/>
        <v>173.51594154166665</v>
      </c>
      <c r="BX36" s="340">
        <f t="shared" si="32"/>
        <v>173.51594154166665</v>
      </c>
      <c r="BY36" s="340">
        <f t="shared" si="32"/>
        <v>173.51594154166665</v>
      </c>
      <c r="BZ36" s="340">
        <f t="shared" si="32"/>
        <v>173.51594154166665</v>
      </c>
      <c r="CA36" s="340">
        <f t="shared" si="32"/>
        <v>173.51594154166665</v>
      </c>
      <c r="CB36" s="340">
        <f t="shared" si="32"/>
        <v>173.51594154166665</v>
      </c>
      <c r="CC36" s="340">
        <f t="shared" si="32"/>
        <v>173.51594154166665</v>
      </c>
      <c r="CD36" s="562">
        <f t="shared" si="32"/>
        <v>173.51594154166665</v>
      </c>
      <c r="CE36" s="340">
        <f t="shared" si="32"/>
        <v>178.72141978791669</v>
      </c>
      <c r="CF36" s="340">
        <f t="shared" si="32"/>
        <v>178.72141978791669</v>
      </c>
      <c r="CG36" s="340">
        <f t="shared" si="32"/>
        <v>178.72141978791669</v>
      </c>
      <c r="CH36" s="340">
        <f t="shared" si="32"/>
        <v>178.72141978791669</v>
      </c>
      <c r="CI36" s="340">
        <f t="shared" si="32"/>
        <v>178.72141978791669</v>
      </c>
      <c r="CJ36" s="340">
        <f t="shared" ref="CJ36:DN36" si="33">$G$36*SUM(CJ31:CJ33)</f>
        <v>178.72141978791669</v>
      </c>
      <c r="CK36" s="340">
        <f t="shared" si="33"/>
        <v>178.72141978791669</v>
      </c>
      <c r="CL36" s="340">
        <f t="shared" si="33"/>
        <v>178.72141978791669</v>
      </c>
      <c r="CM36" s="340">
        <f t="shared" si="33"/>
        <v>178.72141978791669</v>
      </c>
      <c r="CN36" s="340">
        <f t="shared" si="33"/>
        <v>178.72141978791669</v>
      </c>
      <c r="CO36" s="340">
        <f t="shared" si="33"/>
        <v>178.72141978791669</v>
      </c>
      <c r="CP36" s="562">
        <f t="shared" si="33"/>
        <v>178.72141978791669</v>
      </c>
      <c r="CQ36" s="340">
        <f t="shared" si="33"/>
        <v>184.08306238155416</v>
      </c>
      <c r="CR36" s="340">
        <f t="shared" si="33"/>
        <v>184.08306238155416</v>
      </c>
      <c r="CS36" s="340">
        <f t="shared" si="33"/>
        <v>184.08306238155416</v>
      </c>
      <c r="CT36" s="340">
        <f t="shared" si="33"/>
        <v>184.08306238155416</v>
      </c>
      <c r="CU36" s="340">
        <f t="shared" si="33"/>
        <v>184.08306238155416</v>
      </c>
      <c r="CV36" s="340">
        <f t="shared" si="33"/>
        <v>184.08306238155416</v>
      </c>
      <c r="CW36" s="340">
        <f t="shared" si="33"/>
        <v>184.08306238155416</v>
      </c>
      <c r="CX36" s="340">
        <f t="shared" si="33"/>
        <v>184.08306238155416</v>
      </c>
      <c r="CY36" s="340">
        <f t="shared" si="33"/>
        <v>184.08306238155416</v>
      </c>
      <c r="CZ36" s="340">
        <f t="shared" si="33"/>
        <v>184.08306238155416</v>
      </c>
      <c r="DA36" s="340">
        <f t="shared" si="33"/>
        <v>184.08306238155416</v>
      </c>
      <c r="DB36" s="562">
        <f t="shared" si="33"/>
        <v>184.08306238155416</v>
      </c>
      <c r="DC36" s="340">
        <f t="shared" si="33"/>
        <v>189.6055542530008</v>
      </c>
      <c r="DD36" s="340">
        <f t="shared" si="33"/>
        <v>189.6055542530008</v>
      </c>
      <c r="DE36" s="340">
        <f t="shared" si="33"/>
        <v>189.6055542530008</v>
      </c>
      <c r="DF36" s="340">
        <f t="shared" si="33"/>
        <v>189.6055542530008</v>
      </c>
      <c r="DG36" s="340">
        <f t="shared" si="33"/>
        <v>189.6055542530008</v>
      </c>
      <c r="DH36" s="340">
        <f t="shared" si="33"/>
        <v>189.6055542530008</v>
      </c>
      <c r="DI36" s="340">
        <f t="shared" si="33"/>
        <v>189.6055542530008</v>
      </c>
      <c r="DJ36" s="340">
        <f t="shared" si="33"/>
        <v>189.6055542530008</v>
      </c>
      <c r="DK36" s="340">
        <f t="shared" si="33"/>
        <v>189.6055542530008</v>
      </c>
      <c r="DL36" s="340">
        <f t="shared" si="33"/>
        <v>189.6055542530008</v>
      </c>
      <c r="DM36" s="340">
        <f t="shared" si="33"/>
        <v>189.6055542530008</v>
      </c>
      <c r="DN36" s="340">
        <f t="shared" si="33"/>
        <v>189.6055542530008</v>
      </c>
      <c r="DP36" s="340">
        <f t="shared" si="29"/>
        <v>16450.821685569677</v>
      </c>
    </row>
    <row r="37" spans="3:120" x14ac:dyDescent="0.3">
      <c r="F37" s="331" t="str">
        <f>'Table 3.0'!F65</f>
        <v>Benefits</v>
      </c>
      <c r="G37" s="936">
        <f>'Table 3.0'!G65</f>
        <v>0.01</v>
      </c>
      <c r="H37" s="942" t="str">
        <f>'Table 3.0'!H65</f>
        <v>of Salaries and Wages</v>
      </c>
      <c r="V37" s="561"/>
      <c r="W37" s="340">
        <f>$G$37*SUM(W31:W33)</f>
        <v>154.16666666666669</v>
      </c>
      <c r="X37" s="340">
        <f t="shared" ref="X37:CI37" si="34">$G$37*SUM(X31:X33)</f>
        <v>154.16666666666669</v>
      </c>
      <c r="Y37" s="340">
        <f t="shared" si="34"/>
        <v>154.16666666666669</v>
      </c>
      <c r="Z37" s="340">
        <f t="shared" si="34"/>
        <v>154.16666666666669</v>
      </c>
      <c r="AA37" s="340">
        <f t="shared" si="34"/>
        <v>154.16666666666669</v>
      </c>
      <c r="AB37" s="340">
        <f t="shared" si="34"/>
        <v>154.16666666666669</v>
      </c>
      <c r="AC37" s="340">
        <f t="shared" si="34"/>
        <v>154.16666666666669</v>
      </c>
      <c r="AD37" s="340">
        <f t="shared" si="34"/>
        <v>154.16666666666669</v>
      </c>
      <c r="AE37" s="340">
        <f t="shared" si="34"/>
        <v>154.16666666666669</v>
      </c>
      <c r="AF37" s="340">
        <f t="shared" si="34"/>
        <v>154.16666666666669</v>
      </c>
      <c r="AG37" s="340">
        <f t="shared" si="34"/>
        <v>154.16666666666669</v>
      </c>
      <c r="AH37" s="562">
        <f t="shared" si="34"/>
        <v>154.16666666666669</v>
      </c>
      <c r="AI37" s="340">
        <f t="shared" si="34"/>
        <v>158.79166666666669</v>
      </c>
      <c r="AJ37" s="340">
        <f t="shared" si="34"/>
        <v>158.79166666666669</v>
      </c>
      <c r="AK37" s="340">
        <f t="shared" si="34"/>
        <v>158.79166666666669</v>
      </c>
      <c r="AL37" s="340">
        <f t="shared" si="34"/>
        <v>158.79166666666669</v>
      </c>
      <c r="AM37" s="340">
        <f t="shared" si="34"/>
        <v>158.79166666666669</v>
      </c>
      <c r="AN37" s="340">
        <f t="shared" si="34"/>
        <v>158.79166666666669</v>
      </c>
      <c r="AO37" s="340">
        <f t="shared" si="34"/>
        <v>158.79166666666669</v>
      </c>
      <c r="AP37" s="340">
        <f t="shared" si="34"/>
        <v>158.79166666666669</v>
      </c>
      <c r="AQ37" s="340">
        <f t="shared" si="34"/>
        <v>158.79166666666669</v>
      </c>
      <c r="AR37" s="340">
        <f t="shared" si="34"/>
        <v>158.79166666666669</v>
      </c>
      <c r="AS37" s="340">
        <f t="shared" si="34"/>
        <v>158.79166666666669</v>
      </c>
      <c r="AT37" s="562">
        <f t="shared" si="34"/>
        <v>158.79166666666669</v>
      </c>
      <c r="AU37" s="340">
        <f t="shared" si="34"/>
        <v>163.55541666666667</v>
      </c>
      <c r="AV37" s="340">
        <f t="shared" si="34"/>
        <v>163.55541666666667</v>
      </c>
      <c r="AW37" s="340">
        <f t="shared" si="34"/>
        <v>163.55541666666667</v>
      </c>
      <c r="AX37" s="340">
        <f t="shared" si="34"/>
        <v>163.55541666666667</v>
      </c>
      <c r="AY37" s="340">
        <f t="shared" si="34"/>
        <v>163.55541666666667</v>
      </c>
      <c r="AZ37" s="340">
        <f t="shared" si="34"/>
        <v>163.55541666666667</v>
      </c>
      <c r="BA37" s="340">
        <f t="shared" si="34"/>
        <v>163.55541666666667</v>
      </c>
      <c r="BB37" s="340">
        <f t="shared" si="34"/>
        <v>163.55541666666667</v>
      </c>
      <c r="BC37" s="340">
        <f t="shared" si="34"/>
        <v>163.55541666666667</v>
      </c>
      <c r="BD37" s="340">
        <f t="shared" si="34"/>
        <v>163.55541666666667</v>
      </c>
      <c r="BE37" s="340">
        <f t="shared" si="34"/>
        <v>163.55541666666667</v>
      </c>
      <c r="BF37" s="562">
        <f t="shared" si="34"/>
        <v>163.55541666666667</v>
      </c>
      <c r="BG37" s="340">
        <f t="shared" si="34"/>
        <v>168.46207916666665</v>
      </c>
      <c r="BH37" s="340">
        <f t="shared" si="34"/>
        <v>168.46207916666665</v>
      </c>
      <c r="BI37" s="340">
        <f t="shared" si="34"/>
        <v>168.46207916666665</v>
      </c>
      <c r="BJ37" s="340">
        <f t="shared" si="34"/>
        <v>168.46207916666665</v>
      </c>
      <c r="BK37" s="340">
        <f t="shared" si="34"/>
        <v>168.46207916666665</v>
      </c>
      <c r="BL37" s="340">
        <f t="shared" si="34"/>
        <v>168.46207916666665</v>
      </c>
      <c r="BM37" s="340">
        <f t="shared" si="34"/>
        <v>168.46207916666665</v>
      </c>
      <c r="BN37" s="340">
        <f t="shared" si="34"/>
        <v>168.46207916666665</v>
      </c>
      <c r="BO37" s="340">
        <f t="shared" si="34"/>
        <v>168.46207916666665</v>
      </c>
      <c r="BP37" s="340">
        <f t="shared" si="34"/>
        <v>168.46207916666665</v>
      </c>
      <c r="BQ37" s="340">
        <f t="shared" si="34"/>
        <v>168.46207916666665</v>
      </c>
      <c r="BR37" s="562">
        <f t="shared" si="34"/>
        <v>168.46207916666665</v>
      </c>
      <c r="BS37" s="340">
        <f t="shared" si="34"/>
        <v>173.51594154166665</v>
      </c>
      <c r="BT37" s="340">
        <f t="shared" si="34"/>
        <v>173.51594154166665</v>
      </c>
      <c r="BU37" s="340">
        <f t="shared" si="34"/>
        <v>173.51594154166665</v>
      </c>
      <c r="BV37" s="340">
        <f t="shared" si="34"/>
        <v>173.51594154166665</v>
      </c>
      <c r="BW37" s="340">
        <f t="shared" si="34"/>
        <v>173.51594154166665</v>
      </c>
      <c r="BX37" s="340">
        <f t="shared" si="34"/>
        <v>173.51594154166665</v>
      </c>
      <c r="BY37" s="340">
        <f t="shared" si="34"/>
        <v>173.51594154166665</v>
      </c>
      <c r="BZ37" s="340">
        <f t="shared" si="34"/>
        <v>173.51594154166665</v>
      </c>
      <c r="CA37" s="340">
        <f t="shared" si="34"/>
        <v>173.51594154166665</v>
      </c>
      <c r="CB37" s="340">
        <f t="shared" si="34"/>
        <v>173.51594154166665</v>
      </c>
      <c r="CC37" s="340">
        <f t="shared" si="34"/>
        <v>173.51594154166665</v>
      </c>
      <c r="CD37" s="562">
        <f t="shared" si="34"/>
        <v>173.51594154166665</v>
      </c>
      <c r="CE37" s="340">
        <f t="shared" si="34"/>
        <v>178.72141978791669</v>
      </c>
      <c r="CF37" s="340">
        <f t="shared" si="34"/>
        <v>178.72141978791669</v>
      </c>
      <c r="CG37" s="340">
        <f t="shared" si="34"/>
        <v>178.72141978791669</v>
      </c>
      <c r="CH37" s="340">
        <f t="shared" si="34"/>
        <v>178.72141978791669</v>
      </c>
      <c r="CI37" s="340">
        <f t="shared" si="34"/>
        <v>178.72141978791669</v>
      </c>
      <c r="CJ37" s="340">
        <f t="shared" ref="CJ37:DN37" si="35">$G$37*SUM(CJ31:CJ33)</f>
        <v>178.72141978791669</v>
      </c>
      <c r="CK37" s="340">
        <f t="shared" si="35"/>
        <v>178.72141978791669</v>
      </c>
      <c r="CL37" s="340">
        <f t="shared" si="35"/>
        <v>178.72141978791669</v>
      </c>
      <c r="CM37" s="340">
        <f t="shared" si="35"/>
        <v>178.72141978791669</v>
      </c>
      <c r="CN37" s="340">
        <f t="shared" si="35"/>
        <v>178.72141978791669</v>
      </c>
      <c r="CO37" s="340">
        <f t="shared" si="35"/>
        <v>178.72141978791669</v>
      </c>
      <c r="CP37" s="562">
        <f t="shared" si="35"/>
        <v>178.72141978791669</v>
      </c>
      <c r="CQ37" s="340">
        <f t="shared" si="35"/>
        <v>184.08306238155416</v>
      </c>
      <c r="CR37" s="340">
        <f t="shared" si="35"/>
        <v>184.08306238155416</v>
      </c>
      <c r="CS37" s="340">
        <f t="shared" si="35"/>
        <v>184.08306238155416</v>
      </c>
      <c r="CT37" s="340">
        <f t="shared" si="35"/>
        <v>184.08306238155416</v>
      </c>
      <c r="CU37" s="340">
        <f t="shared" si="35"/>
        <v>184.08306238155416</v>
      </c>
      <c r="CV37" s="340">
        <f t="shared" si="35"/>
        <v>184.08306238155416</v>
      </c>
      <c r="CW37" s="340">
        <f t="shared" si="35"/>
        <v>184.08306238155416</v>
      </c>
      <c r="CX37" s="340">
        <f t="shared" si="35"/>
        <v>184.08306238155416</v>
      </c>
      <c r="CY37" s="340">
        <f t="shared" si="35"/>
        <v>184.08306238155416</v>
      </c>
      <c r="CZ37" s="340">
        <f t="shared" si="35"/>
        <v>184.08306238155416</v>
      </c>
      <c r="DA37" s="340">
        <f t="shared" si="35"/>
        <v>184.08306238155416</v>
      </c>
      <c r="DB37" s="562">
        <f t="shared" si="35"/>
        <v>184.08306238155416</v>
      </c>
      <c r="DC37" s="340">
        <f t="shared" si="35"/>
        <v>189.6055542530008</v>
      </c>
      <c r="DD37" s="340">
        <f t="shared" si="35"/>
        <v>189.6055542530008</v>
      </c>
      <c r="DE37" s="340">
        <f t="shared" si="35"/>
        <v>189.6055542530008</v>
      </c>
      <c r="DF37" s="340">
        <f t="shared" si="35"/>
        <v>189.6055542530008</v>
      </c>
      <c r="DG37" s="340">
        <f t="shared" si="35"/>
        <v>189.6055542530008</v>
      </c>
      <c r="DH37" s="340">
        <f t="shared" si="35"/>
        <v>189.6055542530008</v>
      </c>
      <c r="DI37" s="340">
        <f t="shared" si="35"/>
        <v>189.6055542530008</v>
      </c>
      <c r="DJ37" s="340">
        <f t="shared" si="35"/>
        <v>189.6055542530008</v>
      </c>
      <c r="DK37" s="340">
        <f t="shared" si="35"/>
        <v>189.6055542530008</v>
      </c>
      <c r="DL37" s="340">
        <f t="shared" si="35"/>
        <v>189.6055542530008</v>
      </c>
      <c r="DM37" s="340">
        <f t="shared" si="35"/>
        <v>189.6055542530008</v>
      </c>
      <c r="DN37" s="340">
        <f t="shared" si="35"/>
        <v>189.6055542530008</v>
      </c>
      <c r="DP37" s="340">
        <f t="shared" si="29"/>
        <v>16450.821685569677</v>
      </c>
    </row>
    <row r="38" spans="3:120" x14ac:dyDescent="0.3">
      <c r="D38" s="331" t="str">
        <f>'Table 3.0'!D66</f>
        <v>Laundry Expenses</v>
      </c>
      <c r="V38" s="561"/>
      <c r="AH38" s="561"/>
      <c r="AT38" s="561"/>
      <c r="BF38" s="561"/>
      <c r="BR38" s="561"/>
      <c r="CD38" s="561"/>
      <c r="CP38" s="561"/>
      <c r="DB38" s="561"/>
      <c r="DP38" s="340"/>
    </row>
    <row r="39" spans="3:120" x14ac:dyDescent="0.3">
      <c r="E39" s="331" t="str">
        <f>'Table 3.0'!E67</f>
        <v>Laundry Machine Related Exp.</v>
      </c>
      <c r="G39" s="936">
        <f>'Table 3.0'!G67</f>
        <v>0.03</v>
      </c>
      <c r="H39" s="942" t="str">
        <f>'Table 3.0'!H67</f>
        <v>YoY Growth</v>
      </c>
      <c r="V39" s="561"/>
      <c r="W39" s="925">
        <v>250</v>
      </c>
      <c r="X39" s="340">
        <f>W39</f>
        <v>250</v>
      </c>
      <c r="Y39" s="340">
        <f t="shared" ref="Y39:AH39" si="36">X39</f>
        <v>250</v>
      </c>
      <c r="Z39" s="340">
        <f t="shared" si="36"/>
        <v>250</v>
      </c>
      <c r="AA39" s="340">
        <f t="shared" si="36"/>
        <v>250</v>
      </c>
      <c r="AB39" s="340">
        <f t="shared" si="36"/>
        <v>250</v>
      </c>
      <c r="AC39" s="340">
        <f t="shared" si="36"/>
        <v>250</v>
      </c>
      <c r="AD39" s="340">
        <f t="shared" si="36"/>
        <v>250</v>
      </c>
      <c r="AE39" s="340">
        <f t="shared" si="36"/>
        <v>250</v>
      </c>
      <c r="AF39" s="340">
        <f t="shared" si="36"/>
        <v>250</v>
      </c>
      <c r="AG39" s="340">
        <f t="shared" si="36"/>
        <v>250</v>
      </c>
      <c r="AH39" s="562">
        <f t="shared" si="36"/>
        <v>250</v>
      </c>
      <c r="AI39" s="340">
        <f t="shared" ref="AI39:AT39" si="37">$W$39*(1+$G$39)</f>
        <v>257.5</v>
      </c>
      <c r="AJ39" s="340">
        <f t="shared" si="37"/>
        <v>257.5</v>
      </c>
      <c r="AK39" s="340">
        <f t="shared" si="37"/>
        <v>257.5</v>
      </c>
      <c r="AL39" s="340">
        <f t="shared" si="37"/>
        <v>257.5</v>
      </c>
      <c r="AM39" s="340">
        <f t="shared" si="37"/>
        <v>257.5</v>
      </c>
      <c r="AN39" s="340">
        <f t="shared" si="37"/>
        <v>257.5</v>
      </c>
      <c r="AO39" s="340">
        <f t="shared" si="37"/>
        <v>257.5</v>
      </c>
      <c r="AP39" s="340">
        <f t="shared" si="37"/>
        <v>257.5</v>
      </c>
      <c r="AQ39" s="340">
        <f t="shared" si="37"/>
        <v>257.5</v>
      </c>
      <c r="AR39" s="340">
        <f t="shared" si="37"/>
        <v>257.5</v>
      </c>
      <c r="AS39" s="340">
        <f t="shared" si="37"/>
        <v>257.5</v>
      </c>
      <c r="AT39" s="562">
        <f t="shared" si="37"/>
        <v>257.5</v>
      </c>
      <c r="AU39" s="340">
        <f t="shared" ref="AU39:BF39" si="38">$W$39*(1+$G$39)^2</f>
        <v>265.22499999999997</v>
      </c>
      <c r="AV39" s="340">
        <f t="shared" si="38"/>
        <v>265.22499999999997</v>
      </c>
      <c r="AW39" s="340">
        <f t="shared" si="38"/>
        <v>265.22499999999997</v>
      </c>
      <c r="AX39" s="340">
        <f t="shared" si="38"/>
        <v>265.22499999999997</v>
      </c>
      <c r="AY39" s="340">
        <f t="shared" si="38"/>
        <v>265.22499999999997</v>
      </c>
      <c r="AZ39" s="340">
        <f t="shared" si="38"/>
        <v>265.22499999999997</v>
      </c>
      <c r="BA39" s="340">
        <f t="shared" si="38"/>
        <v>265.22499999999997</v>
      </c>
      <c r="BB39" s="340">
        <f t="shared" si="38"/>
        <v>265.22499999999997</v>
      </c>
      <c r="BC39" s="340">
        <f t="shared" si="38"/>
        <v>265.22499999999997</v>
      </c>
      <c r="BD39" s="340">
        <f t="shared" si="38"/>
        <v>265.22499999999997</v>
      </c>
      <c r="BE39" s="340">
        <f t="shared" si="38"/>
        <v>265.22499999999997</v>
      </c>
      <c r="BF39" s="562">
        <f t="shared" si="38"/>
        <v>265.22499999999997</v>
      </c>
      <c r="BG39" s="340">
        <f t="shared" ref="BG39:BR39" si="39">$W$39*(1+$G$39)^3</f>
        <v>273.18175000000002</v>
      </c>
      <c r="BH39" s="340">
        <f t="shared" si="39"/>
        <v>273.18175000000002</v>
      </c>
      <c r="BI39" s="340">
        <f t="shared" si="39"/>
        <v>273.18175000000002</v>
      </c>
      <c r="BJ39" s="340">
        <f t="shared" si="39"/>
        <v>273.18175000000002</v>
      </c>
      <c r="BK39" s="340">
        <f t="shared" si="39"/>
        <v>273.18175000000002</v>
      </c>
      <c r="BL39" s="340">
        <f t="shared" si="39"/>
        <v>273.18175000000002</v>
      </c>
      <c r="BM39" s="340">
        <f t="shared" si="39"/>
        <v>273.18175000000002</v>
      </c>
      <c r="BN39" s="340">
        <f t="shared" si="39"/>
        <v>273.18175000000002</v>
      </c>
      <c r="BO39" s="340">
        <f t="shared" si="39"/>
        <v>273.18175000000002</v>
      </c>
      <c r="BP39" s="340">
        <f t="shared" si="39"/>
        <v>273.18175000000002</v>
      </c>
      <c r="BQ39" s="340">
        <f t="shared" si="39"/>
        <v>273.18175000000002</v>
      </c>
      <c r="BR39" s="562">
        <f t="shared" si="39"/>
        <v>273.18175000000002</v>
      </c>
      <c r="BS39" s="340">
        <f t="shared" ref="BS39:CD39" si="40">$W$39*(1+$G$39)^4</f>
        <v>281.37720249999995</v>
      </c>
      <c r="BT39" s="340">
        <f t="shared" si="40"/>
        <v>281.37720249999995</v>
      </c>
      <c r="BU39" s="340">
        <f t="shared" si="40"/>
        <v>281.37720249999995</v>
      </c>
      <c r="BV39" s="340">
        <f t="shared" si="40"/>
        <v>281.37720249999995</v>
      </c>
      <c r="BW39" s="340">
        <f t="shared" si="40"/>
        <v>281.37720249999995</v>
      </c>
      <c r="BX39" s="340">
        <f t="shared" si="40"/>
        <v>281.37720249999995</v>
      </c>
      <c r="BY39" s="340">
        <f t="shared" si="40"/>
        <v>281.37720249999995</v>
      </c>
      <c r="BZ39" s="340">
        <f t="shared" si="40"/>
        <v>281.37720249999995</v>
      </c>
      <c r="CA39" s="340">
        <f t="shared" si="40"/>
        <v>281.37720249999995</v>
      </c>
      <c r="CB39" s="340">
        <f t="shared" si="40"/>
        <v>281.37720249999995</v>
      </c>
      <c r="CC39" s="340">
        <f t="shared" si="40"/>
        <v>281.37720249999995</v>
      </c>
      <c r="CD39" s="562">
        <f t="shared" si="40"/>
        <v>281.37720249999995</v>
      </c>
      <c r="CE39" s="340">
        <f t="shared" ref="CE39:CP39" si="41">$W$39*(1+$G$39)^5</f>
        <v>289.81851857499998</v>
      </c>
      <c r="CF39" s="340">
        <f t="shared" si="41"/>
        <v>289.81851857499998</v>
      </c>
      <c r="CG39" s="340">
        <f t="shared" si="41"/>
        <v>289.81851857499998</v>
      </c>
      <c r="CH39" s="340">
        <f t="shared" si="41"/>
        <v>289.81851857499998</v>
      </c>
      <c r="CI39" s="340">
        <f t="shared" si="41"/>
        <v>289.81851857499998</v>
      </c>
      <c r="CJ39" s="340">
        <f t="shared" si="41"/>
        <v>289.81851857499998</v>
      </c>
      <c r="CK39" s="340">
        <f t="shared" si="41"/>
        <v>289.81851857499998</v>
      </c>
      <c r="CL39" s="340">
        <f t="shared" si="41"/>
        <v>289.81851857499998</v>
      </c>
      <c r="CM39" s="340">
        <f t="shared" si="41"/>
        <v>289.81851857499998</v>
      </c>
      <c r="CN39" s="340">
        <f t="shared" si="41"/>
        <v>289.81851857499998</v>
      </c>
      <c r="CO39" s="340">
        <f t="shared" si="41"/>
        <v>289.81851857499998</v>
      </c>
      <c r="CP39" s="562">
        <f t="shared" si="41"/>
        <v>289.81851857499998</v>
      </c>
      <c r="CQ39" s="340">
        <f t="shared" ref="CQ39:DB39" si="42">$W$39*(1+$G$39)^6</f>
        <v>298.51307413224998</v>
      </c>
      <c r="CR39" s="340">
        <f t="shared" si="42"/>
        <v>298.51307413224998</v>
      </c>
      <c r="CS39" s="340">
        <f t="shared" si="42"/>
        <v>298.51307413224998</v>
      </c>
      <c r="CT39" s="340">
        <f t="shared" si="42"/>
        <v>298.51307413224998</v>
      </c>
      <c r="CU39" s="340">
        <f t="shared" si="42"/>
        <v>298.51307413224998</v>
      </c>
      <c r="CV39" s="340">
        <f t="shared" si="42"/>
        <v>298.51307413224998</v>
      </c>
      <c r="CW39" s="340">
        <f t="shared" si="42"/>
        <v>298.51307413224998</v>
      </c>
      <c r="CX39" s="340">
        <f t="shared" si="42"/>
        <v>298.51307413224998</v>
      </c>
      <c r="CY39" s="340">
        <f t="shared" si="42"/>
        <v>298.51307413224998</v>
      </c>
      <c r="CZ39" s="340">
        <f t="shared" si="42"/>
        <v>298.51307413224998</v>
      </c>
      <c r="DA39" s="340">
        <f t="shared" si="42"/>
        <v>298.51307413224998</v>
      </c>
      <c r="DB39" s="562">
        <f t="shared" si="42"/>
        <v>298.51307413224998</v>
      </c>
      <c r="DC39" s="340">
        <f t="shared" ref="DC39:DN39" si="43">$W$39*(1+$G$39)^7</f>
        <v>307.4684663562175</v>
      </c>
      <c r="DD39" s="340">
        <f t="shared" si="43"/>
        <v>307.4684663562175</v>
      </c>
      <c r="DE39" s="340">
        <f t="shared" si="43"/>
        <v>307.4684663562175</v>
      </c>
      <c r="DF39" s="340">
        <f t="shared" si="43"/>
        <v>307.4684663562175</v>
      </c>
      <c r="DG39" s="340">
        <f t="shared" si="43"/>
        <v>307.4684663562175</v>
      </c>
      <c r="DH39" s="340">
        <f t="shared" si="43"/>
        <v>307.4684663562175</v>
      </c>
      <c r="DI39" s="340">
        <f t="shared" si="43"/>
        <v>307.4684663562175</v>
      </c>
      <c r="DJ39" s="340">
        <f t="shared" si="43"/>
        <v>307.4684663562175</v>
      </c>
      <c r="DK39" s="340">
        <f t="shared" si="43"/>
        <v>307.4684663562175</v>
      </c>
      <c r="DL39" s="340">
        <f t="shared" si="43"/>
        <v>307.4684663562175</v>
      </c>
      <c r="DM39" s="340">
        <f t="shared" si="43"/>
        <v>307.4684663562175</v>
      </c>
      <c r="DN39" s="340">
        <f t="shared" si="43"/>
        <v>307.4684663562175</v>
      </c>
      <c r="DP39" s="340">
        <f t="shared" si="29"/>
        <v>26677.00813876163</v>
      </c>
    </row>
    <row r="40" spans="3:120" x14ac:dyDescent="0.3">
      <c r="E40" s="331" t="str">
        <f>'Table 3.0'!E68</f>
        <v>Laundry Vending Machine Supplies</v>
      </c>
      <c r="G40" s="936">
        <f>'Table 3.0'!G68</f>
        <v>0.03</v>
      </c>
      <c r="H40" s="942" t="str">
        <f>'Table 3.0'!H68</f>
        <v>YoY Growth</v>
      </c>
      <c r="V40" s="561"/>
      <c r="W40" s="925">
        <v>3500</v>
      </c>
      <c r="X40" s="340">
        <f>W40</f>
        <v>3500</v>
      </c>
      <c r="Y40" s="340">
        <f t="shared" ref="Y40:AH40" si="44">X40</f>
        <v>3500</v>
      </c>
      <c r="Z40" s="340">
        <f t="shared" si="44"/>
        <v>3500</v>
      </c>
      <c r="AA40" s="340">
        <f t="shared" si="44"/>
        <v>3500</v>
      </c>
      <c r="AB40" s="340">
        <f t="shared" si="44"/>
        <v>3500</v>
      </c>
      <c r="AC40" s="340">
        <f t="shared" si="44"/>
        <v>3500</v>
      </c>
      <c r="AD40" s="340">
        <f t="shared" si="44"/>
        <v>3500</v>
      </c>
      <c r="AE40" s="340">
        <f t="shared" si="44"/>
        <v>3500</v>
      </c>
      <c r="AF40" s="340">
        <f t="shared" si="44"/>
        <v>3500</v>
      </c>
      <c r="AG40" s="340">
        <f t="shared" si="44"/>
        <v>3500</v>
      </c>
      <c r="AH40" s="562">
        <f t="shared" si="44"/>
        <v>3500</v>
      </c>
      <c r="AI40" s="340">
        <f t="shared" ref="AI40:AT40" si="45">$W$40*(1+$G$40)</f>
        <v>3605</v>
      </c>
      <c r="AJ40" s="340">
        <f t="shared" si="45"/>
        <v>3605</v>
      </c>
      <c r="AK40" s="340">
        <f t="shared" si="45"/>
        <v>3605</v>
      </c>
      <c r="AL40" s="340">
        <f t="shared" si="45"/>
        <v>3605</v>
      </c>
      <c r="AM40" s="340">
        <f t="shared" si="45"/>
        <v>3605</v>
      </c>
      <c r="AN40" s="340">
        <f t="shared" si="45"/>
        <v>3605</v>
      </c>
      <c r="AO40" s="340">
        <f t="shared" si="45"/>
        <v>3605</v>
      </c>
      <c r="AP40" s="340">
        <f t="shared" si="45"/>
        <v>3605</v>
      </c>
      <c r="AQ40" s="340">
        <f t="shared" si="45"/>
        <v>3605</v>
      </c>
      <c r="AR40" s="340">
        <f t="shared" si="45"/>
        <v>3605</v>
      </c>
      <c r="AS40" s="340">
        <f t="shared" si="45"/>
        <v>3605</v>
      </c>
      <c r="AT40" s="562">
        <f t="shared" si="45"/>
        <v>3605</v>
      </c>
      <c r="AU40" s="340">
        <f t="shared" ref="AU40:BF40" si="46">$W$40*(1+$G$40)^2</f>
        <v>3713.1499999999996</v>
      </c>
      <c r="AV40" s="340">
        <f t="shared" si="46"/>
        <v>3713.1499999999996</v>
      </c>
      <c r="AW40" s="340">
        <f t="shared" si="46"/>
        <v>3713.1499999999996</v>
      </c>
      <c r="AX40" s="340">
        <f t="shared" si="46"/>
        <v>3713.1499999999996</v>
      </c>
      <c r="AY40" s="340">
        <f t="shared" si="46"/>
        <v>3713.1499999999996</v>
      </c>
      <c r="AZ40" s="340">
        <f t="shared" si="46"/>
        <v>3713.1499999999996</v>
      </c>
      <c r="BA40" s="340">
        <f t="shared" si="46"/>
        <v>3713.1499999999996</v>
      </c>
      <c r="BB40" s="340">
        <f t="shared" si="46"/>
        <v>3713.1499999999996</v>
      </c>
      <c r="BC40" s="340">
        <f t="shared" si="46"/>
        <v>3713.1499999999996</v>
      </c>
      <c r="BD40" s="340">
        <f t="shared" si="46"/>
        <v>3713.1499999999996</v>
      </c>
      <c r="BE40" s="340">
        <f t="shared" si="46"/>
        <v>3713.1499999999996</v>
      </c>
      <c r="BF40" s="562">
        <f t="shared" si="46"/>
        <v>3713.1499999999996</v>
      </c>
      <c r="BG40" s="340">
        <f t="shared" ref="BG40:BR40" si="47">$W$40*(1+$G$40)^3</f>
        <v>3824.5445</v>
      </c>
      <c r="BH40" s="340">
        <f t="shared" si="47"/>
        <v>3824.5445</v>
      </c>
      <c r="BI40" s="340">
        <f t="shared" si="47"/>
        <v>3824.5445</v>
      </c>
      <c r="BJ40" s="340">
        <f t="shared" si="47"/>
        <v>3824.5445</v>
      </c>
      <c r="BK40" s="340">
        <f t="shared" si="47"/>
        <v>3824.5445</v>
      </c>
      <c r="BL40" s="340">
        <f t="shared" si="47"/>
        <v>3824.5445</v>
      </c>
      <c r="BM40" s="340">
        <f t="shared" si="47"/>
        <v>3824.5445</v>
      </c>
      <c r="BN40" s="340">
        <f t="shared" si="47"/>
        <v>3824.5445</v>
      </c>
      <c r="BO40" s="340">
        <f t="shared" si="47"/>
        <v>3824.5445</v>
      </c>
      <c r="BP40" s="340">
        <f t="shared" si="47"/>
        <v>3824.5445</v>
      </c>
      <c r="BQ40" s="340">
        <f t="shared" si="47"/>
        <v>3824.5445</v>
      </c>
      <c r="BR40" s="562">
        <f t="shared" si="47"/>
        <v>3824.5445</v>
      </c>
      <c r="BS40" s="340">
        <f t="shared" ref="BS40:CD40" si="48">$W$40*(1+$G$40)^4</f>
        <v>3939.2808349999996</v>
      </c>
      <c r="BT40" s="340">
        <f t="shared" si="48"/>
        <v>3939.2808349999996</v>
      </c>
      <c r="BU40" s="340">
        <f t="shared" si="48"/>
        <v>3939.2808349999996</v>
      </c>
      <c r="BV40" s="340">
        <f t="shared" si="48"/>
        <v>3939.2808349999996</v>
      </c>
      <c r="BW40" s="340">
        <f t="shared" si="48"/>
        <v>3939.2808349999996</v>
      </c>
      <c r="BX40" s="340">
        <f t="shared" si="48"/>
        <v>3939.2808349999996</v>
      </c>
      <c r="BY40" s="340">
        <f t="shared" si="48"/>
        <v>3939.2808349999996</v>
      </c>
      <c r="BZ40" s="340">
        <f t="shared" si="48"/>
        <v>3939.2808349999996</v>
      </c>
      <c r="CA40" s="340">
        <f t="shared" si="48"/>
        <v>3939.2808349999996</v>
      </c>
      <c r="CB40" s="340">
        <f t="shared" si="48"/>
        <v>3939.2808349999996</v>
      </c>
      <c r="CC40" s="340">
        <f t="shared" si="48"/>
        <v>3939.2808349999996</v>
      </c>
      <c r="CD40" s="562">
        <f t="shared" si="48"/>
        <v>3939.2808349999996</v>
      </c>
      <c r="CE40" s="340">
        <f t="shared" ref="CE40:CP40" si="49">$W$40*(1+$G$40)^5</f>
        <v>4057.4592600499996</v>
      </c>
      <c r="CF40" s="340">
        <f t="shared" si="49"/>
        <v>4057.4592600499996</v>
      </c>
      <c r="CG40" s="340">
        <f t="shared" si="49"/>
        <v>4057.4592600499996</v>
      </c>
      <c r="CH40" s="340">
        <f t="shared" si="49"/>
        <v>4057.4592600499996</v>
      </c>
      <c r="CI40" s="340">
        <f t="shared" si="49"/>
        <v>4057.4592600499996</v>
      </c>
      <c r="CJ40" s="340">
        <f t="shared" si="49"/>
        <v>4057.4592600499996</v>
      </c>
      <c r="CK40" s="340">
        <f t="shared" si="49"/>
        <v>4057.4592600499996</v>
      </c>
      <c r="CL40" s="340">
        <f t="shared" si="49"/>
        <v>4057.4592600499996</v>
      </c>
      <c r="CM40" s="340">
        <f t="shared" si="49"/>
        <v>4057.4592600499996</v>
      </c>
      <c r="CN40" s="340">
        <f t="shared" si="49"/>
        <v>4057.4592600499996</v>
      </c>
      <c r="CO40" s="340">
        <f t="shared" si="49"/>
        <v>4057.4592600499996</v>
      </c>
      <c r="CP40" s="562">
        <f t="shared" si="49"/>
        <v>4057.4592600499996</v>
      </c>
      <c r="CQ40" s="340">
        <f t="shared" ref="CQ40:DB40" si="50">$W$40*(1+$G$40)^6</f>
        <v>4179.1830378514996</v>
      </c>
      <c r="CR40" s="340">
        <f t="shared" si="50"/>
        <v>4179.1830378514996</v>
      </c>
      <c r="CS40" s="340">
        <f t="shared" si="50"/>
        <v>4179.1830378514996</v>
      </c>
      <c r="CT40" s="340">
        <f t="shared" si="50"/>
        <v>4179.1830378514996</v>
      </c>
      <c r="CU40" s="340">
        <f t="shared" si="50"/>
        <v>4179.1830378514996</v>
      </c>
      <c r="CV40" s="340">
        <f t="shared" si="50"/>
        <v>4179.1830378514996</v>
      </c>
      <c r="CW40" s="340">
        <f t="shared" si="50"/>
        <v>4179.1830378514996</v>
      </c>
      <c r="CX40" s="340">
        <f t="shared" si="50"/>
        <v>4179.1830378514996</v>
      </c>
      <c r="CY40" s="340">
        <f t="shared" si="50"/>
        <v>4179.1830378514996</v>
      </c>
      <c r="CZ40" s="340">
        <f t="shared" si="50"/>
        <v>4179.1830378514996</v>
      </c>
      <c r="DA40" s="340">
        <f t="shared" si="50"/>
        <v>4179.1830378514996</v>
      </c>
      <c r="DB40" s="562">
        <f t="shared" si="50"/>
        <v>4179.1830378514996</v>
      </c>
      <c r="DC40" s="340">
        <f t="shared" ref="DC40:DN40" si="51">$W$40*(1+$G$40)^7</f>
        <v>4304.5585289870451</v>
      </c>
      <c r="DD40" s="340">
        <f t="shared" si="51"/>
        <v>4304.5585289870451</v>
      </c>
      <c r="DE40" s="340">
        <f t="shared" si="51"/>
        <v>4304.5585289870451</v>
      </c>
      <c r="DF40" s="340">
        <f t="shared" si="51"/>
        <v>4304.5585289870451</v>
      </c>
      <c r="DG40" s="340">
        <f t="shared" si="51"/>
        <v>4304.5585289870451</v>
      </c>
      <c r="DH40" s="340">
        <f t="shared" si="51"/>
        <v>4304.5585289870451</v>
      </c>
      <c r="DI40" s="340">
        <f t="shared" si="51"/>
        <v>4304.5585289870451</v>
      </c>
      <c r="DJ40" s="340">
        <f t="shared" si="51"/>
        <v>4304.5585289870451</v>
      </c>
      <c r="DK40" s="340">
        <f t="shared" si="51"/>
        <v>4304.5585289870451</v>
      </c>
      <c r="DL40" s="340">
        <f t="shared" si="51"/>
        <v>4304.5585289870451</v>
      </c>
      <c r="DM40" s="340">
        <f t="shared" si="51"/>
        <v>4304.5585289870451</v>
      </c>
      <c r="DN40" s="340">
        <f t="shared" si="51"/>
        <v>4304.5585289870451</v>
      </c>
      <c r="DP40" s="340">
        <f t="shared" si="29"/>
        <v>373478.1139426622</v>
      </c>
    </row>
    <row r="41" spans="3:120" x14ac:dyDescent="0.3">
      <c r="D41" s="331" t="str">
        <f>'Table 3.0'!D69</f>
        <v>Retail Expenses</v>
      </c>
      <c r="G41" s="338"/>
      <c r="V41" s="561"/>
      <c r="AH41" s="561"/>
      <c r="AT41" s="561"/>
      <c r="BF41" s="561"/>
      <c r="BR41" s="561"/>
      <c r="CD41" s="561"/>
      <c r="CP41" s="561"/>
      <c r="DB41" s="561"/>
      <c r="DP41" s="340"/>
    </row>
    <row r="42" spans="3:120" x14ac:dyDescent="0.3">
      <c r="D42" s="342"/>
      <c r="E42" s="346" t="str">
        <f>'Table 3.0'!E70</f>
        <v>Convenience Store/Vending Supplies</v>
      </c>
      <c r="F42" s="342"/>
      <c r="G42" s="937">
        <f>'Table 3.0'!G70</f>
        <v>0.03</v>
      </c>
      <c r="H42" s="943" t="str">
        <f>'Table 3.0'!H70</f>
        <v>YoY Growth</v>
      </c>
      <c r="I42" s="342"/>
      <c r="J42" s="342"/>
      <c r="K42" s="342"/>
      <c r="L42" s="342"/>
      <c r="M42" s="342"/>
      <c r="N42" s="342"/>
      <c r="O42" s="342"/>
      <c r="P42" s="342"/>
      <c r="Q42" s="342"/>
      <c r="R42" s="342"/>
      <c r="S42" s="342"/>
      <c r="T42" s="342"/>
      <c r="U42" s="342"/>
      <c r="V42" s="892"/>
      <c r="W42" s="682">
        <v>3500</v>
      </c>
      <c r="X42" s="344">
        <f>W42</f>
        <v>3500</v>
      </c>
      <c r="Y42" s="344">
        <f t="shared" ref="Y42:AH42" si="52">X42</f>
        <v>3500</v>
      </c>
      <c r="Z42" s="344">
        <f t="shared" si="52"/>
        <v>3500</v>
      </c>
      <c r="AA42" s="344">
        <f t="shared" si="52"/>
        <v>3500</v>
      </c>
      <c r="AB42" s="344">
        <f t="shared" si="52"/>
        <v>3500</v>
      </c>
      <c r="AC42" s="344">
        <f t="shared" si="52"/>
        <v>3500</v>
      </c>
      <c r="AD42" s="344">
        <f t="shared" si="52"/>
        <v>3500</v>
      </c>
      <c r="AE42" s="344">
        <f t="shared" si="52"/>
        <v>3500</v>
      </c>
      <c r="AF42" s="344">
        <f t="shared" si="52"/>
        <v>3500</v>
      </c>
      <c r="AG42" s="344">
        <f t="shared" si="52"/>
        <v>3500</v>
      </c>
      <c r="AH42" s="563">
        <f t="shared" si="52"/>
        <v>3500</v>
      </c>
      <c r="AI42" s="344">
        <f t="shared" ref="AI42:AT42" si="53">$W$42*(1+$G$42)</f>
        <v>3605</v>
      </c>
      <c r="AJ42" s="344">
        <f t="shared" si="53"/>
        <v>3605</v>
      </c>
      <c r="AK42" s="344">
        <f t="shared" si="53"/>
        <v>3605</v>
      </c>
      <c r="AL42" s="344">
        <f t="shared" si="53"/>
        <v>3605</v>
      </c>
      <c r="AM42" s="344">
        <f t="shared" si="53"/>
        <v>3605</v>
      </c>
      <c r="AN42" s="344">
        <f t="shared" si="53"/>
        <v>3605</v>
      </c>
      <c r="AO42" s="344">
        <f t="shared" si="53"/>
        <v>3605</v>
      </c>
      <c r="AP42" s="344">
        <f t="shared" si="53"/>
        <v>3605</v>
      </c>
      <c r="AQ42" s="344">
        <f t="shared" si="53"/>
        <v>3605</v>
      </c>
      <c r="AR42" s="344">
        <f t="shared" si="53"/>
        <v>3605</v>
      </c>
      <c r="AS42" s="344">
        <f t="shared" si="53"/>
        <v>3605</v>
      </c>
      <c r="AT42" s="563">
        <f t="shared" si="53"/>
        <v>3605</v>
      </c>
      <c r="AU42" s="344">
        <f t="shared" ref="AU42:BF42" si="54">$W$42*(1+$G$42)^2</f>
        <v>3713.1499999999996</v>
      </c>
      <c r="AV42" s="344">
        <f t="shared" si="54"/>
        <v>3713.1499999999996</v>
      </c>
      <c r="AW42" s="344">
        <f t="shared" si="54"/>
        <v>3713.1499999999996</v>
      </c>
      <c r="AX42" s="344">
        <f t="shared" si="54"/>
        <v>3713.1499999999996</v>
      </c>
      <c r="AY42" s="344">
        <f t="shared" si="54"/>
        <v>3713.1499999999996</v>
      </c>
      <c r="AZ42" s="344">
        <f t="shared" si="54"/>
        <v>3713.1499999999996</v>
      </c>
      <c r="BA42" s="344">
        <f t="shared" si="54"/>
        <v>3713.1499999999996</v>
      </c>
      <c r="BB42" s="344">
        <f t="shared" si="54"/>
        <v>3713.1499999999996</v>
      </c>
      <c r="BC42" s="344">
        <f t="shared" si="54"/>
        <v>3713.1499999999996</v>
      </c>
      <c r="BD42" s="344">
        <f t="shared" si="54"/>
        <v>3713.1499999999996</v>
      </c>
      <c r="BE42" s="344">
        <f t="shared" si="54"/>
        <v>3713.1499999999996</v>
      </c>
      <c r="BF42" s="563">
        <f t="shared" si="54"/>
        <v>3713.1499999999996</v>
      </c>
      <c r="BG42" s="344">
        <f t="shared" ref="BG42:BR42" si="55">$W$42*(1+$G$42)^3</f>
        <v>3824.5445</v>
      </c>
      <c r="BH42" s="344">
        <f t="shared" si="55"/>
        <v>3824.5445</v>
      </c>
      <c r="BI42" s="344">
        <f t="shared" si="55"/>
        <v>3824.5445</v>
      </c>
      <c r="BJ42" s="344">
        <f t="shared" si="55"/>
        <v>3824.5445</v>
      </c>
      <c r="BK42" s="344">
        <f t="shared" si="55"/>
        <v>3824.5445</v>
      </c>
      <c r="BL42" s="344">
        <f t="shared" si="55"/>
        <v>3824.5445</v>
      </c>
      <c r="BM42" s="344">
        <f t="shared" si="55"/>
        <v>3824.5445</v>
      </c>
      <c r="BN42" s="344">
        <f t="shared" si="55"/>
        <v>3824.5445</v>
      </c>
      <c r="BO42" s="344">
        <f t="shared" si="55"/>
        <v>3824.5445</v>
      </c>
      <c r="BP42" s="344">
        <f t="shared" si="55"/>
        <v>3824.5445</v>
      </c>
      <c r="BQ42" s="344">
        <f t="shared" si="55"/>
        <v>3824.5445</v>
      </c>
      <c r="BR42" s="563">
        <f t="shared" si="55"/>
        <v>3824.5445</v>
      </c>
      <c r="BS42" s="344">
        <f t="shared" ref="BS42:CD42" si="56">$W$42*(1+$G$42)^4</f>
        <v>3939.2808349999996</v>
      </c>
      <c r="BT42" s="344">
        <f t="shared" si="56"/>
        <v>3939.2808349999996</v>
      </c>
      <c r="BU42" s="344">
        <f t="shared" si="56"/>
        <v>3939.2808349999996</v>
      </c>
      <c r="BV42" s="344">
        <f t="shared" si="56"/>
        <v>3939.2808349999996</v>
      </c>
      <c r="BW42" s="344">
        <f t="shared" si="56"/>
        <v>3939.2808349999996</v>
      </c>
      <c r="BX42" s="344">
        <f t="shared" si="56"/>
        <v>3939.2808349999996</v>
      </c>
      <c r="BY42" s="344">
        <f t="shared" si="56"/>
        <v>3939.2808349999996</v>
      </c>
      <c r="BZ42" s="344">
        <f t="shared" si="56"/>
        <v>3939.2808349999996</v>
      </c>
      <c r="CA42" s="344">
        <f t="shared" si="56"/>
        <v>3939.2808349999996</v>
      </c>
      <c r="CB42" s="344">
        <f t="shared" si="56"/>
        <v>3939.2808349999996</v>
      </c>
      <c r="CC42" s="344">
        <f t="shared" si="56"/>
        <v>3939.2808349999996</v>
      </c>
      <c r="CD42" s="563">
        <f t="shared" si="56"/>
        <v>3939.2808349999996</v>
      </c>
      <c r="CE42" s="344">
        <f t="shared" ref="CE42:CP42" si="57">$W$42*(1+$G$42)^5</f>
        <v>4057.4592600499996</v>
      </c>
      <c r="CF42" s="344">
        <f t="shared" si="57"/>
        <v>4057.4592600499996</v>
      </c>
      <c r="CG42" s="344">
        <f t="shared" si="57"/>
        <v>4057.4592600499996</v>
      </c>
      <c r="CH42" s="344">
        <f t="shared" si="57"/>
        <v>4057.4592600499996</v>
      </c>
      <c r="CI42" s="344">
        <f t="shared" si="57"/>
        <v>4057.4592600499996</v>
      </c>
      <c r="CJ42" s="344">
        <f t="shared" si="57"/>
        <v>4057.4592600499996</v>
      </c>
      <c r="CK42" s="344">
        <f t="shared" si="57"/>
        <v>4057.4592600499996</v>
      </c>
      <c r="CL42" s="344">
        <f t="shared" si="57"/>
        <v>4057.4592600499996</v>
      </c>
      <c r="CM42" s="344">
        <f t="shared" si="57"/>
        <v>4057.4592600499996</v>
      </c>
      <c r="CN42" s="344">
        <f t="shared" si="57"/>
        <v>4057.4592600499996</v>
      </c>
      <c r="CO42" s="344">
        <f t="shared" si="57"/>
        <v>4057.4592600499996</v>
      </c>
      <c r="CP42" s="563">
        <f t="shared" si="57"/>
        <v>4057.4592600499996</v>
      </c>
      <c r="CQ42" s="344">
        <f t="shared" ref="CQ42:DB42" si="58">$W$42*(1+$G$42)^6</f>
        <v>4179.1830378514996</v>
      </c>
      <c r="CR42" s="344">
        <f t="shared" si="58"/>
        <v>4179.1830378514996</v>
      </c>
      <c r="CS42" s="344">
        <f t="shared" si="58"/>
        <v>4179.1830378514996</v>
      </c>
      <c r="CT42" s="344">
        <f t="shared" si="58"/>
        <v>4179.1830378514996</v>
      </c>
      <c r="CU42" s="344">
        <f t="shared" si="58"/>
        <v>4179.1830378514996</v>
      </c>
      <c r="CV42" s="344">
        <f t="shared" si="58"/>
        <v>4179.1830378514996</v>
      </c>
      <c r="CW42" s="344">
        <f t="shared" si="58"/>
        <v>4179.1830378514996</v>
      </c>
      <c r="CX42" s="344">
        <f t="shared" si="58"/>
        <v>4179.1830378514996</v>
      </c>
      <c r="CY42" s="344">
        <f t="shared" si="58"/>
        <v>4179.1830378514996</v>
      </c>
      <c r="CZ42" s="344">
        <f t="shared" si="58"/>
        <v>4179.1830378514996</v>
      </c>
      <c r="DA42" s="344">
        <f t="shared" si="58"/>
        <v>4179.1830378514996</v>
      </c>
      <c r="DB42" s="563">
        <f t="shared" si="58"/>
        <v>4179.1830378514996</v>
      </c>
      <c r="DC42" s="344">
        <f t="shared" ref="DC42:DN42" si="59">$W$42*(1+$G$42)^7</f>
        <v>4304.5585289870451</v>
      </c>
      <c r="DD42" s="344">
        <f t="shared" si="59"/>
        <v>4304.5585289870451</v>
      </c>
      <c r="DE42" s="344">
        <f t="shared" si="59"/>
        <v>4304.5585289870451</v>
      </c>
      <c r="DF42" s="344">
        <f t="shared" si="59"/>
        <v>4304.5585289870451</v>
      </c>
      <c r="DG42" s="344">
        <f t="shared" si="59"/>
        <v>4304.5585289870451</v>
      </c>
      <c r="DH42" s="344">
        <f t="shared" si="59"/>
        <v>4304.5585289870451</v>
      </c>
      <c r="DI42" s="344">
        <f t="shared" si="59"/>
        <v>4304.5585289870451</v>
      </c>
      <c r="DJ42" s="344">
        <f t="shared" si="59"/>
        <v>4304.5585289870451</v>
      </c>
      <c r="DK42" s="344">
        <f t="shared" si="59"/>
        <v>4304.5585289870451</v>
      </c>
      <c r="DL42" s="344">
        <f t="shared" si="59"/>
        <v>4304.5585289870451</v>
      </c>
      <c r="DM42" s="344">
        <f t="shared" si="59"/>
        <v>4304.5585289870451</v>
      </c>
      <c r="DN42" s="344">
        <f t="shared" si="59"/>
        <v>4304.5585289870451</v>
      </c>
      <c r="DO42" s="342"/>
      <c r="DP42" s="344">
        <f t="shared" si="29"/>
        <v>373478.1139426622</v>
      </c>
    </row>
    <row r="43" spans="3:120" x14ac:dyDescent="0.3">
      <c r="D43" s="331" t="str">
        <f>'Table 3.0'!D71</f>
        <v>Total Departmental Expenses</v>
      </c>
      <c r="K43" s="340">
        <f>SUM(K29:K42)</f>
        <v>0</v>
      </c>
      <c r="L43" s="340">
        <f t="shared" ref="L43:BW43" si="60">SUM(L29:L42)</f>
        <v>0</v>
      </c>
      <c r="M43" s="340">
        <f t="shared" si="60"/>
        <v>0</v>
      </c>
      <c r="N43" s="340">
        <f t="shared" si="60"/>
        <v>0</v>
      </c>
      <c r="O43" s="340">
        <f t="shared" si="60"/>
        <v>0</v>
      </c>
      <c r="P43" s="340">
        <f t="shared" si="60"/>
        <v>0</v>
      </c>
      <c r="Q43" s="340">
        <f t="shared" si="60"/>
        <v>0</v>
      </c>
      <c r="R43" s="340">
        <f t="shared" si="60"/>
        <v>0</v>
      </c>
      <c r="S43" s="340">
        <f t="shared" si="60"/>
        <v>0</v>
      </c>
      <c r="T43" s="340">
        <f t="shared" si="60"/>
        <v>0</v>
      </c>
      <c r="U43" s="340">
        <f t="shared" si="60"/>
        <v>0</v>
      </c>
      <c r="V43" s="562">
        <f t="shared" si="60"/>
        <v>0</v>
      </c>
      <c r="W43" s="340">
        <f t="shared" si="60"/>
        <v>24516.666666666672</v>
      </c>
      <c r="X43" s="340">
        <f t="shared" si="60"/>
        <v>24516.666666666672</v>
      </c>
      <c r="Y43" s="340">
        <f t="shared" si="60"/>
        <v>24516.666666666672</v>
      </c>
      <c r="Z43" s="340">
        <f t="shared" si="60"/>
        <v>24516.666666666672</v>
      </c>
      <c r="AA43" s="340">
        <f t="shared" si="60"/>
        <v>24516.666666666672</v>
      </c>
      <c r="AB43" s="340">
        <f t="shared" si="60"/>
        <v>24516.666666666672</v>
      </c>
      <c r="AC43" s="340">
        <f t="shared" si="60"/>
        <v>24516.666666666672</v>
      </c>
      <c r="AD43" s="340">
        <f t="shared" si="60"/>
        <v>24516.666666666672</v>
      </c>
      <c r="AE43" s="340">
        <f t="shared" si="60"/>
        <v>24516.666666666672</v>
      </c>
      <c r="AF43" s="340">
        <f t="shared" si="60"/>
        <v>24516.666666666672</v>
      </c>
      <c r="AG43" s="340">
        <f t="shared" si="60"/>
        <v>24516.666666666672</v>
      </c>
      <c r="AH43" s="562">
        <f t="shared" si="60"/>
        <v>24516.666666666672</v>
      </c>
      <c r="AI43" s="340">
        <f t="shared" si="60"/>
        <v>25252.166666666672</v>
      </c>
      <c r="AJ43" s="340">
        <f t="shared" si="60"/>
        <v>25252.166666666672</v>
      </c>
      <c r="AK43" s="340">
        <f t="shared" si="60"/>
        <v>25252.166666666672</v>
      </c>
      <c r="AL43" s="340">
        <f t="shared" si="60"/>
        <v>25252.166666666672</v>
      </c>
      <c r="AM43" s="340">
        <f t="shared" si="60"/>
        <v>25252.166666666672</v>
      </c>
      <c r="AN43" s="340">
        <f t="shared" si="60"/>
        <v>25252.166666666672</v>
      </c>
      <c r="AO43" s="340">
        <f t="shared" si="60"/>
        <v>25252.166666666672</v>
      </c>
      <c r="AP43" s="340">
        <f t="shared" si="60"/>
        <v>25252.166666666672</v>
      </c>
      <c r="AQ43" s="340">
        <f t="shared" si="60"/>
        <v>25252.166666666672</v>
      </c>
      <c r="AR43" s="340">
        <f t="shared" si="60"/>
        <v>25252.166666666672</v>
      </c>
      <c r="AS43" s="340">
        <f t="shared" si="60"/>
        <v>25252.166666666672</v>
      </c>
      <c r="AT43" s="562">
        <f t="shared" si="60"/>
        <v>25252.166666666672</v>
      </c>
      <c r="AU43" s="340">
        <f t="shared" si="60"/>
        <v>26009.731666666667</v>
      </c>
      <c r="AV43" s="340">
        <f t="shared" si="60"/>
        <v>26009.731666666667</v>
      </c>
      <c r="AW43" s="340">
        <f t="shared" si="60"/>
        <v>26009.731666666667</v>
      </c>
      <c r="AX43" s="340">
        <f t="shared" si="60"/>
        <v>26009.731666666667</v>
      </c>
      <c r="AY43" s="340">
        <f t="shared" si="60"/>
        <v>26009.731666666667</v>
      </c>
      <c r="AZ43" s="340">
        <f t="shared" si="60"/>
        <v>26009.731666666667</v>
      </c>
      <c r="BA43" s="340">
        <f t="shared" si="60"/>
        <v>26009.731666666667</v>
      </c>
      <c r="BB43" s="340">
        <f t="shared" si="60"/>
        <v>26009.731666666667</v>
      </c>
      <c r="BC43" s="340">
        <f t="shared" si="60"/>
        <v>26009.731666666667</v>
      </c>
      <c r="BD43" s="340">
        <f t="shared" si="60"/>
        <v>26009.731666666667</v>
      </c>
      <c r="BE43" s="340">
        <f t="shared" si="60"/>
        <v>26009.731666666667</v>
      </c>
      <c r="BF43" s="562">
        <f t="shared" si="60"/>
        <v>26009.731666666667</v>
      </c>
      <c r="BG43" s="340">
        <f t="shared" si="60"/>
        <v>26790.023616666669</v>
      </c>
      <c r="BH43" s="340">
        <f t="shared" si="60"/>
        <v>26790.023616666669</v>
      </c>
      <c r="BI43" s="340">
        <f t="shared" si="60"/>
        <v>26790.023616666669</v>
      </c>
      <c r="BJ43" s="340">
        <f t="shared" si="60"/>
        <v>26790.023616666669</v>
      </c>
      <c r="BK43" s="340">
        <f t="shared" si="60"/>
        <v>26790.023616666669</v>
      </c>
      <c r="BL43" s="340">
        <f t="shared" si="60"/>
        <v>26790.023616666669</v>
      </c>
      <c r="BM43" s="340">
        <f t="shared" si="60"/>
        <v>26790.023616666669</v>
      </c>
      <c r="BN43" s="340">
        <f t="shared" si="60"/>
        <v>26790.023616666669</v>
      </c>
      <c r="BO43" s="340">
        <f t="shared" si="60"/>
        <v>26790.023616666669</v>
      </c>
      <c r="BP43" s="340">
        <f t="shared" si="60"/>
        <v>26790.023616666669</v>
      </c>
      <c r="BQ43" s="340">
        <f t="shared" si="60"/>
        <v>26790.023616666669</v>
      </c>
      <c r="BR43" s="562">
        <f t="shared" si="60"/>
        <v>26790.023616666669</v>
      </c>
      <c r="BS43" s="340">
        <f t="shared" si="60"/>
        <v>27593.724325166666</v>
      </c>
      <c r="BT43" s="340">
        <f t="shared" si="60"/>
        <v>27593.724325166666</v>
      </c>
      <c r="BU43" s="340">
        <f t="shared" si="60"/>
        <v>27593.724325166666</v>
      </c>
      <c r="BV43" s="340">
        <f t="shared" si="60"/>
        <v>27593.724325166666</v>
      </c>
      <c r="BW43" s="340">
        <f t="shared" si="60"/>
        <v>27593.724325166666</v>
      </c>
      <c r="BX43" s="340">
        <f t="shared" ref="BX43:DN43" si="61">SUM(BX29:BX42)</f>
        <v>27593.724325166666</v>
      </c>
      <c r="BY43" s="340">
        <f t="shared" si="61"/>
        <v>27593.724325166666</v>
      </c>
      <c r="BZ43" s="340">
        <f t="shared" si="61"/>
        <v>27593.724325166666</v>
      </c>
      <c r="CA43" s="340">
        <f t="shared" si="61"/>
        <v>27593.724325166666</v>
      </c>
      <c r="CB43" s="340">
        <f t="shared" si="61"/>
        <v>27593.724325166666</v>
      </c>
      <c r="CC43" s="340">
        <f t="shared" si="61"/>
        <v>27593.724325166666</v>
      </c>
      <c r="CD43" s="562">
        <f t="shared" si="61"/>
        <v>27593.724325166666</v>
      </c>
      <c r="CE43" s="340">
        <f t="shared" si="61"/>
        <v>28421.536054921671</v>
      </c>
      <c r="CF43" s="340">
        <f t="shared" si="61"/>
        <v>28421.536054921671</v>
      </c>
      <c r="CG43" s="340">
        <f t="shared" si="61"/>
        <v>28421.536054921671</v>
      </c>
      <c r="CH43" s="340">
        <f t="shared" si="61"/>
        <v>28421.536054921671</v>
      </c>
      <c r="CI43" s="340">
        <f t="shared" si="61"/>
        <v>28421.536054921671</v>
      </c>
      <c r="CJ43" s="340">
        <f t="shared" si="61"/>
        <v>28421.536054921671</v>
      </c>
      <c r="CK43" s="340">
        <f t="shared" si="61"/>
        <v>28421.536054921671</v>
      </c>
      <c r="CL43" s="340">
        <f t="shared" si="61"/>
        <v>28421.536054921671</v>
      </c>
      <c r="CM43" s="340">
        <f t="shared" si="61"/>
        <v>28421.536054921671</v>
      </c>
      <c r="CN43" s="340">
        <f t="shared" si="61"/>
        <v>28421.536054921671</v>
      </c>
      <c r="CO43" s="340">
        <f t="shared" si="61"/>
        <v>28421.536054921671</v>
      </c>
      <c r="CP43" s="562">
        <f t="shared" si="61"/>
        <v>28421.536054921671</v>
      </c>
      <c r="CQ43" s="340">
        <f t="shared" si="61"/>
        <v>29274.182136569314</v>
      </c>
      <c r="CR43" s="340">
        <f t="shared" si="61"/>
        <v>29274.182136569314</v>
      </c>
      <c r="CS43" s="340">
        <f t="shared" si="61"/>
        <v>29274.182136569314</v>
      </c>
      <c r="CT43" s="340">
        <f t="shared" si="61"/>
        <v>29274.182136569314</v>
      </c>
      <c r="CU43" s="340">
        <f t="shared" si="61"/>
        <v>29274.182136569314</v>
      </c>
      <c r="CV43" s="340">
        <f t="shared" si="61"/>
        <v>29274.182136569314</v>
      </c>
      <c r="CW43" s="340">
        <f t="shared" si="61"/>
        <v>29274.182136569314</v>
      </c>
      <c r="CX43" s="340">
        <f t="shared" si="61"/>
        <v>29274.182136569314</v>
      </c>
      <c r="CY43" s="340">
        <f t="shared" si="61"/>
        <v>29274.182136569314</v>
      </c>
      <c r="CZ43" s="340">
        <f t="shared" si="61"/>
        <v>29274.182136569314</v>
      </c>
      <c r="DA43" s="340">
        <f t="shared" si="61"/>
        <v>29274.182136569314</v>
      </c>
      <c r="DB43" s="562">
        <f t="shared" si="61"/>
        <v>29274.182136569314</v>
      </c>
      <c r="DC43" s="340">
        <f t="shared" si="61"/>
        <v>30152.407600666396</v>
      </c>
      <c r="DD43" s="340">
        <f t="shared" si="61"/>
        <v>30152.407600666396</v>
      </c>
      <c r="DE43" s="340">
        <f t="shared" si="61"/>
        <v>30152.407600666396</v>
      </c>
      <c r="DF43" s="340">
        <f t="shared" si="61"/>
        <v>30152.407600666396</v>
      </c>
      <c r="DG43" s="340">
        <f t="shared" si="61"/>
        <v>30152.407600666396</v>
      </c>
      <c r="DH43" s="340">
        <f t="shared" si="61"/>
        <v>30152.407600666396</v>
      </c>
      <c r="DI43" s="340">
        <f t="shared" si="61"/>
        <v>30152.407600666396</v>
      </c>
      <c r="DJ43" s="340">
        <f t="shared" si="61"/>
        <v>30152.407600666396</v>
      </c>
      <c r="DK43" s="340">
        <f t="shared" si="61"/>
        <v>30152.407600666396</v>
      </c>
      <c r="DL43" s="340">
        <f t="shared" si="61"/>
        <v>30152.407600666396</v>
      </c>
      <c r="DM43" s="340">
        <f t="shared" si="61"/>
        <v>30152.407600666396</v>
      </c>
      <c r="DN43" s="340">
        <f t="shared" si="61"/>
        <v>30152.407600666396</v>
      </c>
      <c r="DP43" s="340">
        <f t="shared" si="29"/>
        <v>2616125.2648078864</v>
      </c>
    </row>
    <row r="44" spans="3:120" x14ac:dyDescent="0.3">
      <c r="V44" s="561"/>
      <c r="AH44" s="561"/>
      <c r="AT44" s="561"/>
      <c r="BF44" s="561"/>
      <c r="BR44" s="561"/>
      <c r="CD44" s="561"/>
      <c r="CP44" s="561"/>
      <c r="DB44" s="561"/>
      <c r="DP44" s="340"/>
    </row>
    <row r="45" spans="3:120" x14ac:dyDescent="0.3">
      <c r="C45" s="331" t="str">
        <f>'Table 3.0'!C73</f>
        <v>UNDISTRIBUTED OPERATING EXPENSES</v>
      </c>
      <c r="V45" s="561"/>
      <c r="AH45" s="561"/>
      <c r="AT45" s="561"/>
      <c r="BF45" s="561"/>
      <c r="BR45" s="561"/>
      <c r="CD45" s="561"/>
      <c r="CP45" s="561"/>
      <c r="DB45" s="561"/>
      <c r="DP45" s="340"/>
    </row>
    <row r="46" spans="3:120" x14ac:dyDescent="0.3">
      <c r="D46" s="331" t="str">
        <f>'Table 3.0'!D74</f>
        <v>Administrative &amp; General</v>
      </c>
      <c r="V46" s="561"/>
      <c r="AH46" s="561"/>
      <c r="AT46" s="561"/>
      <c r="BF46" s="561"/>
      <c r="BR46" s="561"/>
      <c r="CD46" s="561"/>
      <c r="CP46" s="561"/>
      <c r="DB46" s="561"/>
      <c r="DP46" s="340"/>
    </row>
    <row r="47" spans="3:120" x14ac:dyDescent="0.3">
      <c r="E47" s="331" t="str">
        <f>'Table 3.0'!E75</f>
        <v>Accounting</v>
      </c>
      <c r="G47" s="936">
        <f>'Table 3.0'!G75</f>
        <v>0.03</v>
      </c>
      <c r="H47" s="942" t="str">
        <f>'Table 3.0'!H75</f>
        <v>YoY Growth</v>
      </c>
      <c r="V47" s="561"/>
      <c r="W47" s="925">
        <v>250</v>
      </c>
      <c r="X47" s="340">
        <f>W47</f>
        <v>250</v>
      </c>
      <c r="Y47" s="340">
        <f t="shared" ref="Y47:AH47" si="62">X47</f>
        <v>250</v>
      </c>
      <c r="Z47" s="340">
        <f t="shared" si="62"/>
        <v>250</v>
      </c>
      <c r="AA47" s="340">
        <f t="shared" si="62"/>
        <v>250</v>
      </c>
      <c r="AB47" s="340">
        <f t="shared" si="62"/>
        <v>250</v>
      </c>
      <c r="AC47" s="340">
        <f t="shared" si="62"/>
        <v>250</v>
      </c>
      <c r="AD47" s="340">
        <f t="shared" si="62"/>
        <v>250</v>
      </c>
      <c r="AE47" s="340">
        <f t="shared" si="62"/>
        <v>250</v>
      </c>
      <c r="AF47" s="340">
        <f t="shared" si="62"/>
        <v>250</v>
      </c>
      <c r="AG47" s="340">
        <f t="shared" si="62"/>
        <v>250</v>
      </c>
      <c r="AH47" s="562">
        <f t="shared" si="62"/>
        <v>250</v>
      </c>
      <c r="AI47" s="340">
        <f>$W$47*(1+$G$47)</f>
        <v>257.5</v>
      </c>
      <c r="AJ47" s="340">
        <f t="shared" ref="AJ47:AT47" si="63">$W$47*(1+$G$47)</f>
        <v>257.5</v>
      </c>
      <c r="AK47" s="340">
        <f t="shared" si="63"/>
        <v>257.5</v>
      </c>
      <c r="AL47" s="340">
        <f t="shared" si="63"/>
        <v>257.5</v>
      </c>
      <c r="AM47" s="340">
        <f t="shared" si="63"/>
        <v>257.5</v>
      </c>
      <c r="AN47" s="340">
        <f t="shared" si="63"/>
        <v>257.5</v>
      </c>
      <c r="AO47" s="340">
        <f t="shared" si="63"/>
        <v>257.5</v>
      </c>
      <c r="AP47" s="340">
        <f t="shared" si="63"/>
        <v>257.5</v>
      </c>
      <c r="AQ47" s="340">
        <f t="shared" si="63"/>
        <v>257.5</v>
      </c>
      <c r="AR47" s="340">
        <f t="shared" si="63"/>
        <v>257.5</v>
      </c>
      <c r="AS47" s="340">
        <f t="shared" si="63"/>
        <v>257.5</v>
      </c>
      <c r="AT47" s="562">
        <f t="shared" si="63"/>
        <v>257.5</v>
      </c>
      <c r="AU47" s="340">
        <f>$W$47*(1+$G$47)^2</f>
        <v>265.22499999999997</v>
      </c>
      <c r="AV47" s="340">
        <f t="shared" ref="AV47:BF47" si="64">$W$47*(1+$G$47)^2</f>
        <v>265.22499999999997</v>
      </c>
      <c r="AW47" s="340">
        <f t="shared" si="64"/>
        <v>265.22499999999997</v>
      </c>
      <c r="AX47" s="340">
        <f t="shared" si="64"/>
        <v>265.22499999999997</v>
      </c>
      <c r="AY47" s="340">
        <f t="shared" si="64"/>
        <v>265.22499999999997</v>
      </c>
      <c r="AZ47" s="340">
        <f t="shared" si="64"/>
        <v>265.22499999999997</v>
      </c>
      <c r="BA47" s="340">
        <f t="shared" si="64"/>
        <v>265.22499999999997</v>
      </c>
      <c r="BB47" s="340">
        <f t="shared" si="64"/>
        <v>265.22499999999997</v>
      </c>
      <c r="BC47" s="340">
        <f t="shared" si="64"/>
        <v>265.22499999999997</v>
      </c>
      <c r="BD47" s="340">
        <f t="shared" si="64"/>
        <v>265.22499999999997</v>
      </c>
      <c r="BE47" s="340">
        <f t="shared" si="64"/>
        <v>265.22499999999997</v>
      </c>
      <c r="BF47" s="562">
        <f t="shared" si="64"/>
        <v>265.22499999999997</v>
      </c>
      <c r="BG47" s="340">
        <f>$W$47*(1+$G$47)^3</f>
        <v>273.18175000000002</v>
      </c>
      <c r="BH47" s="340">
        <f t="shared" ref="BH47:BR47" si="65">$W$47*(1+$G$47)^3</f>
        <v>273.18175000000002</v>
      </c>
      <c r="BI47" s="340">
        <f t="shared" si="65"/>
        <v>273.18175000000002</v>
      </c>
      <c r="BJ47" s="340">
        <f t="shared" si="65"/>
        <v>273.18175000000002</v>
      </c>
      <c r="BK47" s="340">
        <f t="shared" si="65"/>
        <v>273.18175000000002</v>
      </c>
      <c r="BL47" s="340">
        <f t="shared" si="65"/>
        <v>273.18175000000002</v>
      </c>
      <c r="BM47" s="340">
        <f t="shared" si="65"/>
        <v>273.18175000000002</v>
      </c>
      <c r="BN47" s="340">
        <f t="shared" si="65"/>
        <v>273.18175000000002</v>
      </c>
      <c r="BO47" s="340">
        <f t="shared" si="65"/>
        <v>273.18175000000002</v>
      </c>
      <c r="BP47" s="340">
        <f t="shared" si="65"/>
        <v>273.18175000000002</v>
      </c>
      <c r="BQ47" s="340">
        <f t="shared" si="65"/>
        <v>273.18175000000002</v>
      </c>
      <c r="BR47" s="562">
        <f t="shared" si="65"/>
        <v>273.18175000000002</v>
      </c>
      <c r="BS47" s="340">
        <f>$W$47*(1+$G$47)^4</f>
        <v>281.37720249999995</v>
      </c>
      <c r="BT47" s="340">
        <f t="shared" ref="BT47:CD47" si="66">$W$47*(1+$G$47)^4</f>
        <v>281.37720249999995</v>
      </c>
      <c r="BU47" s="340">
        <f t="shared" si="66"/>
        <v>281.37720249999995</v>
      </c>
      <c r="BV47" s="340">
        <f t="shared" si="66"/>
        <v>281.37720249999995</v>
      </c>
      <c r="BW47" s="340">
        <f t="shared" si="66"/>
        <v>281.37720249999995</v>
      </c>
      <c r="BX47" s="340">
        <f t="shared" si="66"/>
        <v>281.37720249999995</v>
      </c>
      <c r="BY47" s="340">
        <f t="shared" si="66"/>
        <v>281.37720249999995</v>
      </c>
      <c r="BZ47" s="340">
        <f t="shared" si="66"/>
        <v>281.37720249999995</v>
      </c>
      <c r="CA47" s="340">
        <f t="shared" si="66"/>
        <v>281.37720249999995</v>
      </c>
      <c r="CB47" s="340">
        <f t="shared" si="66"/>
        <v>281.37720249999995</v>
      </c>
      <c r="CC47" s="340">
        <f t="shared" si="66"/>
        <v>281.37720249999995</v>
      </c>
      <c r="CD47" s="562">
        <f t="shared" si="66"/>
        <v>281.37720249999995</v>
      </c>
      <c r="CE47" s="340">
        <f>$W$47*(1+$G$47)^5</f>
        <v>289.81851857499998</v>
      </c>
      <c r="CF47" s="340">
        <f t="shared" ref="CF47:CP47" si="67">$W$47*(1+$G$47)^5</f>
        <v>289.81851857499998</v>
      </c>
      <c r="CG47" s="340">
        <f t="shared" si="67"/>
        <v>289.81851857499998</v>
      </c>
      <c r="CH47" s="340">
        <f t="shared" si="67"/>
        <v>289.81851857499998</v>
      </c>
      <c r="CI47" s="340">
        <f t="shared" si="67"/>
        <v>289.81851857499998</v>
      </c>
      <c r="CJ47" s="340">
        <f t="shared" si="67"/>
        <v>289.81851857499998</v>
      </c>
      <c r="CK47" s="340">
        <f t="shared" si="67"/>
        <v>289.81851857499998</v>
      </c>
      <c r="CL47" s="340">
        <f t="shared" si="67"/>
        <v>289.81851857499998</v>
      </c>
      <c r="CM47" s="340">
        <f t="shared" si="67"/>
        <v>289.81851857499998</v>
      </c>
      <c r="CN47" s="340">
        <f t="shared" si="67"/>
        <v>289.81851857499998</v>
      </c>
      <c r="CO47" s="340">
        <f t="shared" si="67"/>
        <v>289.81851857499998</v>
      </c>
      <c r="CP47" s="562">
        <f t="shared" si="67"/>
        <v>289.81851857499998</v>
      </c>
      <c r="CQ47" s="340">
        <f>$W$47*(1+$G$47)^6</f>
        <v>298.51307413224998</v>
      </c>
      <c r="CR47" s="340">
        <f t="shared" ref="CR47:DB47" si="68">$W$47*(1+$G$47)^6</f>
        <v>298.51307413224998</v>
      </c>
      <c r="CS47" s="340">
        <f t="shared" si="68"/>
        <v>298.51307413224998</v>
      </c>
      <c r="CT47" s="340">
        <f t="shared" si="68"/>
        <v>298.51307413224998</v>
      </c>
      <c r="CU47" s="340">
        <f t="shared" si="68"/>
        <v>298.51307413224998</v>
      </c>
      <c r="CV47" s="340">
        <f t="shared" si="68"/>
        <v>298.51307413224998</v>
      </c>
      <c r="CW47" s="340">
        <f t="shared" si="68"/>
        <v>298.51307413224998</v>
      </c>
      <c r="CX47" s="340">
        <f t="shared" si="68"/>
        <v>298.51307413224998</v>
      </c>
      <c r="CY47" s="340">
        <f t="shared" si="68"/>
        <v>298.51307413224998</v>
      </c>
      <c r="CZ47" s="340">
        <f t="shared" si="68"/>
        <v>298.51307413224998</v>
      </c>
      <c r="DA47" s="340">
        <f t="shared" si="68"/>
        <v>298.51307413224998</v>
      </c>
      <c r="DB47" s="562">
        <f t="shared" si="68"/>
        <v>298.51307413224998</v>
      </c>
      <c r="DC47" s="340">
        <f>$W$47*(1+$G$47)^7</f>
        <v>307.4684663562175</v>
      </c>
      <c r="DD47" s="340">
        <f t="shared" ref="DD47:DN47" si="69">$W$47*(1+$G$47)^7</f>
        <v>307.4684663562175</v>
      </c>
      <c r="DE47" s="340">
        <f t="shared" si="69"/>
        <v>307.4684663562175</v>
      </c>
      <c r="DF47" s="340">
        <f t="shared" si="69"/>
        <v>307.4684663562175</v>
      </c>
      <c r="DG47" s="340">
        <f t="shared" si="69"/>
        <v>307.4684663562175</v>
      </c>
      <c r="DH47" s="340">
        <f t="shared" si="69"/>
        <v>307.4684663562175</v>
      </c>
      <c r="DI47" s="340">
        <f t="shared" si="69"/>
        <v>307.4684663562175</v>
      </c>
      <c r="DJ47" s="340">
        <f t="shared" si="69"/>
        <v>307.4684663562175</v>
      </c>
      <c r="DK47" s="340">
        <f t="shared" si="69"/>
        <v>307.4684663562175</v>
      </c>
      <c r="DL47" s="340">
        <f t="shared" si="69"/>
        <v>307.4684663562175</v>
      </c>
      <c r="DM47" s="340">
        <f t="shared" si="69"/>
        <v>307.4684663562175</v>
      </c>
      <c r="DN47" s="340">
        <f t="shared" si="69"/>
        <v>307.4684663562175</v>
      </c>
      <c r="DP47" s="340">
        <f t="shared" ref="DP47:DP75" si="70">SUM(J47:DN47)</f>
        <v>26677.00813876163</v>
      </c>
    </row>
    <row r="48" spans="3:120" x14ac:dyDescent="0.3">
      <c r="E48" s="331" t="str">
        <f>'Table 3.0'!E76</f>
        <v>Legal</v>
      </c>
      <c r="G48" s="936">
        <f>'Table 3.0'!G76</f>
        <v>0.03</v>
      </c>
      <c r="H48" s="942" t="str">
        <f>'Table 3.0'!H76</f>
        <v>YoY Growth</v>
      </c>
      <c r="V48" s="561"/>
      <c r="W48" s="925">
        <v>250</v>
      </c>
      <c r="X48" s="340">
        <f>W48</f>
        <v>250</v>
      </c>
      <c r="Y48" s="340">
        <f t="shared" ref="Y48:AH49" si="71">X48</f>
        <v>250</v>
      </c>
      <c r="Z48" s="340">
        <f t="shared" si="71"/>
        <v>250</v>
      </c>
      <c r="AA48" s="340">
        <f t="shared" si="71"/>
        <v>250</v>
      </c>
      <c r="AB48" s="340">
        <f t="shared" si="71"/>
        <v>250</v>
      </c>
      <c r="AC48" s="340">
        <f t="shared" si="71"/>
        <v>250</v>
      </c>
      <c r="AD48" s="340">
        <f t="shared" si="71"/>
        <v>250</v>
      </c>
      <c r="AE48" s="340">
        <f t="shared" si="71"/>
        <v>250</v>
      </c>
      <c r="AF48" s="340">
        <f t="shared" si="71"/>
        <v>250</v>
      </c>
      <c r="AG48" s="340">
        <f t="shared" si="71"/>
        <v>250</v>
      </c>
      <c r="AH48" s="562">
        <f t="shared" si="71"/>
        <v>250</v>
      </c>
      <c r="AI48" s="340">
        <f t="shared" ref="AI48:AT48" si="72">$W$48*(1+$G$48)</f>
        <v>257.5</v>
      </c>
      <c r="AJ48" s="340">
        <f t="shared" si="72"/>
        <v>257.5</v>
      </c>
      <c r="AK48" s="340">
        <f t="shared" si="72"/>
        <v>257.5</v>
      </c>
      <c r="AL48" s="340">
        <f t="shared" si="72"/>
        <v>257.5</v>
      </c>
      <c r="AM48" s="340">
        <f t="shared" si="72"/>
        <v>257.5</v>
      </c>
      <c r="AN48" s="340">
        <f t="shared" si="72"/>
        <v>257.5</v>
      </c>
      <c r="AO48" s="340">
        <f t="shared" si="72"/>
        <v>257.5</v>
      </c>
      <c r="AP48" s="340">
        <f t="shared" si="72"/>
        <v>257.5</v>
      </c>
      <c r="AQ48" s="340">
        <f t="shared" si="72"/>
        <v>257.5</v>
      </c>
      <c r="AR48" s="340">
        <f t="shared" si="72"/>
        <v>257.5</v>
      </c>
      <c r="AS48" s="340">
        <f t="shared" si="72"/>
        <v>257.5</v>
      </c>
      <c r="AT48" s="562">
        <f t="shared" si="72"/>
        <v>257.5</v>
      </c>
      <c r="AU48" s="340">
        <f t="shared" ref="AU48:BF48" si="73">$W$48*(1+$G$48)^2</f>
        <v>265.22499999999997</v>
      </c>
      <c r="AV48" s="340">
        <f t="shared" si="73"/>
        <v>265.22499999999997</v>
      </c>
      <c r="AW48" s="340">
        <f t="shared" si="73"/>
        <v>265.22499999999997</v>
      </c>
      <c r="AX48" s="340">
        <f t="shared" si="73"/>
        <v>265.22499999999997</v>
      </c>
      <c r="AY48" s="340">
        <f t="shared" si="73"/>
        <v>265.22499999999997</v>
      </c>
      <c r="AZ48" s="340">
        <f t="shared" si="73"/>
        <v>265.22499999999997</v>
      </c>
      <c r="BA48" s="340">
        <f t="shared" si="73"/>
        <v>265.22499999999997</v>
      </c>
      <c r="BB48" s="340">
        <f t="shared" si="73"/>
        <v>265.22499999999997</v>
      </c>
      <c r="BC48" s="340">
        <f t="shared" si="73"/>
        <v>265.22499999999997</v>
      </c>
      <c r="BD48" s="340">
        <f t="shared" si="73"/>
        <v>265.22499999999997</v>
      </c>
      <c r="BE48" s="340">
        <f t="shared" si="73"/>
        <v>265.22499999999997</v>
      </c>
      <c r="BF48" s="562">
        <f t="shared" si="73"/>
        <v>265.22499999999997</v>
      </c>
      <c r="BG48" s="340">
        <f t="shared" ref="BG48:BR48" si="74">$W$48*(1+$G$48)^3</f>
        <v>273.18175000000002</v>
      </c>
      <c r="BH48" s="340">
        <f t="shared" si="74"/>
        <v>273.18175000000002</v>
      </c>
      <c r="BI48" s="340">
        <f t="shared" si="74"/>
        <v>273.18175000000002</v>
      </c>
      <c r="BJ48" s="340">
        <f t="shared" si="74"/>
        <v>273.18175000000002</v>
      </c>
      <c r="BK48" s="340">
        <f t="shared" si="74"/>
        <v>273.18175000000002</v>
      </c>
      <c r="BL48" s="340">
        <f t="shared" si="74"/>
        <v>273.18175000000002</v>
      </c>
      <c r="BM48" s="340">
        <f t="shared" si="74"/>
        <v>273.18175000000002</v>
      </c>
      <c r="BN48" s="340">
        <f t="shared" si="74"/>
        <v>273.18175000000002</v>
      </c>
      <c r="BO48" s="340">
        <f t="shared" si="74"/>
        <v>273.18175000000002</v>
      </c>
      <c r="BP48" s="340">
        <f t="shared" si="74"/>
        <v>273.18175000000002</v>
      </c>
      <c r="BQ48" s="340">
        <f t="shared" si="74"/>
        <v>273.18175000000002</v>
      </c>
      <c r="BR48" s="562">
        <f t="shared" si="74"/>
        <v>273.18175000000002</v>
      </c>
      <c r="BS48" s="340">
        <f t="shared" ref="BS48:CD48" si="75">$W$48*(1+$G$48)^4</f>
        <v>281.37720249999995</v>
      </c>
      <c r="BT48" s="340">
        <f t="shared" si="75"/>
        <v>281.37720249999995</v>
      </c>
      <c r="BU48" s="340">
        <f t="shared" si="75"/>
        <v>281.37720249999995</v>
      </c>
      <c r="BV48" s="340">
        <f t="shared" si="75"/>
        <v>281.37720249999995</v>
      </c>
      <c r="BW48" s="340">
        <f t="shared" si="75"/>
        <v>281.37720249999995</v>
      </c>
      <c r="BX48" s="340">
        <f t="shared" si="75"/>
        <v>281.37720249999995</v>
      </c>
      <c r="BY48" s="340">
        <f t="shared" si="75"/>
        <v>281.37720249999995</v>
      </c>
      <c r="BZ48" s="340">
        <f t="shared" si="75"/>
        <v>281.37720249999995</v>
      </c>
      <c r="CA48" s="340">
        <f t="shared" si="75"/>
        <v>281.37720249999995</v>
      </c>
      <c r="CB48" s="340">
        <f t="shared" si="75"/>
        <v>281.37720249999995</v>
      </c>
      <c r="CC48" s="340">
        <f t="shared" si="75"/>
        <v>281.37720249999995</v>
      </c>
      <c r="CD48" s="562">
        <f t="shared" si="75"/>
        <v>281.37720249999995</v>
      </c>
      <c r="CE48" s="340">
        <f t="shared" ref="CE48:CP48" si="76">$W$48*(1+$G$48)^5</f>
        <v>289.81851857499998</v>
      </c>
      <c r="CF48" s="340">
        <f t="shared" si="76"/>
        <v>289.81851857499998</v>
      </c>
      <c r="CG48" s="340">
        <f t="shared" si="76"/>
        <v>289.81851857499998</v>
      </c>
      <c r="CH48" s="340">
        <f t="shared" si="76"/>
        <v>289.81851857499998</v>
      </c>
      <c r="CI48" s="340">
        <f t="shared" si="76"/>
        <v>289.81851857499998</v>
      </c>
      <c r="CJ48" s="340">
        <f t="shared" si="76"/>
        <v>289.81851857499998</v>
      </c>
      <c r="CK48" s="340">
        <f t="shared" si="76"/>
        <v>289.81851857499998</v>
      </c>
      <c r="CL48" s="340">
        <f t="shared" si="76"/>
        <v>289.81851857499998</v>
      </c>
      <c r="CM48" s="340">
        <f t="shared" si="76"/>
        <v>289.81851857499998</v>
      </c>
      <c r="CN48" s="340">
        <f t="shared" si="76"/>
        <v>289.81851857499998</v>
      </c>
      <c r="CO48" s="340">
        <f t="shared" si="76"/>
        <v>289.81851857499998</v>
      </c>
      <c r="CP48" s="562">
        <f t="shared" si="76"/>
        <v>289.81851857499998</v>
      </c>
      <c r="CQ48" s="340">
        <f t="shared" ref="CQ48:DB48" si="77">$W$48*(1+$G$48)^6</f>
        <v>298.51307413224998</v>
      </c>
      <c r="CR48" s="340">
        <f t="shared" si="77"/>
        <v>298.51307413224998</v>
      </c>
      <c r="CS48" s="340">
        <f t="shared" si="77"/>
        <v>298.51307413224998</v>
      </c>
      <c r="CT48" s="340">
        <f t="shared" si="77"/>
        <v>298.51307413224998</v>
      </c>
      <c r="CU48" s="340">
        <f t="shared" si="77"/>
        <v>298.51307413224998</v>
      </c>
      <c r="CV48" s="340">
        <f t="shared" si="77"/>
        <v>298.51307413224998</v>
      </c>
      <c r="CW48" s="340">
        <f t="shared" si="77"/>
        <v>298.51307413224998</v>
      </c>
      <c r="CX48" s="340">
        <f t="shared" si="77"/>
        <v>298.51307413224998</v>
      </c>
      <c r="CY48" s="340">
        <f t="shared" si="77"/>
        <v>298.51307413224998</v>
      </c>
      <c r="CZ48" s="340">
        <f t="shared" si="77"/>
        <v>298.51307413224998</v>
      </c>
      <c r="DA48" s="340">
        <f t="shared" si="77"/>
        <v>298.51307413224998</v>
      </c>
      <c r="DB48" s="562">
        <f t="shared" si="77"/>
        <v>298.51307413224998</v>
      </c>
      <c r="DC48" s="340">
        <f t="shared" ref="DC48:DN48" si="78">$W$48*(1+$G$48)^7</f>
        <v>307.4684663562175</v>
      </c>
      <c r="DD48" s="340">
        <f t="shared" si="78"/>
        <v>307.4684663562175</v>
      </c>
      <c r="DE48" s="340">
        <f t="shared" si="78"/>
        <v>307.4684663562175</v>
      </c>
      <c r="DF48" s="340">
        <f t="shared" si="78"/>
        <v>307.4684663562175</v>
      </c>
      <c r="DG48" s="340">
        <f t="shared" si="78"/>
        <v>307.4684663562175</v>
      </c>
      <c r="DH48" s="340">
        <f t="shared" si="78"/>
        <v>307.4684663562175</v>
      </c>
      <c r="DI48" s="340">
        <f t="shared" si="78"/>
        <v>307.4684663562175</v>
      </c>
      <c r="DJ48" s="340">
        <f t="shared" si="78"/>
        <v>307.4684663562175</v>
      </c>
      <c r="DK48" s="340">
        <f t="shared" si="78"/>
        <v>307.4684663562175</v>
      </c>
      <c r="DL48" s="340">
        <f t="shared" si="78"/>
        <v>307.4684663562175</v>
      </c>
      <c r="DM48" s="340">
        <f t="shared" si="78"/>
        <v>307.4684663562175</v>
      </c>
      <c r="DN48" s="340">
        <f t="shared" si="78"/>
        <v>307.4684663562175</v>
      </c>
      <c r="DP48" s="340">
        <f t="shared" si="70"/>
        <v>26677.00813876163</v>
      </c>
    </row>
    <row r="49" spans="4:120" x14ac:dyDescent="0.3">
      <c r="E49" s="331" t="str">
        <f>'Table 3.0'!E77</f>
        <v>Misc.</v>
      </c>
      <c r="G49" s="936">
        <f>'Table 3.0'!G77</f>
        <v>0.03</v>
      </c>
      <c r="H49" s="942" t="str">
        <f>'Table 3.0'!H77</f>
        <v>YoY Growth</v>
      </c>
      <c r="V49" s="561"/>
      <c r="W49" s="925">
        <v>250</v>
      </c>
      <c r="X49" s="340">
        <f>W49</f>
        <v>250</v>
      </c>
      <c r="Y49" s="340">
        <f t="shared" si="71"/>
        <v>250</v>
      </c>
      <c r="Z49" s="340">
        <f t="shared" si="71"/>
        <v>250</v>
      </c>
      <c r="AA49" s="340">
        <f t="shared" si="71"/>
        <v>250</v>
      </c>
      <c r="AB49" s="340">
        <f t="shared" si="71"/>
        <v>250</v>
      </c>
      <c r="AC49" s="340">
        <f t="shared" si="71"/>
        <v>250</v>
      </c>
      <c r="AD49" s="340">
        <f t="shared" si="71"/>
        <v>250</v>
      </c>
      <c r="AE49" s="340">
        <f t="shared" si="71"/>
        <v>250</v>
      </c>
      <c r="AF49" s="340">
        <f t="shared" si="71"/>
        <v>250</v>
      </c>
      <c r="AG49" s="340">
        <f t="shared" si="71"/>
        <v>250</v>
      </c>
      <c r="AH49" s="562">
        <f t="shared" si="71"/>
        <v>250</v>
      </c>
      <c r="AI49" s="340">
        <f t="shared" ref="AI49:AT49" si="79">$W$49*(1+$G$49)</f>
        <v>257.5</v>
      </c>
      <c r="AJ49" s="340">
        <f t="shared" si="79"/>
        <v>257.5</v>
      </c>
      <c r="AK49" s="340">
        <f t="shared" si="79"/>
        <v>257.5</v>
      </c>
      <c r="AL49" s="340">
        <f t="shared" si="79"/>
        <v>257.5</v>
      </c>
      <c r="AM49" s="340">
        <f t="shared" si="79"/>
        <v>257.5</v>
      </c>
      <c r="AN49" s="340">
        <f t="shared" si="79"/>
        <v>257.5</v>
      </c>
      <c r="AO49" s="340">
        <f t="shared" si="79"/>
        <v>257.5</v>
      </c>
      <c r="AP49" s="340">
        <f t="shared" si="79"/>
        <v>257.5</v>
      </c>
      <c r="AQ49" s="340">
        <f t="shared" si="79"/>
        <v>257.5</v>
      </c>
      <c r="AR49" s="340">
        <f t="shared" si="79"/>
        <v>257.5</v>
      </c>
      <c r="AS49" s="340">
        <f t="shared" si="79"/>
        <v>257.5</v>
      </c>
      <c r="AT49" s="562">
        <f t="shared" si="79"/>
        <v>257.5</v>
      </c>
      <c r="AU49" s="340">
        <f t="shared" ref="AU49:BF49" si="80">$W$49*(1+$G$49)^2</f>
        <v>265.22499999999997</v>
      </c>
      <c r="AV49" s="340">
        <f t="shared" si="80"/>
        <v>265.22499999999997</v>
      </c>
      <c r="AW49" s="340">
        <f t="shared" si="80"/>
        <v>265.22499999999997</v>
      </c>
      <c r="AX49" s="340">
        <f t="shared" si="80"/>
        <v>265.22499999999997</v>
      </c>
      <c r="AY49" s="340">
        <f t="shared" si="80"/>
        <v>265.22499999999997</v>
      </c>
      <c r="AZ49" s="340">
        <f t="shared" si="80"/>
        <v>265.22499999999997</v>
      </c>
      <c r="BA49" s="340">
        <f t="shared" si="80"/>
        <v>265.22499999999997</v>
      </c>
      <c r="BB49" s="340">
        <f t="shared" si="80"/>
        <v>265.22499999999997</v>
      </c>
      <c r="BC49" s="340">
        <f t="shared" si="80"/>
        <v>265.22499999999997</v>
      </c>
      <c r="BD49" s="340">
        <f t="shared" si="80"/>
        <v>265.22499999999997</v>
      </c>
      <c r="BE49" s="340">
        <f t="shared" si="80"/>
        <v>265.22499999999997</v>
      </c>
      <c r="BF49" s="562">
        <f t="shared" si="80"/>
        <v>265.22499999999997</v>
      </c>
      <c r="BG49" s="340">
        <f t="shared" ref="BG49:BR49" si="81">$W$49*(1+$G$49)^3</f>
        <v>273.18175000000002</v>
      </c>
      <c r="BH49" s="340">
        <f t="shared" si="81"/>
        <v>273.18175000000002</v>
      </c>
      <c r="BI49" s="340">
        <f t="shared" si="81"/>
        <v>273.18175000000002</v>
      </c>
      <c r="BJ49" s="340">
        <f t="shared" si="81"/>
        <v>273.18175000000002</v>
      </c>
      <c r="BK49" s="340">
        <f t="shared" si="81"/>
        <v>273.18175000000002</v>
      </c>
      <c r="BL49" s="340">
        <f t="shared" si="81"/>
        <v>273.18175000000002</v>
      </c>
      <c r="BM49" s="340">
        <f t="shared" si="81"/>
        <v>273.18175000000002</v>
      </c>
      <c r="BN49" s="340">
        <f t="shared" si="81"/>
        <v>273.18175000000002</v>
      </c>
      <c r="BO49" s="340">
        <f t="shared" si="81"/>
        <v>273.18175000000002</v>
      </c>
      <c r="BP49" s="340">
        <f t="shared" si="81"/>
        <v>273.18175000000002</v>
      </c>
      <c r="BQ49" s="340">
        <f t="shared" si="81"/>
        <v>273.18175000000002</v>
      </c>
      <c r="BR49" s="562">
        <f t="shared" si="81"/>
        <v>273.18175000000002</v>
      </c>
      <c r="BS49" s="340">
        <f t="shared" ref="BS49:CD49" si="82">$W$49*(1+$G$49)^4</f>
        <v>281.37720249999995</v>
      </c>
      <c r="BT49" s="340">
        <f t="shared" si="82"/>
        <v>281.37720249999995</v>
      </c>
      <c r="BU49" s="340">
        <f t="shared" si="82"/>
        <v>281.37720249999995</v>
      </c>
      <c r="BV49" s="340">
        <f t="shared" si="82"/>
        <v>281.37720249999995</v>
      </c>
      <c r="BW49" s="340">
        <f t="shared" si="82"/>
        <v>281.37720249999995</v>
      </c>
      <c r="BX49" s="340">
        <f t="shared" si="82"/>
        <v>281.37720249999995</v>
      </c>
      <c r="BY49" s="340">
        <f t="shared" si="82"/>
        <v>281.37720249999995</v>
      </c>
      <c r="BZ49" s="340">
        <f t="shared" si="82"/>
        <v>281.37720249999995</v>
      </c>
      <c r="CA49" s="340">
        <f t="shared" si="82"/>
        <v>281.37720249999995</v>
      </c>
      <c r="CB49" s="340">
        <f t="shared" si="82"/>
        <v>281.37720249999995</v>
      </c>
      <c r="CC49" s="340">
        <f t="shared" si="82"/>
        <v>281.37720249999995</v>
      </c>
      <c r="CD49" s="562">
        <f t="shared" si="82"/>
        <v>281.37720249999995</v>
      </c>
      <c r="CE49" s="340">
        <f t="shared" ref="CE49:CP49" si="83">$W$49*(1+$G$49)^5</f>
        <v>289.81851857499998</v>
      </c>
      <c r="CF49" s="340">
        <f t="shared" si="83"/>
        <v>289.81851857499998</v>
      </c>
      <c r="CG49" s="340">
        <f t="shared" si="83"/>
        <v>289.81851857499998</v>
      </c>
      <c r="CH49" s="340">
        <f t="shared" si="83"/>
        <v>289.81851857499998</v>
      </c>
      <c r="CI49" s="340">
        <f t="shared" si="83"/>
        <v>289.81851857499998</v>
      </c>
      <c r="CJ49" s="340">
        <f t="shared" si="83"/>
        <v>289.81851857499998</v>
      </c>
      <c r="CK49" s="340">
        <f t="shared" si="83"/>
        <v>289.81851857499998</v>
      </c>
      <c r="CL49" s="340">
        <f t="shared" si="83"/>
        <v>289.81851857499998</v>
      </c>
      <c r="CM49" s="340">
        <f t="shared" si="83"/>
        <v>289.81851857499998</v>
      </c>
      <c r="CN49" s="340">
        <f t="shared" si="83"/>
        <v>289.81851857499998</v>
      </c>
      <c r="CO49" s="340">
        <f t="shared" si="83"/>
        <v>289.81851857499998</v>
      </c>
      <c r="CP49" s="562">
        <f t="shared" si="83"/>
        <v>289.81851857499998</v>
      </c>
      <c r="CQ49" s="340">
        <f t="shared" ref="CQ49:DB49" si="84">$W$49*(1+$G$49)^6</f>
        <v>298.51307413224998</v>
      </c>
      <c r="CR49" s="340">
        <f t="shared" si="84"/>
        <v>298.51307413224998</v>
      </c>
      <c r="CS49" s="340">
        <f t="shared" si="84"/>
        <v>298.51307413224998</v>
      </c>
      <c r="CT49" s="340">
        <f t="shared" si="84"/>
        <v>298.51307413224998</v>
      </c>
      <c r="CU49" s="340">
        <f t="shared" si="84"/>
        <v>298.51307413224998</v>
      </c>
      <c r="CV49" s="340">
        <f t="shared" si="84"/>
        <v>298.51307413224998</v>
      </c>
      <c r="CW49" s="340">
        <f t="shared" si="84"/>
        <v>298.51307413224998</v>
      </c>
      <c r="CX49" s="340">
        <f t="shared" si="84"/>
        <v>298.51307413224998</v>
      </c>
      <c r="CY49" s="340">
        <f t="shared" si="84"/>
        <v>298.51307413224998</v>
      </c>
      <c r="CZ49" s="340">
        <f t="shared" si="84"/>
        <v>298.51307413224998</v>
      </c>
      <c r="DA49" s="340">
        <f t="shared" si="84"/>
        <v>298.51307413224998</v>
      </c>
      <c r="DB49" s="562">
        <f t="shared" si="84"/>
        <v>298.51307413224998</v>
      </c>
      <c r="DC49" s="340">
        <f t="shared" ref="DC49:DN49" si="85">$W$49*(1+$G$49)^7</f>
        <v>307.4684663562175</v>
      </c>
      <c r="DD49" s="340">
        <f t="shared" si="85"/>
        <v>307.4684663562175</v>
      </c>
      <c r="DE49" s="340">
        <f t="shared" si="85"/>
        <v>307.4684663562175</v>
      </c>
      <c r="DF49" s="340">
        <f t="shared" si="85"/>
        <v>307.4684663562175</v>
      </c>
      <c r="DG49" s="340">
        <f t="shared" si="85"/>
        <v>307.4684663562175</v>
      </c>
      <c r="DH49" s="340">
        <f t="shared" si="85"/>
        <v>307.4684663562175</v>
      </c>
      <c r="DI49" s="340">
        <f t="shared" si="85"/>
        <v>307.4684663562175</v>
      </c>
      <c r="DJ49" s="340">
        <f t="shared" si="85"/>
        <v>307.4684663562175</v>
      </c>
      <c r="DK49" s="340">
        <f t="shared" si="85"/>
        <v>307.4684663562175</v>
      </c>
      <c r="DL49" s="340">
        <f t="shared" si="85"/>
        <v>307.4684663562175</v>
      </c>
      <c r="DM49" s="340">
        <f t="shared" si="85"/>
        <v>307.4684663562175</v>
      </c>
      <c r="DN49" s="340">
        <f t="shared" si="85"/>
        <v>307.4684663562175</v>
      </c>
      <c r="DP49" s="340">
        <f t="shared" si="70"/>
        <v>26677.00813876163</v>
      </c>
    </row>
    <row r="50" spans="4:120" x14ac:dyDescent="0.3">
      <c r="E50" s="331" t="str">
        <f>'Table 3.0'!E78</f>
        <v>Bank Fees</v>
      </c>
      <c r="G50" s="936">
        <f>'Table 3.0'!G78</f>
        <v>0.03</v>
      </c>
      <c r="H50" s="942" t="str">
        <f>'Table 3.0'!H78</f>
        <v>YoY Growth</v>
      </c>
      <c r="V50" s="561"/>
      <c r="W50" s="925">
        <v>500</v>
      </c>
      <c r="X50" s="340">
        <f>W50</f>
        <v>500</v>
      </c>
      <c r="Y50" s="340">
        <f t="shared" ref="Y50:AH50" si="86">X50</f>
        <v>500</v>
      </c>
      <c r="Z50" s="340">
        <f t="shared" si="86"/>
        <v>500</v>
      </c>
      <c r="AA50" s="340">
        <f t="shared" si="86"/>
        <v>500</v>
      </c>
      <c r="AB50" s="340">
        <f t="shared" si="86"/>
        <v>500</v>
      </c>
      <c r="AC50" s="340">
        <f t="shared" si="86"/>
        <v>500</v>
      </c>
      <c r="AD50" s="340">
        <f t="shared" si="86"/>
        <v>500</v>
      </c>
      <c r="AE50" s="340">
        <f t="shared" si="86"/>
        <v>500</v>
      </c>
      <c r="AF50" s="340">
        <f t="shared" si="86"/>
        <v>500</v>
      </c>
      <c r="AG50" s="340">
        <f t="shared" si="86"/>
        <v>500</v>
      </c>
      <c r="AH50" s="562">
        <f t="shared" si="86"/>
        <v>500</v>
      </c>
      <c r="AI50" s="340">
        <f t="shared" ref="AI50:AT50" si="87">$W$50*(1+$G$50)</f>
        <v>515</v>
      </c>
      <c r="AJ50" s="340">
        <f t="shared" si="87"/>
        <v>515</v>
      </c>
      <c r="AK50" s="340">
        <f t="shared" si="87"/>
        <v>515</v>
      </c>
      <c r="AL50" s="340">
        <f t="shared" si="87"/>
        <v>515</v>
      </c>
      <c r="AM50" s="340">
        <f t="shared" si="87"/>
        <v>515</v>
      </c>
      <c r="AN50" s="340">
        <f t="shared" si="87"/>
        <v>515</v>
      </c>
      <c r="AO50" s="340">
        <f t="shared" si="87"/>
        <v>515</v>
      </c>
      <c r="AP50" s="340">
        <f t="shared" si="87"/>
        <v>515</v>
      </c>
      <c r="AQ50" s="340">
        <f t="shared" si="87"/>
        <v>515</v>
      </c>
      <c r="AR50" s="340">
        <f t="shared" si="87"/>
        <v>515</v>
      </c>
      <c r="AS50" s="340">
        <f t="shared" si="87"/>
        <v>515</v>
      </c>
      <c r="AT50" s="562">
        <f t="shared" si="87"/>
        <v>515</v>
      </c>
      <c r="AU50" s="340">
        <f t="shared" ref="AU50:BF50" si="88">$W$50*(1+$G$50)^2</f>
        <v>530.44999999999993</v>
      </c>
      <c r="AV50" s="340">
        <f t="shared" si="88"/>
        <v>530.44999999999993</v>
      </c>
      <c r="AW50" s="340">
        <f t="shared" si="88"/>
        <v>530.44999999999993</v>
      </c>
      <c r="AX50" s="340">
        <f t="shared" si="88"/>
        <v>530.44999999999993</v>
      </c>
      <c r="AY50" s="340">
        <f t="shared" si="88"/>
        <v>530.44999999999993</v>
      </c>
      <c r="AZ50" s="340">
        <f t="shared" si="88"/>
        <v>530.44999999999993</v>
      </c>
      <c r="BA50" s="340">
        <f t="shared" si="88"/>
        <v>530.44999999999993</v>
      </c>
      <c r="BB50" s="340">
        <f t="shared" si="88"/>
        <v>530.44999999999993</v>
      </c>
      <c r="BC50" s="340">
        <f t="shared" si="88"/>
        <v>530.44999999999993</v>
      </c>
      <c r="BD50" s="340">
        <f t="shared" si="88"/>
        <v>530.44999999999993</v>
      </c>
      <c r="BE50" s="340">
        <f t="shared" si="88"/>
        <v>530.44999999999993</v>
      </c>
      <c r="BF50" s="562">
        <f t="shared" si="88"/>
        <v>530.44999999999993</v>
      </c>
      <c r="BG50" s="340">
        <f t="shared" ref="BG50:BR50" si="89">$W$50*(1+$G$50)^3</f>
        <v>546.36350000000004</v>
      </c>
      <c r="BH50" s="340">
        <f t="shared" si="89"/>
        <v>546.36350000000004</v>
      </c>
      <c r="BI50" s="340">
        <f t="shared" si="89"/>
        <v>546.36350000000004</v>
      </c>
      <c r="BJ50" s="340">
        <f t="shared" si="89"/>
        <v>546.36350000000004</v>
      </c>
      <c r="BK50" s="340">
        <f t="shared" si="89"/>
        <v>546.36350000000004</v>
      </c>
      <c r="BL50" s="340">
        <f t="shared" si="89"/>
        <v>546.36350000000004</v>
      </c>
      <c r="BM50" s="340">
        <f t="shared" si="89"/>
        <v>546.36350000000004</v>
      </c>
      <c r="BN50" s="340">
        <f t="shared" si="89"/>
        <v>546.36350000000004</v>
      </c>
      <c r="BO50" s="340">
        <f t="shared" si="89"/>
        <v>546.36350000000004</v>
      </c>
      <c r="BP50" s="340">
        <f t="shared" si="89"/>
        <v>546.36350000000004</v>
      </c>
      <c r="BQ50" s="340">
        <f t="shared" si="89"/>
        <v>546.36350000000004</v>
      </c>
      <c r="BR50" s="562">
        <f t="shared" si="89"/>
        <v>546.36350000000004</v>
      </c>
      <c r="BS50" s="340">
        <f t="shared" ref="BS50:CD50" si="90">$W$50*(1+$G$50)^4</f>
        <v>562.75440499999991</v>
      </c>
      <c r="BT50" s="340">
        <f t="shared" si="90"/>
        <v>562.75440499999991</v>
      </c>
      <c r="BU50" s="340">
        <f t="shared" si="90"/>
        <v>562.75440499999991</v>
      </c>
      <c r="BV50" s="340">
        <f t="shared" si="90"/>
        <v>562.75440499999991</v>
      </c>
      <c r="BW50" s="340">
        <f t="shared" si="90"/>
        <v>562.75440499999991</v>
      </c>
      <c r="BX50" s="340">
        <f t="shared" si="90"/>
        <v>562.75440499999991</v>
      </c>
      <c r="BY50" s="340">
        <f t="shared" si="90"/>
        <v>562.75440499999991</v>
      </c>
      <c r="BZ50" s="340">
        <f t="shared" si="90"/>
        <v>562.75440499999991</v>
      </c>
      <c r="CA50" s="340">
        <f t="shared" si="90"/>
        <v>562.75440499999991</v>
      </c>
      <c r="CB50" s="340">
        <f t="shared" si="90"/>
        <v>562.75440499999991</v>
      </c>
      <c r="CC50" s="340">
        <f t="shared" si="90"/>
        <v>562.75440499999991</v>
      </c>
      <c r="CD50" s="562">
        <f t="shared" si="90"/>
        <v>562.75440499999991</v>
      </c>
      <c r="CE50" s="340">
        <f t="shared" ref="CE50:CP50" si="91">$W$50*(1+$G$50)^5</f>
        <v>579.63703714999997</v>
      </c>
      <c r="CF50" s="340">
        <f t="shared" si="91"/>
        <v>579.63703714999997</v>
      </c>
      <c r="CG50" s="340">
        <f t="shared" si="91"/>
        <v>579.63703714999997</v>
      </c>
      <c r="CH50" s="340">
        <f t="shared" si="91"/>
        <v>579.63703714999997</v>
      </c>
      <c r="CI50" s="340">
        <f t="shared" si="91"/>
        <v>579.63703714999997</v>
      </c>
      <c r="CJ50" s="340">
        <f t="shared" si="91"/>
        <v>579.63703714999997</v>
      </c>
      <c r="CK50" s="340">
        <f t="shared" si="91"/>
        <v>579.63703714999997</v>
      </c>
      <c r="CL50" s="340">
        <f t="shared" si="91"/>
        <v>579.63703714999997</v>
      </c>
      <c r="CM50" s="340">
        <f t="shared" si="91"/>
        <v>579.63703714999997</v>
      </c>
      <c r="CN50" s="340">
        <f t="shared" si="91"/>
        <v>579.63703714999997</v>
      </c>
      <c r="CO50" s="340">
        <f t="shared" si="91"/>
        <v>579.63703714999997</v>
      </c>
      <c r="CP50" s="562">
        <f t="shared" si="91"/>
        <v>579.63703714999997</v>
      </c>
      <c r="CQ50" s="340">
        <f t="shared" ref="CQ50:DB50" si="92">$W$50*(1+$G$50)^6</f>
        <v>597.02614826449997</v>
      </c>
      <c r="CR50" s="340">
        <f t="shared" si="92"/>
        <v>597.02614826449997</v>
      </c>
      <c r="CS50" s="340">
        <f t="shared" si="92"/>
        <v>597.02614826449997</v>
      </c>
      <c r="CT50" s="340">
        <f t="shared" si="92"/>
        <v>597.02614826449997</v>
      </c>
      <c r="CU50" s="340">
        <f t="shared" si="92"/>
        <v>597.02614826449997</v>
      </c>
      <c r="CV50" s="340">
        <f t="shared" si="92"/>
        <v>597.02614826449997</v>
      </c>
      <c r="CW50" s="340">
        <f t="shared" si="92"/>
        <v>597.02614826449997</v>
      </c>
      <c r="CX50" s="340">
        <f t="shared" si="92"/>
        <v>597.02614826449997</v>
      </c>
      <c r="CY50" s="340">
        <f t="shared" si="92"/>
        <v>597.02614826449997</v>
      </c>
      <c r="CZ50" s="340">
        <f t="shared" si="92"/>
        <v>597.02614826449997</v>
      </c>
      <c r="DA50" s="340">
        <f t="shared" si="92"/>
        <v>597.02614826449997</v>
      </c>
      <c r="DB50" s="562">
        <f t="shared" si="92"/>
        <v>597.02614826449997</v>
      </c>
      <c r="DC50" s="340">
        <f t="shared" ref="DC50:DN50" si="93">$W$50*(1+$G$50)^7</f>
        <v>614.93693271243501</v>
      </c>
      <c r="DD50" s="340">
        <f t="shared" si="93"/>
        <v>614.93693271243501</v>
      </c>
      <c r="DE50" s="340">
        <f t="shared" si="93"/>
        <v>614.93693271243501</v>
      </c>
      <c r="DF50" s="340">
        <f t="shared" si="93"/>
        <v>614.93693271243501</v>
      </c>
      <c r="DG50" s="340">
        <f t="shared" si="93"/>
        <v>614.93693271243501</v>
      </c>
      <c r="DH50" s="340">
        <f t="shared" si="93"/>
        <v>614.93693271243501</v>
      </c>
      <c r="DI50" s="340">
        <f t="shared" si="93"/>
        <v>614.93693271243501</v>
      </c>
      <c r="DJ50" s="340">
        <f t="shared" si="93"/>
        <v>614.93693271243501</v>
      </c>
      <c r="DK50" s="340">
        <f t="shared" si="93"/>
        <v>614.93693271243501</v>
      </c>
      <c r="DL50" s="340">
        <f t="shared" si="93"/>
        <v>614.93693271243501</v>
      </c>
      <c r="DM50" s="340">
        <f t="shared" si="93"/>
        <v>614.93693271243501</v>
      </c>
      <c r="DN50" s="340">
        <f t="shared" si="93"/>
        <v>614.93693271243501</v>
      </c>
      <c r="DP50" s="340">
        <f t="shared" si="70"/>
        <v>53354.01627752326</v>
      </c>
    </row>
    <row r="51" spans="4:120" x14ac:dyDescent="0.3">
      <c r="E51" s="331" t="str">
        <f>'Table 3.0'!E79</f>
        <v>CC Processing</v>
      </c>
      <c r="G51" s="936">
        <f>'Table 3.0'!G79</f>
        <v>0.03</v>
      </c>
      <c r="H51" s="942" t="str">
        <f>'Table 3.0'!H79</f>
        <v>of Revenue</v>
      </c>
      <c r="V51" s="561"/>
      <c r="W51" s="340">
        <f>$G$51*W26</f>
        <v>1818.165</v>
      </c>
      <c r="X51" s="340">
        <f t="shared" ref="X51:CI51" si="94">$G$51*X26</f>
        <v>1890.105</v>
      </c>
      <c r="Y51" s="340">
        <f t="shared" si="94"/>
        <v>1995.645</v>
      </c>
      <c r="Z51" s="340">
        <f t="shared" si="94"/>
        <v>1995.645</v>
      </c>
      <c r="AA51" s="340">
        <f t="shared" si="94"/>
        <v>1934.4749999999999</v>
      </c>
      <c r="AB51" s="340">
        <f t="shared" si="94"/>
        <v>1906.905</v>
      </c>
      <c r="AC51" s="340">
        <f t="shared" si="94"/>
        <v>1801.365</v>
      </c>
      <c r="AD51" s="340">
        <f t="shared" si="94"/>
        <v>1729.425</v>
      </c>
      <c r="AE51" s="340">
        <f t="shared" si="94"/>
        <v>1640.6849999999999</v>
      </c>
      <c r="AF51" s="340">
        <f t="shared" si="94"/>
        <v>1590.2849999999999</v>
      </c>
      <c r="AG51" s="340">
        <f t="shared" si="94"/>
        <v>1729.425</v>
      </c>
      <c r="AH51" s="562">
        <f t="shared" si="94"/>
        <v>1756.9949999999999</v>
      </c>
      <c r="AI51" s="340">
        <f t="shared" si="94"/>
        <v>1873.155</v>
      </c>
      <c r="AJ51" s="340">
        <f t="shared" si="94"/>
        <v>1947.7049999999999</v>
      </c>
      <c r="AK51" s="340">
        <f t="shared" si="94"/>
        <v>2055.855</v>
      </c>
      <c r="AL51" s="340">
        <f t="shared" si="94"/>
        <v>2055.855</v>
      </c>
      <c r="AM51" s="340">
        <f t="shared" si="94"/>
        <v>1993.3799999999999</v>
      </c>
      <c r="AN51" s="340">
        <f t="shared" si="94"/>
        <v>1964.5049999999999</v>
      </c>
      <c r="AO51" s="340">
        <f t="shared" si="94"/>
        <v>1856.355</v>
      </c>
      <c r="AP51" s="340">
        <f t="shared" si="94"/>
        <v>1781.8049999999998</v>
      </c>
      <c r="AQ51" s="340">
        <f t="shared" si="94"/>
        <v>1690.4549999999999</v>
      </c>
      <c r="AR51" s="340">
        <f t="shared" si="94"/>
        <v>1640.0549999999998</v>
      </c>
      <c r="AS51" s="340">
        <f t="shared" si="94"/>
        <v>1781.8049999999998</v>
      </c>
      <c r="AT51" s="562">
        <f t="shared" si="94"/>
        <v>1810.6799999999998</v>
      </c>
      <c r="AU51" s="340">
        <f t="shared" si="94"/>
        <v>1928.145</v>
      </c>
      <c r="AV51" s="340">
        <f t="shared" si="94"/>
        <v>2005.3049999999998</v>
      </c>
      <c r="AW51" s="340">
        <f t="shared" si="94"/>
        <v>2116.0650000000001</v>
      </c>
      <c r="AX51" s="340">
        <f t="shared" si="94"/>
        <v>2116.0650000000001</v>
      </c>
      <c r="AY51" s="340">
        <f t="shared" si="94"/>
        <v>2052.2849999999999</v>
      </c>
      <c r="AZ51" s="340">
        <f t="shared" si="94"/>
        <v>2022.105</v>
      </c>
      <c r="BA51" s="340">
        <f t="shared" si="94"/>
        <v>1911.345</v>
      </c>
      <c r="BB51" s="340">
        <f t="shared" si="94"/>
        <v>1834.1849999999999</v>
      </c>
      <c r="BC51" s="340">
        <f t="shared" si="94"/>
        <v>1740.2249999999999</v>
      </c>
      <c r="BD51" s="340">
        <f t="shared" si="94"/>
        <v>1706.625</v>
      </c>
      <c r="BE51" s="340">
        <f t="shared" si="94"/>
        <v>1834.1849999999999</v>
      </c>
      <c r="BF51" s="562">
        <f t="shared" si="94"/>
        <v>1864.365</v>
      </c>
      <c r="BG51" s="340">
        <f t="shared" si="94"/>
        <v>1983.135</v>
      </c>
      <c r="BH51" s="340">
        <f t="shared" si="94"/>
        <v>2062.9049999999997</v>
      </c>
      <c r="BI51" s="340">
        <f t="shared" si="94"/>
        <v>2176.2750000000001</v>
      </c>
      <c r="BJ51" s="340">
        <f t="shared" si="94"/>
        <v>2176.2750000000001</v>
      </c>
      <c r="BK51" s="340">
        <f t="shared" si="94"/>
        <v>2111.19</v>
      </c>
      <c r="BL51" s="340">
        <f t="shared" si="94"/>
        <v>2079.7049999999999</v>
      </c>
      <c r="BM51" s="340">
        <f t="shared" si="94"/>
        <v>1966.335</v>
      </c>
      <c r="BN51" s="340">
        <f t="shared" si="94"/>
        <v>1886.5649999999998</v>
      </c>
      <c r="BO51" s="340">
        <f t="shared" si="94"/>
        <v>1789.9949999999999</v>
      </c>
      <c r="BP51" s="340">
        <f t="shared" si="94"/>
        <v>1739.595</v>
      </c>
      <c r="BQ51" s="340">
        <f t="shared" si="94"/>
        <v>1886.5649999999998</v>
      </c>
      <c r="BR51" s="562">
        <f t="shared" si="94"/>
        <v>1918.05</v>
      </c>
      <c r="BS51" s="340">
        <f t="shared" si="94"/>
        <v>2038.125</v>
      </c>
      <c r="BT51" s="340">
        <f t="shared" si="94"/>
        <v>2120.5050000000001</v>
      </c>
      <c r="BU51" s="340">
        <f t="shared" si="94"/>
        <v>2236.4850000000001</v>
      </c>
      <c r="BV51" s="340">
        <f t="shared" si="94"/>
        <v>2236.4850000000001</v>
      </c>
      <c r="BW51" s="340">
        <f t="shared" si="94"/>
        <v>2170.0949999999998</v>
      </c>
      <c r="BX51" s="340">
        <f t="shared" si="94"/>
        <v>2137.3049999999998</v>
      </c>
      <c r="BY51" s="340">
        <f t="shared" si="94"/>
        <v>2021.3249999999998</v>
      </c>
      <c r="BZ51" s="340">
        <f t="shared" si="94"/>
        <v>1938.9449999999999</v>
      </c>
      <c r="CA51" s="340">
        <f t="shared" si="94"/>
        <v>1839.7649999999999</v>
      </c>
      <c r="CB51" s="340">
        <f t="shared" si="94"/>
        <v>1789.365</v>
      </c>
      <c r="CC51" s="340">
        <f t="shared" si="94"/>
        <v>1938.9449999999999</v>
      </c>
      <c r="CD51" s="562">
        <f t="shared" si="94"/>
        <v>1971.7349999999999</v>
      </c>
      <c r="CE51" s="340">
        <f t="shared" si="94"/>
        <v>2093.1149999999998</v>
      </c>
      <c r="CF51" s="340">
        <f t="shared" si="94"/>
        <v>2178.105</v>
      </c>
      <c r="CG51" s="340">
        <f t="shared" si="94"/>
        <v>2296.6949999999997</v>
      </c>
      <c r="CH51" s="340">
        <f t="shared" si="94"/>
        <v>2296.6949999999997</v>
      </c>
      <c r="CI51" s="340">
        <f t="shared" si="94"/>
        <v>2229</v>
      </c>
      <c r="CJ51" s="340">
        <f t="shared" ref="CJ51:DN51" si="95">$G$51*CJ26</f>
        <v>2194.9049999999997</v>
      </c>
      <c r="CK51" s="340">
        <f t="shared" si="95"/>
        <v>2076.3150000000001</v>
      </c>
      <c r="CL51" s="340">
        <f t="shared" si="95"/>
        <v>1991.3249999999998</v>
      </c>
      <c r="CM51" s="340">
        <f t="shared" si="95"/>
        <v>1889.5349999999999</v>
      </c>
      <c r="CN51" s="340">
        <f t="shared" si="95"/>
        <v>1839.135</v>
      </c>
      <c r="CO51" s="340">
        <f t="shared" si="95"/>
        <v>1991.3249999999998</v>
      </c>
      <c r="CP51" s="562">
        <f t="shared" si="95"/>
        <v>2025.4199999999998</v>
      </c>
      <c r="CQ51" s="340">
        <f t="shared" si="95"/>
        <v>2148.105</v>
      </c>
      <c r="CR51" s="340">
        <f t="shared" si="95"/>
        <v>2235.7049999999999</v>
      </c>
      <c r="CS51" s="340">
        <f t="shared" si="95"/>
        <v>2356.9049999999997</v>
      </c>
      <c r="CT51" s="340">
        <f t="shared" si="95"/>
        <v>2356.9049999999997</v>
      </c>
      <c r="CU51" s="340">
        <f t="shared" si="95"/>
        <v>2287.9049999999997</v>
      </c>
      <c r="CV51" s="340">
        <f t="shared" si="95"/>
        <v>2252.5050000000001</v>
      </c>
      <c r="CW51" s="340">
        <f t="shared" si="95"/>
        <v>2131.3049999999998</v>
      </c>
      <c r="CX51" s="340">
        <f t="shared" si="95"/>
        <v>2043.7049999999999</v>
      </c>
      <c r="CY51" s="340">
        <f t="shared" si="95"/>
        <v>1939.3049999999998</v>
      </c>
      <c r="CZ51" s="340">
        <f t="shared" si="95"/>
        <v>1888.905</v>
      </c>
      <c r="DA51" s="340">
        <f t="shared" si="95"/>
        <v>2043.7049999999999</v>
      </c>
      <c r="DB51" s="562">
        <f t="shared" si="95"/>
        <v>2079.105</v>
      </c>
      <c r="DC51" s="340">
        <f t="shared" si="95"/>
        <v>2203.0949999999998</v>
      </c>
      <c r="DD51" s="340">
        <f t="shared" si="95"/>
        <v>2293.3049999999998</v>
      </c>
      <c r="DE51" s="340">
        <f t="shared" si="95"/>
        <v>2417.1149999999998</v>
      </c>
      <c r="DF51" s="340">
        <f t="shared" si="95"/>
        <v>2417.1149999999998</v>
      </c>
      <c r="DG51" s="340">
        <f t="shared" si="95"/>
        <v>2346.81</v>
      </c>
      <c r="DH51" s="340">
        <f t="shared" si="95"/>
        <v>2310.105</v>
      </c>
      <c r="DI51" s="340">
        <f t="shared" si="95"/>
        <v>2186.2950000000001</v>
      </c>
      <c r="DJ51" s="340">
        <f t="shared" si="95"/>
        <v>2096.085</v>
      </c>
      <c r="DK51" s="340">
        <f t="shared" si="95"/>
        <v>1989.0749999999998</v>
      </c>
      <c r="DL51" s="340">
        <f t="shared" si="95"/>
        <v>1938.675</v>
      </c>
      <c r="DM51" s="340">
        <f t="shared" si="95"/>
        <v>2096.085</v>
      </c>
      <c r="DN51" s="340">
        <f t="shared" si="95"/>
        <v>2132.79</v>
      </c>
      <c r="DP51" s="340">
        <f t="shared" si="70"/>
        <v>192879.48000000004</v>
      </c>
    </row>
    <row r="52" spans="4:120" x14ac:dyDescent="0.3">
      <c r="D52" s="331" t="str">
        <f>'Table 3.0'!D80</f>
        <v>Office &amp; Software</v>
      </c>
      <c r="V52" s="561"/>
      <c r="AH52" s="561"/>
      <c r="AT52" s="561"/>
      <c r="BF52" s="561"/>
      <c r="BR52" s="561"/>
      <c r="CD52" s="561"/>
      <c r="CP52" s="561"/>
      <c r="DB52" s="561"/>
      <c r="DP52" s="340"/>
    </row>
    <row r="53" spans="4:120" x14ac:dyDescent="0.3">
      <c r="E53" s="331" t="str">
        <f>'Table 3.0'!E81</f>
        <v>Software Expense</v>
      </c>
      <c r="G53" s="936">
        <f>'Table 3.0'!G81</f>
        <v>0.03</v>
      </c>
      <c r="H53" s="323" t="s">
        <v>905</v>
      </c>
      <c r="V53" s="561"/>
      <c r="W53" s="925">
        <v>210</v>
      </c>
      <c r="X53" s="340">
        <f>W53</f>
        <v>210</v>
      </c>
      <c r="Y53" s="340">
        <f t="shared" ref="Y53:AH53" si="96">X53</f>
        <v>210</v>
      </c>
      <c r="Z53" s="340">
        <f t="shared" si="96"/>
        <v>210</v>
      </c>
      <c r="AA53" s="340">
        <f t="shared" si="96"/>
        <v>210</v>
      </c>
      <c r="AB53" s="340">
        <f t="shared" si="96"/>
        <v>210</v>
      </c>
      <c r="AC53" s="340">
        <f t="shared" si="96"/>
        <v>210</v>
      </c>
      <c r="AD53" s="340">
        <f t="shared" si="96"/>
        <v>210</v>
      </c>
      <c r="AE53" s="340">
        <f t="shared" si="96"/>
        <v>210</v>
      </c>
      <c r="AF53" s="340">
        <f t="shared" si="96"/>
        <v>210</v>
      </c>
      <c r="AG53" s="340">
        <f t="shared" si="96"/>
        <v>210</v>
      </c>
      <c r="AH53" s="562">
        <f t="shared" si="96"/>
        <v>210</v>
      </c>
      <c r="AI53" s="340">
        <f t="shared" ref="AI53:AT53" si="97">$W$53*(1+$G$53)</f>
        <v>216.3</v>
      </c>
      <c r="AJ53" s="340">
        <f t="shared" si="97"/>
        <v>216.3</v>
      </c>
      <c r="AK53" s="340">
        <f t="shared" si="97"/>
        <v>216.3</v>
      </c>
      <c r="AL53" s="340">
        <f t="shared" si="97"/>
        <v>216.3</v>
      </c>
      <c r="AM53" s="340">
        <f t="shared" si="97"/>
        <v>216.3</v>
      </c>
      <c r="AN53" s="340">
        <f t="shared" si="97"/>
        <v>216.3</v>
      </c>
      <c r="AO53" s="340">
        <f t="shared" si="97"/>
        <v>216.3</v>
      </c>
      <c r="AP53" s="340">
        <f t="shared" si="97"/>
        <v>216.3</v>
      </c>
      <c r="AQ53" s="340">
        <f t="shared" si="97"/>
        <v>216.3</v>
      </c>
      <c r="AR53" s="340">
        <f t="shared" si="97"/>
        <v>216.3</v>
      </c>
      <c r="AS53" s="340">
        <f t="shared" si="97"/>
        <v>216.3</v>
      </c>
      <c r="AT53" s="562">
        <f t="shared" si="97"/>
        <v>216.3</v>
      </c>
      <c r="AU53" s="340">
        <f t="shared" ref="AU53:BF53" si="98">$W$53*(1+$G$53)^2</f>
        <v>222.78899999999999</v>
      </c>
      <c r="AV53" s="340">
        <f t="shared" si="98"/>
        <v>222.78899999999999</v>
      </c>
      <c r="AW53" s="340">
        <f t="shared" si="98"/>
        <v>222.78899999999999</v>
      </c>
      <c r="AX53" s="340">
        <f t="shared" si="98"/>
        <v>222.78899999999999</v>
      </c>
      <c r="AY53" s="340">
        <f t="shared" si="98"/>
        <v>222.78899999999999</v>
      </c>
      <c r="AZ53" s="340">
        <f t="shared" si="98"/>
        <v>222.78899999999999</v>
      </c>
      <c r="BA53" s="340">
        <f t="shared" si="98"/>
        <v>222.78899999999999</v>
      </c>
      <c r="BB53" s="340">
        <f t="shared" si="98"/>
        <v>222.78899999999999</v>
      </c>
      <c r="BC53" s="340">
        <f t="shared" si="98"/>
        <v>222.78899999999999</v>
      </c>
      <c r="BD53" s="340">
        <f t="shared" si="98"/>
        <v>222.78899999999999</v>
      </c>
      <c r="BE53" s="340">
        <f t="shared" si="98"/>
        <v>222.78899999999999</v>
      </c>
      <c r="BF53" s="562">
        <f t="shared" si="98"/>
        <v>222.78899999999999</v>
      </c>
      <c r="BG53" s="340">
        <f t="shared" ref="BG53:BR53" si="99">$W$53*(1+$G$53)^3</f>
        <v>229.47266999999999</v>
      </c>
      <c r="BH53" s="340">
        <f t="shared" si="99"/>
        <v>229.47266999999999</v>
      </c>
      <c r="BI53" s="340">
        <f t="shared" si="99"/>
        <v>229.47266999999999</v>
      </c>
      <c r="BJ53" s="340">
        <f t="shared" si="99"/>
        <v>229.47266999999999</v>
      </c>
      <c r="BK53" s="340">
        <f t="shared" si="99"/>
        <v>229.47266999999999</v>
      </c>
      <c r="BL53" s="340">
        <f t="shared" si="99"/>
        <v>229.47266999999999</v>
      </c>
      <c r="BM53" s="340">
        <f t="shared" si="99"/>
        <v>229.47266999999999</v>
      </c>
      <c r="BN53" s="340">
        <f t="shared" si="99"/>
        <v>229.47266999999999</v>
      </c>
      <c r="BO53" s="340">
        <f t="shared" si="99"/>
        <v>229.47266999999999</v>
      </c>
      <c r="BP53" s="340">
        <f t="shared" si="99"/>
        <v>229.47266999999999</v>
      </c>
      <c r="BQ53" s="340">
        <f t="shared" si="99"/>
        <v>229.47266999999999</v>
      </c>
      <c r="BR53" s="562">
        <f t="shared" si="99"/>
        <v>229.47266999999999</v>
      </c>
      <c r="BS53" s="340">
        <f t="shared" ref="BS53:CD53" si="100">$W$53*(1+$G$53)^4</f>
        <v>236.35685009999997</v>
      </c>
      <c r="BT53" s="340">
        <f t="shared" si="100"/>
        <v>236.35685009999997</v>
      </c>
      <c r="BU53" s="340">
        <f t="shared" si="100"/>
        <v>236.35685009999997</v>
      </c>
      <c r="BV53" s="340">
        <f t="shared" si="100"/>
        <v>236.35685009999997</v>
      </c>
      <c r="BW53" s="340">
        <f t="shared" si="100"/>
        <v>236.35685009999997</v>
      </c>
      <c r="BX53" s="340">
        <f t="shared" si="100"/>
        <v>236.35685009999997</v>
      </c>
      <c r="BY53" s="340">
        <f t="shared" si="100"/>
        <v>236.35685009999997</v>
      </c>
      <c r="BZ53" s="340">
        <f t="shared" si="100"/>
        <v>236.35685009999997</v>
      </c>
      <c r="CA53" s="340">
        <f t="shared" si="100"/>
        <v>236.35685009999997</v>
      </c>
      <c r="CB53" s="340">
        <f t="shared" si="100"/>
        <v>236.35685009999997</v>
      </c>
      <c r="CC53" s="340">
        <f t="shared" si="100"/>
        <v>236.35685009999997</v>
      </c>
      <c r="CD53" s="562">
        <f t="shared" si="100"/>
        <v>236.35685009999997</v>
      </c>
      <c r="CE53" s="340">
        <f t="shared" ref="CE53:CP53" si="101">$W$53*(1+$G$53)^5</f>
        <v>243.44755560299996</v>
      </c>
      <c r="CF53" s="340">
        <f t="shared" si="101"/>
        <v>243.44755560299996</v>
      </c>
      <c r="CG53" s="340">
        <f t="shared" si="101"/>
        <v>243.44755560299996</v>
      </c>
      <c r="CH53" s="340">
        <f t="shared" si="101"/>
        <v>243.44755560299996</v>
      </c>
      <c r="CI53" s="340">
        <f t="shared" si="101"/>
        <v>243.44755560299996</v>
      </c>
      <c r="CJ53" s="340">
        <f t="shared" si="101"/>
        <v>243.44755560299996</v>
      </c>
      <c r="CK53" s="340">
        <f t="shared" si="101"/>
        <v>243.44755560299996</v>
      </c>
      <c r="CL53" s="340">
        <f t="shared" si="101"/>
        <v>243.44755560299996</v>
      </c>
      <c r="CM53" s="340">
        <f t="shared" si="101"/>
        <v>243.44755560299996</v>
      </c>
      <c r="CN53" s="340">
        <f t="shared" si="101"/>
        <v>243.44755560299996</v>
      </c>
      <c r="CO53" s="340">
        <f t="shared" si="101"/>
        <v>243.44755560299996</v>
      </c>
      <c r="CP53" s="562">
        <f t="shared" si="101"/>
        <v>243.44755560299996</v>
      </c>
      <c r="CQ53" s="340">
        <f t="shared" ref="CQ53:DB53" si="102">$W$53*(1+$G$53)^6</f>
        <v>250.75098227108998</v>
      </c>
      <c r="CR53" s="340">
        <f t="shared" si="102"/>
        <v>250.75098227108998</v>
      </c>
      <c r="CS53" s="340">
        <f t="shared" si="102"/>
        <v>250.75098227108998</v>
      </c>
      <c r="CT53" s="340">
        <f t="shared" si="102"/>
        <v>250.75098227108998</v>
      </c>
      <c r="CU53" s="340">
        <f t="shared" si="102"/>
        <v>250.75098227108998</v>
      </c>
      <c r="CV53" s="340">
        <f t="shared" si="102"/>
        <v>250.75098227108998</v>
      </c>
      <c r="CW53" s="340">
        <f t="shared" si="102"/>
        <v>250.75098227108998</v>
      </c>
      <c r="CX53" s="340">
        <f t="shared" si="102"/>
        <v>250.75098227108998</v>
      </c>
      <c r="CY53" s="340">
        <f t="shared" si="102"/>
        <v>250.75098227108998</v>
      </c>
      <c r="CZ53" s="340">
        <f t="shared" si="102"/>
        <v>250.75098227108998</v>
      </c>
      <c r="DA53" s="340">
        <f t="shared" si="102"/>
        <v>250.75098227108998</v>
      </c>
      <c r="DB53" s="562">
        <f t="shared" si="102"/>
        <v>250.75098227108998</v>
      </c>
      <c r="DC53" s="340">
        <f t="shared" ref="DC53:DN53" si="103">$W$53*(1+$G$53)^7</f>
        <v>258.27351173922267</v>
      </c>
      <c r="DD53" s="340">
        <f t="shared" si="103"/>
        <v>258.27351173922267</v>
      </c>
      <c r="DE53" s="340">
        <f t="shared" si="103"/>
        <v>258.27351173922267</v>
      </c>
      <c r="DF53" s="340">
        <f t="shared" si="103"/>
        <v>258.27351173922267</v>
      </c>
      <c r="DG53" s="340">
        <f t="shared" si="103"/>
        <v>258.27351173922267</v>
      </c>
      <c r="DH53" s="340">
        <f t="shared" si="103"/>
        <v>258.27351173922267</v>
      </c>
      <c r="DI53" s="340">
        <f t="shared" si="103"/>
        <v>258.27351173922267</v>
      </c>
      <c r="DJ53" s="340">
        <f t="shared" si="103"/>
        <v>258.27351173922267</v>
      </c>
      <c r="DK53" s="340">
        <f t="shared" si="103"/>
        <v>258.27351173922267</v>
      </c>
      <c r="DL53" s="340">
        <f t="shared" si="103"/>
        <v>258.27351173922267</v>
      </c>
      <c r="DM53" s="340">
        <f t="shared" si="103"/>
        <v>258.27351173922267</v>
      </c>
      <c r="DN53" s="340">
        <f t="shared" si="103"/>
        <v>258.27351173922267</v>
      </c>
      <c r="DP53" s="340">
        <f t="shared" si="70"/>
        <v>22408.686836559726</v>
      </c>
    </row>
    <row r="54" spans="4:120" x14ac:dyDescent="0.3">
      <c r="D54" s="331" t="str">
        <f>'Table 3.0'!D82</f>
        <v>Sales &amp; Marketing</v>
      </c>
      <c r="G54" s="338"/>
      <c r="V54" s="561"/>
      <c r="AH54" s="561"/>
      <c r="AT54" s="561"/>
      <c r="BF54" s="561"/>
      <c r="BR54" s="561"/>
      <c r="CD54" s="561"/>
      <c r="CP54" s="561"/>
      <c r="DB54" s="561"/>
      <c r="DP54" s="340"/>
    </row>
    <row r="55" spans="4:120" x14ac:dyDescent="0.3">
      <c r="E55" s="331" t="str">
        <f>'Table 3.0'!E83</f>
        <v>Digital Marketing</v>
      </c>
      <c r="G55" s="936">
        <f>'Table 3.0'!G83</f>
        <v>0.03</v>
      </c>
      <c r="H55" s="323" t="s">
        <v>905</v>
      </c>
      <c r="T55" s="925">
        <v>5000</v>
      </c>
      <c r="U55" s="925">
        <v>250</v>
      </c>
      <c r="V55" s="561">
        <f>U55</f>
        <v>250</v>
      </c>
      <c r="W55" s="925">
        <f>V55</f>
        <v>250</v>
      </c>
      <c r="X55" s="340">
        <f>W55</f>
        <v>250</v>
      </c>
      <c r="Y55" s="340">
        <f t="shared" ref="Y55:AH55" si="104">X55</f>
        <v>250</v>
      </c>
      <c r="Z55" s="340">
        <f t="shared" si="104"/>
        <v>250</v>
      </c>
      <c r="AA55" s="340">
        <f t="shared" si="104"/>
        <v>250</v>
      </c>
      <c r="AB55" s="340">
        <f t="shared" si="104"/>
        <v>250</v>
      </c>
      <c r="AC55" s="340">
        <f t="shared" si="104"/>
        <v>250</v>
      </c>
      <c r="AD55" s="340">
        <f t="shared" si="104"/>
        <v>250</v>
      </c>
      <c r="AE55" s="340">
        <f t="shared" si="104"/>
        <v>250</v>
      </c>
      <c r="AF55" s="340">
        <f t="shared" si="104"/>
        <v>250</v>
      </c>
      <c r="AG55" s="340">
        <f t="shared" si="104"/>
        <v>250</v>
      </c>
      <c r="AH55" s="562">
        <f t="shared" si="104"/>
        <v>250</v>
      </c>
      <c r="AI55" s="340">
        <f t="shared" ref="AI55:AT55" si="105">$W$55*(1+$G$55)</f>
        <v>257.5</v>
      </c>
      <c r="AJ55" s="340">
        <f t="shared" si="105"/>
        <v>257.5</v>
      </c>
      <c r="AK55" s="340">
        <f t="shared" si="105"/>
        <v>257.5</v>
      </c>
      <c r="AL55" s="340">
        <f t="shared" si="105"/>
        <v>257.5</v>
      </c>
      <c r="AM55" s="340">
        <f t="shared" si="105"/>
        <v>257.5</v>
      </c>
      <c r="AN55" s="340">
        <f t="shared" si="105"/>
        <v>257.5</v>
      </c>
      <c r="AO55" s="340">
        <f t="shared" si="105"/>
        <v>257.5</v>
      </c>
      <c r="AP55" s="340">
        <f t="shared" si="105"/>
        <v>257.5</v>
      </c>
      <c r="AQ55" s="340">
        <f t="shared" si="105"/>
        <v>257.5</v>
      </c>
      <c r="AR55" s="340">
        <f t="shared" si="105"/>
        <v>257.5</v>
      </c>
      <c r="AS55" s="340">
        <f t="shared" si="105"/>
        <v>257.5</v>
      </c>
      <c r="AT55" s="562">
        <f t="shared" si="105"/>
        <v>257.5</v>
      </c>
      <c r="AU55" s="340">
        <f t="shared" ref="AU55:BF55" si="106">$W$55*(1+$G$55)^2</f>
        <v>265.22499999999997</v>
      </c>
      <c r="AV55" s="340">
        <f t="shared" si="106"/>
        <v>265.22499999999997</v>
      </c>
      <c r="AW55" s="340">
        <f t="shared" si="106"/>
        <v>265.22499999999997</v>
      </c>
      <c r="AX55" s="340">
        <f t="shared" si="106"/>
        <v>265.22499999999997</v>
      </c>
      <c r="AY55" s="340">
        <f t="shared" si="106"/>
        <v>265.22499999999997</v>
      </c>
      <c r="AZ55" s="340">
        <f t="shared" si="106"/>
        <v>265.22499999999997</v>
      </c>
      <c r="BA55" s="340">
        <f t="shared" si="106"/>
        <v>265.22499999999997</v>
      </c>
      <c r="BB55" s="340">
        <f t="shared" si="106"/>
        <v>265.22499999999997</v>
      </c>
      <c r="BC55" s="340">
        <f t="shared" si="106"/>
        <v>265.22499999999997</v>
      </c>
      <c r="BD55" s="340">
        <f t="shared" si="106"/>
        <v>265.22499999999997</v>
      </c>
      <c r="BE55" s="340">
        <f t="shared" si="106"/>
        <v>265.22499999999997</v>
      </c>
      <c r="BF55" s="562">
        <f t="shared" si="106"/>
        <v>265.22499999999997</v>
      </c>
      <c r="BG55" s="340">
        <f t="shared" ref="BG55:BR55" si="107">$W$55*(1+$G$55)^3</f>
        <v>273.18175000000002</v>
      </c>
      <c r="BH55" s="340">
        <f t="shared" si="107"/>
        <v>273.18175000000002</v>
      </c>
      <c r="BI55" s="340">
        <f t="shared" si="107"/>
        <v>273.18175000000002</v>
      </c>
      <c r="BJ55" s="340">
        <f t="shared" si="107"/>
        <v>273.18175000000002</v>
      </c>
      <c r="BK55" s="340">
        <f t="shared" si="107"/>
        <v>273.18175000000002</v>
      </c>
      <c r="BL55" s="340">
        <f t="shared" si="107"/>
        <v>273.18175000000002</v>
      </c>
      <c r="BM55" s="340">
        <f t="shared" si="107"/>
        <v>273.18175000000002</v>
      </c>
      <c r="BN55" s="340">
        <f t="shared" si="107"/>
        <v>273.18175000000002</v>
      </c>
      <c r="BO55" s="340">
        <f t="shared" si="107"/>
        <v>273.18175000000002</v>
      </c>
      <c r="BP55" s="340">
        <f t="shared" si="107"/>
        <v>273.18175000000002</v>
      </c>
      <c r="BQ55" s="340">
        <f t="shared" si="107"/>
        <v>273.18175000000002</v>
      </c>
      <c r="BR55" s="562">
        <f t="shared" si="107"/>
        <v>273.18175000000002</v>
      </c>
      <c r="BS55" s="340">
        <f t="shared" ref="BS55:CD55" si="108">$W$55*(1+$G$55)^4</f>
        <v>281.37720249999995</v>
      </c>
      <c r="BT55" s="340">
        <f t="shared" si="108"/>
        <v>281.37720249999995</v>
      </c>
      <c r="BU55" s="340">
        <f t="shared" si="108"/>
        <v>281.37720249999995</v>
      </c>
      <c r="BV55" s="340">
        <f t="shared" si="108"/>
        <v>281.37720249999995</v>
      </c>
      <c r="BW55" s="340">
        <f t="shared" si="108"/>
        <v>281.37720249999995</v>
      </c>
      <c r="BX55" s="340">
        <f t="shared" si="108"/>
        <v>281.37720249999995</v>
      </c>
      <c r="BY55" s="340">
        <f t="shared" si="108"/>
        <v>281.37720249999995</v>
      </c>
      <c r="BZ55" s="340">
        <f t="shared" si="108"/>
        <v>281.37720249999995</v>
      </c>
      <c r="CA55" s="340">
        <f t="shared" si="108"/>
        <v>281.37720249999995</v>
      </c>
      <c r="CB55" s="340">
        <f t="shared" si="108"/>
        <v>281.37720249999995</v>
      </c>
      <c r="CC55" s="340">
        <f t="shared" si="108"/>
        <v>281.37720249999995</v>
      </c>
      <c r="CD55" s="562">
        <f t="shared" si="108"/>
        <v>281.37720249999995</v>
      </c>
      <c r="CE55" s="340">
        <f t="shared" ref="CE55:CP55" si="109">$W$55*(1+$G$55)^5</f>
        <v>289.81851857499998</v>
      </c>
      <c r="CF55" s="340">
        <f t="shared" si="109"/>
        <v>289.81851857499998</v>
      </c>
      <c r="CG55" s="340">
        <f t="shared" si="109"/>
        <v>289.81851857499998</v>
      </c>
      <c r="CH55" s="340">
        <f t="shared" si="109"/>
        <v>289.81851857499998</v>
      </c>
      <c r="CI55" s="340">
        <f t="shared" si="109"/>
        <v>289.81851857499998</v>
      </c>
      <c r="CJ55" s="340">
        <f t="shared" si="109"/>
        <v>289.81851857499998</v>
      </c>
      <c r="CK55" s="340">
        <f t="shared" si="109"/>
        <v>289.81851857499998</v>
      </c>
      <c r="CL55" s="340">
        <f t="shared" si="109"/>
        <v>289.81851857499998</v>
      </c>
      <c r="CM55" s="340">
        <f t="shared" si="109"/>
        <v>289.81851857499998</v>
      </c>
      <c r="CN55" s="340">
        <f t="shared" si="109"/>
        <v>289.81851857499998</v>
      </c>
      <c r="CO55" s="340">
        <f t="shared" si="109"/>
        <v>289.81851857499998</v>
      </c>
      <c r="CP55" s="562">
        <f t="shared" si="109"/>
        <v>289.81851857499998</v>
      </c>
      <c r="CQ55" s="340">
        <f t="shared" ref="CQ55:DB55" si="110">$W$55*(1+$G$55)^6</f>
        <v>298.51307413224998</v>
      </c>
      <c r="CR55" s="340">
        <f t="shared" si="110"/>
        <v>298.51307413224998</v>
      </c>
      <c r="CS55" s="340">
        <f t="shared" si="110"/>
        <v>298.51307413224998</v>
      </c>
      <c r="CT55" s="340">
        <f t="shared" si="110"/>
        <v>298.51307413224998</v>
      </c>
      <c r="CU55" s="340">
        <f t="shared" si="110"/>
        <v>298.51307413224998</v>
      </c>
      <c r="CV55" s="340">
        <f t="shared" si="110"/>
        <v>298.51307413224998</v>
      </c>
      <c r="CW55" s="340">
        <f t="shared" si="110"/>
        <v>298.51307413224998</v>
      </c>
      <c r="CX55" s="340">
        <f t="shared" si="110"/>
        <v>298.51307413224998</v>
      </c>
      <c r="CY55" s="340">
        <f t="shared" si="110"/>
        <v>298.51307413224998</v>
      </c>
      <c r="CZ55" s="340">
        <f t="shared" si="110"/>
        <v>298.51307413224998</v>
      </c>
      <c r="DA55" s="340">
        <f t="shared" si="110"/>
        <v>298.51307413224998</v>
      </c>
      <c r="DB55" s="562">
        <f t="shared" si="110"/>
        <v>298.51307413224998</v>
      </c>
      <c r="DC55" s="340">
        <f t="shared" ref="DC55:DN55" si="111">$W$55*(1+$G$55)^7</f>
        <v>307.4684663562175</v>
      </c>
      <c r="DD55" s="340">
        <f t="shared" si="111"/>
        <v>307.4684663562175</v>
      </c>
      <c r="DE55" s="340">
        <f t="shared" si="111"/>
        <v>307.4684663562175</v>
      </c>
      <c r="DF55" s="340">
        <f t="shared" si="111"/>
        <v>307.4684663562175</v>
      </c>
      <c r="DG55" s="340">
        <f t="shared" si="111"/>
        <v>307.4684663562175</v>
      </c>
      <c r="DH55" s="340">
        <f t="shared" si="111"/>
        <v>307.4684663562175</v>
      </c>
      <c r="DI55" s="340">
        <f t="shared" si="111"/>
        <v>307.4684663562175</v>
      </c>
      <c r="DJ55" s="340">
        <f t="shared" si="111"/>
        <v>307.4684663562175</v>
      </c>
      <c r="DK55" s="340">
        <f t="shared" si="111"/>
        <v>307.4684663562175</v>
      </c>
      <c r="DL55" s="340">
        <f t="shared" si="111"/>
        <v>307.4684663562175</v>
      </c>
      <c r="DM55" s="340">
        <f t="shared" si="111"/>
        <v>307.4684663562175</v>
      </c>
      <c r="DN55" s="340">
        <f t="shared" si="111"/>
        <v>307.4684663562175</v>
      </c>
      <c r="DP55" s="340">
        <f t="shared" si="70"/>
        <v>32177.00813876163</v>
      </c>
    </row>
    <row r="56" spans="4:120" x14ac:dyDescent="0.3">
      <c r="D56" s="331" t="str">
        <f>'Table 3.0'!D84</f>
        <v>Property Operating &amp; Maintenance</v>
      </c>
      <c r="V56" s="561"/>
      <c r="AH56" s="561"/>
      <c r="AT56" s="561"/>
      <c r="BF56" s="561"/>
      <c r="BR56" s="561"/>
      <c r="CD56" s="561"/>
      <c r="CP56" s="561"/>
      <c r="DB56" s="561"/>
      <c r="DP56" s="340"/>
    </row>
    <row r="57" spans="4:120" x14ac:dyDescent="0.3">
      <c r="E57" s="331" t="str">
        <f>'Table 3.0'!E85</f>
        <v>R&amp;M Groundskeeping/Landscaping</v>
      </c>
      <c r="G57" s="936">
        <f>'Table 3.0'!G85</f>
        <v>0.03</v>
      </c>
      <c r="H57" s="323" t="s">
        <v>905</v>
      </c>
      <c r="V57" s="561"/>
      <c r="W57" s="925">
        <v>2880</v>
      </c>
      <c r="X57" s="340">
        <f>W57</f>
        <v>2880</v>
      </c>
      <c r="Y57" s="340">
        <f t="shared" ref="Y57:AH57" si="112">X57</f>
        <v>2880</v>
      </c>
      <c r="Z57" s="340">
        <f t="shared" si="112"/>
        <v>2880</v>
      </c>
      <c r="AA57" s="340">
        <f t="shared" si="112"/>
        <v>2880</v>
      </c>
      <c r="AB57" s="340">
        <f t="shared" si="112"/>
        <v>2880</v>
      </c>
      <c r="AC57" s="340">
        <f t="shared" si="112"/>
        <v>2880</v>
      </c>
      <c r="AD57" s="340">
        <f t="shared" si="112"/>
        <v>2880</v>
      </c>
      <c r="AE57" s="340">
        <f t="shared" si="112"/>
        <v>2880</v>
      </c>
      <c r="AF57" s="340">
        <f t="shared" si="112"/>
        <v>2880</v>
      </c>
      <c r="AG57" s="340">
        <f t="shared" si="112"/>
        <v>2880</v>
      </c>
      <c r="AH57" s="562">
        <f t="shared" si="112"/>
        <v>2880</v>
      </c>
      <c r="AI57" s="340">
        <f t="shared" ref="AI57:AT57" si="113">$W$57*(1+$G$57)</f>
        <v>2966.4</v>
      </c>
      <c r="AJ57" s="340">
        <f t="shared" si="113"/>
        <v>2966.4</v>
      </c>
      <c r="AK57" s="340">
        <f t="shared" si="113"/>
        <v>2966.4</v>
      </c>
      <c r="AL57" s="340">
        <f t="shared" si="113"/>
        <v>2966.4</v>
      </c>
      <c r="AM57" s="340">
        <f t="shared" si="113"/>
        <v>2966.4</v>
      </c>
      <c r="AN57" s="340">
        <f t="shared" si="113"/>
        <v>2966.4</v>
      </c>
      <c r="AO57" s="340">
        <f t="shared" si="113"/>
        <v>2966.4</v>
      </c>
      <c r="AP57" s="340">
        <f t="shared" si="113"/>
        <v>2966.4</v>
      </c>
      <c r="AQ57" s="340">
        <f t="shared" si="113"/>
        <v>2966.4</v>
      </c>
      <c r="AR57" s="340">
        <f t="shared" si="113"/>
        <v>2966.4</v>
      </c>
      <c r="AS57" s="340">
        <f t="shared" si="113"/>
        <v>2966.4</v>
      </c>
      <c r="AT57" s="562">
        <f t="shared" si="113"/>
        <v>2966.4</v>
      </c>
      <c r="AU57" s="340">
        <f t="shared" ref="AU57:BF57" si="114">$W$57*(1+$G$57)^2</f>
        <v>3055.3919999999998</v>
      </c>
      <c r="AV57" s="340">
        <f t="shared" si="114"/>
        <v>3055.3919999999998</v>
      </c>
      <c r="AW57" s="340">
        <f t="shared" si="114"/>
        <v>3055.3919999999998</v>
      </c>
      <c r="AX57" s="340">
        <f t="shared" si="114"/>
        <v>3055.3919999999998</v>
      </c>
      <c r="AY57" s="340">
        <f t="shared" si="114"/>
        <v>3055.3919999999998</v>
      </c>
      <c r="AZ57" s="340">
        <f t="shared" si="114"/>
        <v>3055.3919999999998</v>
      </c>
      <c r="BA57" s="340">
        <f t="shared" si="114"/>
        <v>3055.3919999999998</v>
      </c>
      <c r="BB57" s="340">
        <f t="shared" si="114"/>
        <v>3055.3919999999998</v>
      </c>
      <c r="BC57" s="340">
        <f t="shared" si="114"/>
        <v>3055.3919999999998</v>
      </c>
      <c r="BD57" s="340">
        <f t="shared" si="114"/>
        <v>3055.3919999999998</v>
      </c>
      <c r="BE57" s="340">
        <f t="shared" si="114"/>
        <v>3055.3919999999998</v>
      </c>
      <c r="BF57" s="562">
        <f t="shared" si="114"/>
        <v>3055.3919999999998</v>
      </c>
      <c r="BG57" s="340">
        <f t="shared" ref="BG57:BR57" si="115">$W$57*(1+$G$57)^3</f>
        <v>3147.0537599999998</v>
      </c>
      <c r="BH57" s="340">
        <f t="shared" si="115"/>
        <v>3147.0537599999998</v>
      </c>
      <c r="BI57" s="340">
        <f t="shared" si="115"/>
        <v>3147.0537599999998</v>
      </c>
      <c r="BJ57" s="340">
        <f t="shared" si="115"/>
        <v>3147.0537599999998</v>
      </c>
      <c r="BK57" s="340">
        <f t="shared" si="115"/>
        <v>3147.0537599999998</v>
      </c>
      <c r="BL57" s="340">
        <f t="shared" si="115"/>
        <v>3147.0537599999998</v>
      </c>
      <c r="BM57" s="340">
        <f t="shared" si="115"/>
        <v>3147.0537599999998</v>
      </c>
      <c r="BN57" s="340">
        <f t="shared" si="115"/>
        <v>3147.0537599999998</v>
      </c>
      <c r="BO57" s="340">
        <f t="shared" si="115"/>
        <v>3147.0537599999998</v>
      </c>
      <c r="BP57" s="340">
        <f t="shared" si="115"/>
        <v>3147.0537599999998</v>
      </c>
      <c r="BQ57" s="340">
        <f t="shared" si="115"/>
        <v>3147.0537599999998</v>
      </c>
      <c r="BR57" s="562">
        <f t="shared" si="115"/>
        <v>3147.0537599999998</v>
      </c>
      <c r="BS57" s="340">
        <f t="shared" ref="BS57:CD57" si="116">$W$57*(1+$G$57)^4</f>
        <v>3241.4653727999998</v>
      </c>
      <c r="BT57" s="340">
        <f t="shared" si="116"/>
        <v>3241.4653727999998</v>
      </c>
      <c r="BU57" s="340">
        <f t="shared" si="116"/>
        <v>3241.4653727999998</v>
      </c>
      <c r="BV57" s="340">
        <f t="shared" si="116"/>
        <v>3241.4653727999998</v>
      </c>
      <c r="BW57" s="340">
        <f t="shared" si="116"/>
        <v>3241.4653727999998</v>
      </c>
      <c r="BX57" s="340">
        <f t="shared" si="116"/>
        <v>3241.4653727999998</v>
      </c>
      <c r="BY57" s="340">
        <f t="shared" si="116"/>
        <v>3241.4653727999998</v>
      </c>
      <c r="BZ57" s="340">
        <f t="shared" si="116"/>
        <v>3241.4653727999998</v>
      </c>
      <c r="CA57" s="340">
        <f t="shared" si="116"/>
        <v>3241.4653727999998</v>
      </c>
      <c r="CB57" s="340">
        <f t="shared" si="116"/>
        <v>3241.4653727999998</v>
      </c>
      <c r="CC57" s="340">
        <f t="shared" si="116"/>
        <v>3241.4653727999998</v>
      </c>
      <c r="CD57" s="562">
        <f t="shared" si="116"/>
        <v>3241.4653727999998</v>
      </c>
      <c r="CE57" s="340">
        <f t="shared" ref="CE57:CP57" si="117">$W$57*(1+$G$57)^5</f>
        <v>3338.7093339839994</v>
      </c>
      <c r="CF57" s="340">
        <f t="shared" si="117"/>
        <v>3338.7093339839994</v>
      </c>
      <c r="CG57" s="340">
        <f t="shared" si="117"/>
        <v>3338.7093339839994</v>
      </c>
      <c r="CH57" s="340">
        <f t="shared" si="117"/>
        <v>3338.7093339839994</v>
      </c>
      <c r="CI57" s="340">
        <f t="shared" si="117"/>
        <v>3338.7093339839994</v>
      </c>
      <c r="CJ57" s="340">
        <f t="shared" si="117"/>
        <v>3338.7093339839994</v>
      </c>
      <c r="CK57" s="340">
        <f t="shared" si="117"/>
        <v>3338.7093339839994</v>
      </c>
      <c r="CL57" s="340">
        <f t="shared" si="117"/>
        <v>3338.7093339839994</v>
      </c>
      <c r="CM57" s="340">
        <f t="shared" si="117"/>
        <v>3338.7093339839994</v>
      </c>
      <c r="CN57" s="340">
        <f t="shared" si="117"/>
        <v>3338.7093339839994</v>
      </c>
      <c r="CO57" s="340">
        <f t="shared" si="117"/>
        <v>3338.7093339839994</v>
      </c>
      <c r="CP57" s="562">
        <f t="shared" si="117"/>
        <v>3338.7093339839994</v>
      </c>
      <c r="CQ57" s="340">
        <f t="shared" ref="CQ57:DB57" si="118">$W$57*(1+$G$57)^6</f>
        <v>3438.8706140035197</v>
      </c>
      <c r="CR57" s="340">
        <f t="shared" si="118"/>
        <v>3438.8706140035197</v>
      </c>
      <c r="CS57" s="340">
        <f t="shared" si="118"/>
        <v>3438.8706140035197</v>
      </c>
      <c r="CT57" s="340">
        <f t="shared" si="118"/>
        <v>3438.8706140035197</v>
      </c>
      <c r="CU57" s="340">
        <f t="shared" si="118"/>
        <v>3438.8706140035197</v>
      </c>
      <c r="CV57" s="340">
        <f t="shared" si="118"/>
        <v>3438.8706140035197</v>
      </c>
      <c r="CW57" s="340">
        <f t="shared" si="118"/>
        <v>3438.8706140035197</v>
      </c>
      <c r="CX57" s="340">
        <f t="shared" si="118"/>
        <v>3438.8706140035197</v>
      </c>
      <c r="CY57" s="340">
        <f t="shared" si="118"/>
        <v>3438.8706140035197</v>
      </c>
      <c r="CZ57" s="340">
        <f t="shared" si="118"/>
        <v>3438.8706140035197</v>
      </c>
      <c r="DA57" s="340">
        <f t="shared" si="118"/>
        <v>3438.8706140035197</v>
      </c>
      <c r="DB57" s="562">
        <f t="shared" si="118"/>
        <v>3438.8706140035197</v>
      </c>
      <c r="DC57" s="340">
        <f t="shared" ref="DC57:DN57" si="119">$W$57*(1+$G$57)^7</f>
        <v>3542.0367324236254</v>
      </c>
      <c r="DD57" s="340">
        <f t="shared" si="119"/>
        <v>3542.0367324236254</v>
      </c>
      <c r="DE57" s="340">
        <f t="shared" si="119"/>
        <v>3542.0367324236254</v>
      </c>
      <c r="DF57" s="340">
        <f t="shared" si="119"/>
        <v>3542.0367324236254</v>
      </c>
      <c r="DG57" s="340">
        <f t="shared" si="119"/>
        <v>3542.0367324236254</v>
      </c>
      <c r="DH57" s="340">
        <f t="shared" si="119"/>
        <v>3542.0367324236254</v>
      </c>
      <c r="DI57" s="340">
        <f t="shared" si="119"/>
        <v>3542.0367324236254</v>
      </c>
      <c r="DJ57" s="340">
        <f t="shared" si="119"/>
        <v>3542.0367324236254</v>
      </c>
      <c r="DK57" s="340">
        <f t="shared" si="119"/>
        <v>3542.0367324236254</v>
      </c>
      <c r="DL57" s="340">
        <f t="shared" si="119"/>
        <v>3542.0367324236254</v>
      </c>
      <c r="DM57" s="340">
        <f t="shared" si="119"/>
        <v>3542.0367324236254</v>
      </c>
      <c r="DN57" s="340">
        <f t="shared" si="119"/>
        <v>3542.0367324236254</v>
      </c>
      <c r="DP57" s="340">
        <f t="shared" si="70"/>
        <v>307319.13375853398</v>
      </c>
    </row>
    <row r="58" spans="4:120" x14ac:dyDescent="0.3">
      <c r="E58" s="331" t="str">
        <f>'Table 3.0'!E86</f>
        <v>R&amp;M Pool</v>
      </c>
      <c r="G58" s="936">
        <f>'Table 3.0'!G86</f>
        <v>0.03</v>
      </c>
      <c r="H58" s="323" t="s">
        <v>905</v>
      </c>
      <c r="V58" s="561"/>
      <c r="W58" s="925">
        <v>500</v>
      </c>
      <c r="X58" s="340">
        <f t="shared" ref="X58:AH60" si="120">W58</f>
        <v>500</v>
      </c>
      <c r="Y58" s="340">
        <f t="shared" si="120"/>
        <v>500</v>
      </c>
      <c r="Z58" s="340">
        <f t="shared" si="120"/>
        <v>500</v>
      </c>
      <c r="AA58" s="340">
        <f t="shared" si="120"/>
        <v>500</v>
      </c>
      <c r="AB58" s="340">
        <f t="shared" si="120"/>
        <v>500</v>
      </c>
      <c r="AC58" s="340">
        <f t="shared" si="120"/>
        <v>500</v>
      </c>
      <c r="AD58" s="340">
        <f t="shared" si="120"/>
        <v>500</v>
      </c>
      <c r="AE58" s="340">
        <f t="shared" si="120"/>
        <v>500</v>
      </c>
      <c r="AF58" s="340">
        <f t="shared" si="120"/>
        <v>500</v>
      </c>
      <c r="AG58" s="340">
        <f t="shared" si="120"/>
        <v>500</v>
      </c>
      <c r="AH58" s="562">
        <f t="shared" si="120"/>
        <v>500</v>
      </c>
      <c r="AI58" s="340">
        <f t="shared" ref="AI58:AT58" si="121">$W$58*(1+$G$58)</f>
        <v>515</v>
      </c>
      <c r="AJ58" s="340">
        <f t="shared" si="121"/>
        <v>515</v>
      </c>
      <c r="AK58" s="340">
        <f t="shared" si="121"/>
        <v>515</v>
      </c>
      <c r="AL58" s="340">
        <f t="shared" si="121"/>
        <v>515</v>
      </c>
      <c r="AM58" s="340">
        <f t="shared" si="121"/>
        <v>515</v>
      </c>
      <c r="AN58" s="340">
        <f t="shared" si="121"/>
        <v>515</v>
      </c>
      <c r="AO58" s="340">
        <f t="shared" si="121"/>
        <v>515</v>
      </c>
      <c r="AP58" s="340">
        <f t="shared" si="121"/>
        <v>515</v>
      </c>
      <c r="AQ58" s="340">
        <f t="shared" si="121"/>
        <v>515</v>
      </c>
      <c r="AR58" s="340">
        <f t="shared" si="121"/>
        <v>515</v>
      </c>
      <c r="AS58" s="340">
        <f t="shared" si="121"/>
        <v>515</v>
      </c>
      <c r="AT58" s="562">
        <f t="shared" si="121"/>
        <v>515</v>
      </c>
      <c r="AU58" s="340">
        <f t="shared" ref="AU58:BF58" si="122">$W$58*(1+$G$58)^2</f>
        <v>530.44999999999993</v>
      </c>
      <c r="AV58" s="340">
        <f t="shared" si="122"/>
        <v>530.44999999999993</v>
      </c>
      <c r="AW58" s="340">
        <f t="shared" si="122"/>
        <v>530.44999999999993</v>
      </c>
      <c r="AX58" s="340">
        <f t="shared" si="122"/>
        <v>530.44999999999993</v>
      </c>
      <c r="AY58" s="340">
        <f t="shared" si="122"/>
        <v>530.44999999999993</v>
      </c>
      <c r="AZ58" s="340">
        <f t="shared" si="122"/>
        <v>530.44999999999993</v>
      </c>
      <c r="BA58" s="340">
        <f t="shared" si="122"/>
        <v>530.44999999999993</v>
      </c>
      <c r="BB58" s="340">
        <f t="shared" si="122"/>
        <v>530.44999999999993</v>
      </c>
      <c r="BC58" s="340">
        <f t="shared" si="122"/>
        <v>530.44999999999993</v>
      </c>
      <c r="BD58" s="340">
        <f t="shared" si="122"/>
        <v>530.44999999999993</v>
      </c>
      <c r="BE58" s="340">
        <f t="shared" si="122"/>
        <v>530.44999999999993</v>
      </c>
      <c r="BF58" s="562">
        <f t="shared" si="122"/>
        <v>530.44999999999993</v>
      </c>
      <c r="BG58" s="340">
        <f t="shared" ref="BG58:BR58" si="123">$W$58*(1+$G$58)^3</f>
        <v>546.36350000000004</v>
      </c>
      <c r="BH58" s="340">
        <f t="shared" si="123"/>
        <v>546.36350000000004</v>
      </c>
      <c r="BI58" s="340">
        <f t="shared" si="123"/>
        <v>546.36350000000004</v>
      </c>
      <c r="BJ58" s="340">
        <f t="shared" si="123"/>
        <v>546.36350000000004</v>
      </c>
      <c r="BK58" s="340">
        <f t="shared" si="123"/>
        <v>546.36350000000004</v>
      </c>
      <c r="BL58" s="340">
        <f t="shared" si="123"/>
        <v>546.36350000000004</v>
      </c>
      <c r="BM58" s="340">
        <f t="shared" si="123"/>
        <v>546.36350000000004</v>
      </c>
      <c r="BN58" s="340">
        <f t="shared" si="123"/>
        <v>546.36350000000004</v>
      </c>
      <c r="BO58" s="340">
        <f t="shared" si="123"/>
        <v>546.36350000000004</v>
      </c>
      <c r="BP58" s="340">
        <f t="shared" si="123"/>
        <v>546.36350000000004</v>
      </c>
      <c r="BQ58" s="340">
        <f t="shared" si="123"/>
        <v>546.36350000000004</v>
      </c>
      <c r="BR58" s="562">
        <f t="shared" si="123"/>
        <v>546.36350000000004</v>
      </c>
      <c r="BS58" s="340">
        <f t="shared" ref="BS58:CD58" si="124">$W$58*(1+$G$58)^4</f>
        <v>562.75440499999991</v>
      </c>
      <c r="BT58" s="340">
        <f t="shared" si="124"/>
        <v>562.75440499999991</v>
      </c>
      <c r="BU58" s="340">
        <f t="shared" si="124"/>
        <v>562.75440499999991</v>
      </c>
      <c r="BV58" s="340">
        <f t="shared" si="124"/>
        <v>562.75440499999991</v>
      </c>
      <c r="BW58" s="340">
        <f t="shared" si="124"/>
        <v>562.75440499999991</v>
      </c>
      <c r="BX58" s="340">
        <f t="shared" si="124"/>
        <v>562.75440499999991</v>
      </c>
      <c r="BY58" s="340">
        <f t="shared" si="124"/>
        <v>562.75440499999991</v>
      </c>
      <c r="BZ58" s="340">
        <f t="shared" si="124"/>
        <v>562.75440499999991</v>
      </c>
      <c r="CA58" s="340">
        <f t="shared" si="124"/>
        <v>562.75440499999991</v>
      </c>
      <c r="CB58" s="340">
        <f t="shared" si="124"/>
        <v>562.75440499999991</v>
      </c>
      <c r="CC58" s="340">
        <f t="shared" si="124"/>
        <v>562.75440499999991</v>
      </c>
      <c r="CD58" s="562">
        <f t="shared" si="124"/>
        <v>562.75440499999991</v>
      </c>
      <c r="CE58" s="340">
        <f t="shared" ref="CE58:CP58" si="125">$W$58*(1+$G$58)^5</f>
        <v>579.63703714999997</v>
      </c>
      <c r="CF58" s="340">
        <f t="shared" si="125"/>
        <v>579.63703714999997</v>
      </c>
      <c r="CG58" s="340">
        <f t="shared" si="125"/>
        <v>579.63703714999997</v>
      </c>
      <c r="CH58" s="340">
        <f t="shared" si="125"/>
        <v>579.63703714999997</v>
      </c>
      <c r="CI58" s="340">
        <f t="shared" si="125"/>
        <v>579.63703714999997</v>
      </c>
      <c r="CJ58" s="340">
        <f t="shared" si="125"/>
        <v>579.63703714999997</v>
      </c>
      <c r="CK58" s="340">
        <f t="shared" si="125"/>
        <v>579.63703714999997</v>
      </c>
      <c r="CL58" s="340">
        <f t="shared" si="125"/>
        <v>579.63703714999997</v>
      </c>
      <c r="CM58" s="340">
        <f t="shared" si="125"/>
        <v>579.63703714999997</v>
      </c>
      <c r="CN58" s="340">
        <f t="shared" si="125"/>
        <v>579.63703714999997</v>
      </c>
      <c r="CO58" s="340">
        <f t="shared" si="125"/>
        <v>579.63703714999997</v>
      </c>
      <c r="CP58" s="562">
        <f t="shared" si="125"/>
        <v>579.63703714999997</v>
      </c>
      <c r="CQ58" s="340">
        <f t="shared" ref="CQ58:DB58" si="126">$W$58*(1+$G$58)^6</f>
        <v>597.02614826449997</v>
      </c>
      <c r="CR58" s="340">
        <f t="shared" si="126"/>
        <v>597.02614826449997</v>
      </c>
      <c r="CS58" s="340">
        <f t="shared" si="126"/>
        <v>597.02614826449997</v>
      </c>
      <c r="CT58" s="340">
        <f t="shared" si="126"/>
        <v>597.02614826449997</v>
      </c>
      <c r="CU58" s="340">
        <f t="shared" si="126"/>
        <v>597.02614826449997</v>
      </c>
      <c r="CV58" s="340">
        <f t="shared" si="126"/>
        <v>597.02614826449997</v>
      </c>
      <c r="CW58" s="340">
        <f t="shared" si="126"/>
        <v>597.02614826449997</v>
      </c>
      <c r="CX58" s="340">
        <f t="shared" si="126"/>
        <v>597.02614826449997</v>
      </c>
      <c r="CY58" s="340">
        <f t="shared" si="126"/>
        <v>597.02614826449997</v>
      </c>
      <c r="CZ58" s="340">
        <f t="shared" si="126"/>
        <v>597.02614826449997</v>
      </c>
      <c r="DA58" s="340">
        <f t="shared" si="126"/>
        <v>597.02614826449997</v>
      </c>
      <c r="DB58" s="562">
        <f t="shared" si="126"/>
        <v>597.02614826449997</v>
      </c>
      <c r="DC58" s="340">
        <f t="shared" ref="DC58:DN58" si="127">$W$58*(1+$G$58)^7</f>
        <v>614.93693271243501</v>
      </c>
      <c r="DD58" s="340">
        <f t="shared" si="127"/>
        <v>614.93693271243501</v>
      </c>
      <c r="DE58" s="340">
        <f t="shared" si="127"/>
        <v>614.93693271243501</v>
      </c>
      <c r="DF58" s="340">
        <f t="shared" si="127"/>
        <v>614.93693271243501</v>
      </c>
      <c r="DG58" s="340">
        <f t="shared" si="127"/>
        <v>614.93693271243501</v>
      </c>
      <c r="DH58" s="340">
        <f t="shared" si="127"/>
        <v>614.93693271243501</v>
      </c>
      <c r="DI58" s="340">
        <f t="shared" si="127"/>
        <v>614.93693271243501</v>
      </c>
      <c r="DJ58" s="340">
        <f t="shared" si="127"/>
        <v>614.93693271243501</v>
      </c>
      <c r="DK58" s="340">
        <f t="shared" si="127"/>
        <v>614.93693271243501</v>
      </c>
      <c r="DL58" s="340">
        <f t="shared" si="127"/>
        <v>614.93693271243501</v>
      </c>
      <c r="DM58" s="340">
        <f t="shared" si="127"/>
        <v>614.93693271243501</v>
      </c>
      <c r="DN58" s="340">
        <f t="shared" si="127"/>
        <v>614.93693271243501</v>
      </c>
      <c r="DP58" s="340">
        <f t="shared" si="70"/>
        <v>53354.01627752326</v>
      </c>
    </row>
    <row r="59" spans="4:120" x14ac:dyDescent="0.3">
      <c r="E59" s="331" t="str">
        <f>'Table 3.0'!E87</f>
        <v xml:space="preserve">R&amp;M Plumbing &amp; Septic </v>
      </c>
      <c r="G59" s="936">
        <f>'Table 3.0'!G87</f>
        <v>0.03</v>
      </c>
      <c r="H59" s="323" t="s">
        <v>905</v>
      </c>
      <c r="V59" s="561"/>
      <c r="W59" s="925">
        <v>500</v>
      </c>
      <c r="X59" s="340">
        <f t="shared" si="120"/>
        <v>500</v>
      </c>
      <c r="Y59" s="340">
        <f t="shared" si="120"/>
        <v>500</v>
      </c>
      <c r="Z59" s="340">
        <f t="shared" si="120"/>
        <v>500</v>
      </c>
      <c r="AA59" s="340">
        <f t="shared" si="120"/>
        <v>500</v>
      </c>
      <c r="AB59" s="340">
        <f t="shared" si="120"/>
        <v>500</v>
      </c>
      <c r="AC59" s="340">
        <f t="shared" si="120"/>
        <v>500</v>
      </c>
      <c r="AD59" s="340">
        <f t="shared" si="120"/>
        <v>500</v>
      </c>
      <c r="AE59" s="340">
        <f t="shared" si="120"/>
        <v>500</v>
      </c>
      <c r="AF59" s="340">
        <f t="shared" si="120"/>
        <v>500</v>
      </c>
      <c r="AG59" s="340">
        <f t="shared" si="120"/>
        <v>500</v>
      </c>
      <c r="AH59" s="562">
        <f t="shared" si="120"/>
        <v>500</v>
      </c>
      <c r="AI59" s="340">
        <f t="shared" ref="AI59:AT59" si="128">$W$59*(1+$G$59)</f>
        <v>515</v>
      </c>
      <c r="AJ59" s="340">
        <f t="shared" si="128"/>
        <v>515</v>
      </c>
      <c r="AK59" s="340">
        <f t="shared" si="128"/>
        <v>515</v>
      </c>
      <c r="AL59" s="340">
        <f t="shared" si="128"/>
        <v>515</v>
      </c>
      <c r="AM59" s="340">
        <f t="shared" si="128"/>
        <v>515</v>
      </c>
      <c r="AN59" s="340">
        <f t="shared" si="128"/>
        <v>515</v>
      </c>
      <c r="AO59" s="340">
        <f t="shared" si="128"/>
        <v>515</v>
      </c>
      <c r="AP59" s="340">
        <f t="shared" si="128"/>
        <v>515</v>
      </c>
      <c r="AQ59" s="340">
        <f t="shared" si="128"/>
        <v>515</v>
      </c>
      <c r="AR59" s="340">
        <f t="shared" si="128"/>
        <v>515</v>
      </c>
      <c r="AS59" s="340">
        <f t="shared" si="128"/>
        <v>515</v>
      </c>
      <c r="AT59" s="562">
        <f t="shared" si="128"/>
        <v>515</v>
      </c>
      <c r="AU59" s="340">
        <f t="shared" ref="AU59:BF59" si="129">$W$59*(1+$G$59)^2</f>
        <v>530.44999999999993</v>
      </c>
      <c r="AV59" s="340">
        <f t="shared" si="129"/>
        <v>530.44999999999993</v>
      </c>
      <c r="AW59" s="340">
        <f t="shared" si="129"/>
        <v>530.44999999999993</v>
      </c>
      <c r="AX59" s="340">
        <f t="shared" si="129"/>
        <v>530.44999999999993</v>
      </c>
      <c r="AY59" s="340">
        <f t="shared" si="129"/>
        <v>530.44999999999993</v>
      </c>
      <c r="AZ59" s="340">
        <f t="shared" si="129"/>
        <v>530.44999999999993</v>
      </c>
      <c r="BA59" s="340">
        <f t="shared" si="129"/>
        <v>530.44999999999993</v>
      </c>
      <c r="BB59" s="340">
        <f t="shared" si="129"/>
        <v>530.44999999999993</v>
      </c>
      <c r="BC59" s="340">
        <f t="shared" si="129"/>
        <v>530.44999999999993</v>
      </c>
      <c r="BD59" s="340">
        <f t="shared" si="129"/>
        <v>530.44999999999993</v>
      </c>
      <c r="BE59" s="340">
        <f t="shared" si="129"/>
        <v>530.44999999999993</v>
      </c>
      <c r="BF59" s="562">
        <f t="shared" si="129"/>
        <v>530.44999999999993</v>
      </c>
      <c r="BG59" s="340">
        <f t="shared" ref="BG59:BR59" si="130">$W$59*(1+$G$59)^3</f>
        <v>546.36350000000004</v>
      </c>
      <c r="BH59" s="340">
        <f t="shared" si="130"/>
        <v>546.36350000000004</v>
      </c>
      <c r="BI59" s="340">
        <f t="shared" si="130"/>
        <v>546.36350000000004</v>
      </c>
      <c r="BJ59" s="340">
        <f t="shared" si="130"/>
        <v>546.36350000000004</v>
      </c>
      <c r="BK59" s="340">
        <f t="shared" si="130"/>
        <v>546.36350000000004</v>
      </c>
      <c r="BL59" s="340">
        <f t="shared" si="130"/>
        <v>546.36350000000004</v>
      </c>
      <c r="BM59" s="340">
        <f t="shared" si="130"/>
        <v>546.36350000000004</v>
      </c>
      <c r="BN59" s="340">
        <f t="shared" si="130"/>
        <v>546.36350000000004</v>
      </c>
      <c r="BO59" s="340">
        <f t="shared" si="130"/>
        <v>546.36350000000004</v>
      </c>
      <c r="BP59" s="340">
        <f t="shared" si="130"/>
        <v>546.36350000000004</v>
      </c>
      <c r="BQ59" s="340">
        <f t="shared" si="130"/>
        <v>546.36350000000004</v>
      </c>
      <c r="BR59" s="562">
        <f t="shared" si="130"/>
        <v>546.36350000000004</v>
      </c>
      <c r="BS59" s="340">
        <f t="shared" ref="BS59:CD59" si="131">$W$59*(1+$G$59)^4</f>
        <v>562.75440499999991</v>
      </c>
      <c r="BT59" s="340">
        <f t="shared" si="131"/>
        <v>562.75440499999991</v>
      </c>
      <c r="BU59" s="340">
        <f t="shared" si="131"/>
        <v>562.75440499999991</v>
      </c>
      <c r="BV59" s="340">
        <f t="shared" si="131"/>
        <v>562.75440499999991</v>
      </c>
      <c r="BW59" s="340">
        <f t="shared" si="131"/>
        <v>562.75440499999991</v>
      </c>
      <c r="BX59" s="340">
        <f t="shared" si="131"/>
        <v>562.75440499999991</v>
      </c>
      <c r="BY59" s="340">
        <f t="shared" si="131"/>
        <v>562.75440499999991</v>
      </c>
      <c r="BZ59" s="340">
        <f t="shared" si="131"/>
        <v>562.75440499999991</v>
      </c>
      <c r="CA59" s="340">
        <f t="shared" si="131"/>
        <v>562.75440499999991</v>
      </c>
      <c r="CB59" s="340">
        <f t="shared" si="131"/>
        <v>562.75440499999991</v>
      </c>
      <c r="CC59" s="340">
        <f t="shared" si="131"/>
        <v>562.75440499999991</v>
      </c>
      <c r="CD59" s="562">
        <f t="shared" si="131"/>
        <v>562.75440499999991</v>
      </c>
      <c r="CE59" s="340">
        <f t="shared" ref="CE59:CP59" si="132">$W$59*(1+$G$59)^5</f>
        <v>579.63703714999997</v>
      </c>
      <c r="CF59" s="340">
        <f t="shared" si="132"/>
        <v>579.63703714999997</v>
      </c>
      <c r="CG59" s="340">
        <f t="shared" si="132"/>
        <v>579.63703714999997</v>
      </c>
      <c r="CH59" s="340">
        <f t="shared" si="132"/>
        <v>579.63703714999997</v>
      </c>
      <c r="CI59" s="340">
        <f t="shared" si="132"/>
        <v>579.63703714999997</v>
      </c>
      <c r="CJ59" s="340">
        <f t="shared" si="132"/>
        <v>579.63703714999997</v>
      </c>
      <c r="CK59" s="340">
        <f t="shared" si="132"/>
        <v>579.63703714999997</v>
      </c>
      <c r="CL59" s="340">
        <f t="shared" si="132"/>
        <v>579.63703714999997</v>
      </c>
      <c r="CM59" s="340">
        <f t="shared" si="132"/>
        <v>579.63703714999997</v>
      </c>
      <c r="CN59" s="340">
        <f t="shared" si="132"/>
        <v>579.63703714999997</v>
      </c>
      <c r="CO59" s="340">
        <f t="shared" si="132"/>
        <v>579.63703714999997</v>
      </c>
      <c r="CP59" s="562">
        <f t="shared" si="132"/>
        <v>579.63703714999997</v>
      </c>
      <c r="CQ59" s="340">
        <f t="shared" ref="CQ59:DB59" si="133">$W$59*(1+$G$59)^6</f>
        <v>597.02614826449997</v>
      </c>
      <c r="CR59" s="340">
        <f t="shared" si="133"/>
        <v>597.02614826449997</v>
      </c>
      <c r="CS59" s="340">
        <f t="shared" si="133"/>
        <v>597.02614826449997</v>
      </c>
      <c r="CT59" s="340">
        <f t="shared" si="133"/>
        <v>597.02614826449997</v>
      </c>
      <c r="CU59" s="340">
        <f t="shared" si="133"/>
        <v>597.02614826449997</v>
      </c>
      <c r="CV59" s="340">
        <f t="shared" si="133"/>
        <v>597.02614826449997</v>
      </c>
      <c r="CW59" s="340">
        <f t="shared" si="133"/>
        <v>597.02614826449997</v>
      </c>
      <c r="CX59" s="340">
        <f t="shared" si="133"/>
        <v>597.02614826449997</v>
      </c>
      <c r="CY59" s="340">
        <f t="shared" si="133"/>
        <v>597.02614826449997</v>
      </c>
      <c r="CZ59" s="340">
        <f t="shared" si="133"/>
        <v>597.02614826449997</v>
      </c>
      <c r="DA59" s="340">
        <f t="shared" si="133"/>
        <v>597.02614826449997</v>
      </c>
      <c r="DB59" s="562">
        <f t="shared" si="133"/>
        <v>597.02614826449997</v>
      </c>
      <c r="DC59" s="340">
        <f t="shared" ref="DC59:DN59" si="134">$W$59*(1+$G$59)^7</f>
        <v>614.93693271243501</v>
      </c>
      <c r="DD59" s="340">
        <f t="shared" si="134"/>
        <v>614.93693271243501</v>
      </c>
      <c r="DE59" s="340">
        <f t="shared" si="134"/>
        <v>614.93693271243501</v>
      </c>
      <c r="DF59" s="340">
        <f t="shared" si="134"/>
        <v>614.93693271243501</v>
      </c>
      <c r="DG59" s="340">
        <f t="shared" si="134"/>
        <v>614.93693271243501</v>
      </c>
      <c r="DH59" s="340">
        <f t="shared" si="134"/>
        <v>614.93693271243501</v>
      </c>
      <c r="DI59" s="340">
        <f t="shared" si="134"/>
        <v>614.93693271243501</v>
      </c>
      <c r="DJ59" s="340">
        <f t="shared" si="134"/>
        <v>614.93693271243501</v>
      </c>
      <c r="DK59" s="340">
        <f t="shared" si="134"/>
        <v>614.93693271243501</v>
      </c>
      <c r="DL59" s="340">
        <f t="shared" si="134"/>
        <v>614.93693271243501</v>
      </c>
      <c r="DM59" s="340">
        <f t="shared" si="134"/>
        <v>614.93693271243501</v>
      </c>
      <c r="DN59" s="340">
        <f t="shared" si="134"/>
        <v>614.93693271243501</v>
      </c>
      <c r="DP59" s="340">
        <f t="shared" si="70"/>
        <v>53354.01627752326</v>
      </c>
    </row>
    <row r="60" spans="4:120" x14ac:dyDescent="0.3">
      <c r="E60" s="331" t="str">
        <f>'Table 3.0'!E88</f>
        <v>R&amp;M Tools &amp; Supplies</v>
      </c>
      <c r="G60" s="936">
        <f>'Table 3.0'!G88</f>
        <v>0.03</v>
      </c>
      <c r="H60" s="323" t="s">
        <v>905</v>
      </c>
      <c r="V60" s="561"/>
      <c r="W60" s="925">
        <v>500</v>
      </c>
      <c r="X60" s="340">
        <f t="shared" si="120"/>
        <v>500</v>
      </c>
      <c r="Y60" s="340">
        <f t="shared" si="120"/>
        <v>500</v>
      </c>
      <c r="Z60" s="340">
        <f t="shared" si="120"/>
        <v>500</v>
      </c>
      <c r="AA60" s="340">
        <f t="shared" si="120"/>
        <v>500</v>
      </c>
      <c r="AB60" s="340">
        <f t="shared" si="120"/>
        <v>500</v>
      </c>
      <c r="AC60" s="340">
        <f t="shared" si="120"/>
        <v>500</v>
      </c>
      <c r="AD60" s="340">
        <f t="shared" si="120"/>
        <v>500</v>
      </c>
      <c r="AE60" s="340">
        <f t="shared" si="120"/>
        <v>500</v>
      </c>
      <c r="AF60" s="340">
        <f t="shared" si="120"/>
        <v>500</v>
      </c>
      <c r="AG60" s="340">
        <f t="shared" si="120"/>
        <v>500</v>
      </c>
      <c r="AH60" s="562">
        <f t="shared" si="120"/>
        <v>500</v>
      </c>
      <c r="AI60" s="340">
        <f t="shared" ref="AI60:AT60" si="135">$W$60*(1+$G$60)</f>
        <v>515</v>
      </c>
      <c r="AJ60" s="340">
        <f t="shared" si="135"/>
        <v>515</v>
      </c>
      <c r="AK60" s="340">
        <f t="shared" si="135"/>
        <v>515</v>
      </c>
      <c r="AL60" s="340">
        <f t="shared" si="135"/>
        <v>515</v>
      </c>
      <c r="AM60" s="340">
        <f t="shared" si="135"/>
        <v>515</v>
      </c>
      <c r="AN60" s="340">
        <f t="shared" si="135"/>
        <v>515</v>
      </c>
      <c r="AO60" s="340">
        <f t="shared" si="135"/>
        <v>515</v>
      </c>
      <c r="AP60" s="340">
        <f t="shared" si="135"/>
        <v>515</v>
      </c>
      <c r="AQ60" s="340">
        <f t="shared" si="135"/>
        <v>515</v>
      </c>
      <c r="AR60" s="340">
        <f t="shared" si="135"/>
        <v>515</v>
      </c>
      <c r="AS60" s="340">
        <f t="shared" si="135"/>
        <v>515</v>
      </c>
      <c r="AT60" s="562">
        <f t="shared" si="135"/>
        <v>515</v>
      </c>
      <c r="AU60" s="340">
        <f t="shared" ref="AU60:BF60" si="136">$W$60*(1+$G$60)^2</f>
        <v>530.44999999999993</v>
      </c>
      <c r="AV60" s="340">
        <f t="shared" si="136"/>
        <v>530.44999999999993</v>
      </c>
      <c r="AW60" s="340">
        <f t="shared" si="136"/>
        <v>530.44999999999993</v>
      </c>
      <c r="AX60" s="340">
        <f t="shared" si="136"/>
        <v>530.44999999999993</v>
      </c>
      <c r="AY60" s="340">
        <f t="shared" si="136"/>
        <v>530.44999999999993</v>
      </c>
      <c r="AZ60" s="340">
        <f t="shared" si="136"/>
        <v>530.44999999999993</v>
      </c>
      <c r="BA60" s="340">
        <f t="shared" si="136"/>
        <v>530.44999999999993</v>
      </c>
      <c r="BB60" s="340">
        <f t="shared" si="136"/>
        <v>530.44999999999993</v>
      </c>
      <c r="BC60" s="340">
        <f t="shared" si="136"/>
        <v>530.44999999999993</v>
      </c>
      <c r="BD60" s="340">
        <f t="shared" si="136"/>
        <v>530.44999999999993</v>
      </c>
      <c r="BE60" s="340">
        <f t="shared" si="136"/>
        <v>530.44999999999993</v>
      </c>
      <c r="BF60" s="562">
        <f t="shared" si="136"/>
        <v>530.44999999999993</v>
      </c>
      <c r="BG60" s="340">
        <f t="shared" ref="BG60:BR60" si="137">$W$60*(1+$G$60)^3</f>
        <v>546.36350000000004</v>
      </c>
      <c r="BH60" s="340">
        <f t="shared" si="137"/>
        <v>546.36350000000004</v>
      </c>
      <c r="BI60" s="340">
        <f t="shared" si="137"/>
        <v>546.36350000000004</v>
      </c>
      <c r="BJ60" s="340">
        <f t="shared" si="137"/>
        <v>546.36350000000004</v>
      </c>
      <c r="BK60" s="340">
        <f t="shared" si="137"/>
        <v>546.36350000000004</v>
      </c>
      <c r="BL60" s="340">
        <f t="shared" si="137"/>
        <v>546.36350000000004</v>
      </c>
      <c r="BM60" s="340">
        <f t="shared" si="137"/>
        <v>546.36350000000004</v>
      </c>
      <c r="BN60" s="340">
        <f t="shared" si="137"/>
        <v>546.36350000000004</v>
      </c>
      <c r="BO60" s="340">
        <f t="shared" si="137"/>
        <v>546.36350000000004</v>
      </c>
      <c r="BP60" s="340">
        <f t="shared" si="137"/>
        <v>546.36350000000004</v>
      </c>
      <c r="BQ60" s="340">
        <f t="shared" si="137"/>
        <v>546.36350000000004</v>
      </c>
      <c r="BR60" s="562">
        <f t="shared" si="137"/>
        <v>546.36350000000004</v>
      </c>
      <c r="BS60" s="340">
        <f t="shared" ref="BS60:CD60" si="138">$W$60*(1+$G$60)^4</f>
        <v>562.75440499999991</v>
      </c>
      <c r="BT60" s="340">
        <f t="shared" si="138"/>
        <v>562.75440499999991</v>
      </c>
      <c r="BU60" s="340">
        <f t="shared" si="138"/>
        <v>562.75440499999991</v>
      </c>
      <c r="BV60" s="340">
        <f t="shared" si="138"/>
        <v>562.75440499999991</v>
      </c>
      <c r="BW60" s="340">
        <f t="shared" si="138"/>
        <v>562.75440499999991</v>
      </c>
      <c r="BX60" s="340">
        <f t="shared" si="138"/>
        <v>562.75440499999991</v>
      </c>
      <c r="BY60" s="340">
        <f t="shared" si="138"/>
        <v>562.75440499999991</v>
      </c>
      <c r="BZ60" s="340">
        <f t="shared" si="138"/>
        <v>562.75440499999991</v>
      </c>
      <c r="CA60" s="340">
        <f t="shared" si="138"/>
        <v>562.75440499999991</v>
      </c>
      <c r="CB60" s="340">
        <f t="shared" si="138"/>
        <v>562.75440499999991</v>
      </c>
      <c r="CC60" s="340">
        <f t="shared" si="138"/>
        <v>562.75440499999991</v>
      </c>
      <c r="CD60" s="562">
        <f t="shared" si="138"/>
        <v>562.75440499999991</v>
      </c>
      <c r="CE60" s="340">
        <f t="shared" ref="CE60:CP60" si="139">$W$60*(1+$G$60)^5</f>
        <v>579.63703714999997</v>
      </c>
      <c r="CF60" s="340">
        <f t="shared" si="139"/>
        <v>579.63703714999997</v>
      </c>
      <c r="CG60" s="340">
        <f t="shared" si="139"/>
        <v>579.63703714999997</v>
      </c>
      <c r="CH60" s="340">
        <f t="shared" si="139"/>
        <v>579.63703714999997</v>
      </c>
      <c r="CI60" s="340">
        <f t="shared" si="139"/>
        <v>579.63703714999997</v>
      </c>
      <c r="CJ60" s="340">
        <f t="shared" si="139"/>
        <v>579.63703714999997</v>
      </c>
      <c r="CK60" s="340">
        <f t="shared" si="139"/>
        <v>579.63703714999997</v>
      </c>
      <c r="CL60" s="340">
        <f t="shared" si="139"/>
        <v>579.63703714999997</v>
      </c>
      <c r="CM60" s="340">
        <f t="shared" si="139"/>
        <v>579.63703714999997</v>
      </c>
      <c r="CN60" s="340">
        <f t="shared" si="139"/>
        <v>579.63703714999997</v>
      </c>
      <c r="CO60" s="340">
        <f t="shared" si="139"/>
        <v>579.63703714999997</v>
      </c>
      <c r="CP60" s="562">
        <f t="shared" si="139"/>
        <v>579.63703714999997</v>
      </c>
      <c r="CQ60" s="340">
        <f t="shared" ref="CQ60:DB60" si="140">$W$60*(1+$G$60)^6</f>
        <v>597.02614826449997</v>
      </c>
      <c r="CR60" s="340">
        <f t="shared" si="140"/>
        <v>597.02614826449997</v>
      </c>
      <c r="CS60" s="340">
        <f t="shared" si="140"/>
        <v>597.02614826449997</v>
      </c>
      <c r="CT60" s="340">
        <f t="shared" si="140"/>
        <v>597.02614826449997</v>
      </c>
      <c r="CU60" s="340">
        <f t="shared" si="140"/>
        <v>597.02614826449997</v>
      </c>
      <c r="CV60" s="340">
        <f t="shared" si="140"/>
        <v>597.02614826449997</v>
      </c>
      <c r="CW60" s="340">
        <f t="shared" si="140"/>
        <v>597.02614826449997</v>
      </c>
      <c r="CX60" s="340">
        <f t="shared" si="140"/>
        <v>597.02614826449997</v>
      </c>
      <c r="CY60" s="340">
        <f t="shared" si="140"/>
        <v>597.02614826449997</v>
      </c>
      <c r="CZ60" s="340">
        <f t="shared" si="140"/>
        <v>597.02614826449997</v>
      </c>
      <c r="DA60" s="340">
        <f t="shared" si="140"/>
        <v>597.02614826449997</v>
      </c>
      <c r="DB60" s="562">
        <f t="shared" si="140"/>
        <v>597.02614826449997</v>
      </c>
      <c r="DC60" s="340">
        <f t="shared" ref="DC60:DN60" si="141">$W$60*(1+$G$60)^7</f>
        <v>614.93693271243501</v>
      </c>
      <c r="DD60" s="340">
        <f t="shared" si="141"/>
        <v>614.93693271243501</v>
      </c>
      <c r="DE60" s="340">
        <f t="shared" si="141"/>
        <v>614.93693271243501</v>
      </c>
      <c r="DF60" s="340">
        <f t="shared" si="141"/>
        <v>614.93693271243501</v>
      </c>
      <c r="DG60" s="340">
        <f t="shared" si="141"/>
        <v>614.93693271243501</v>
      </c>
      <c r="DH60" s="340">
        <f t="shared" si="141"/>
        <v>614.93693271243501</v>
      </c>
      <c r="DI60" s="340">
        <f t="shared" si="141"/>
        <v>614.93693271243501</v>
      </c>
      <c r="DJ60" s="340">
        <f t="shared" si="141"/>
        <v>614.93693271243501</v>
      </c>
      <c r="DK60" s="340">
        <f t="shared" si="141"/>
        <v>614.93693271243501</v>
      </c>
      <c r="DL60" s="340">
        <f t="shared" si="141"/>
        <v>614.93693271243501</v>
      </c>
      <c r="DM60" s="340">
        <f t="shared" si="141"/>
        <v>614.93693271243501</v>
      </c>
      <c r="DN60" s="340">
        <f t="shared" si="141"/>
        <v>614.93693271243501</v>
      </c>
      <c r="DP60" s="340">
        <f t="shared" si="70"/>
        <v>53354.01627752326</v>
      </c>
    </row>
    <row r="61" spans="4:120" x14ac:dyDescent="0.3">
      <c r="D61" s="331" t="str">
        <f>'Table 3.0'!D89</f>
        <v>Utilities</v>
      </c>
      <c r="V61" s="561"/>
      <c r="W61" s="925"/>
      <c r="AH61" s="561"/>
      <c r="AT61" s="561"/>
      <c r="BF61" s="561"/>
      <c r="BR61" s="561"/>
      <c r="CD61" s="561"/>
      <c r="CP61" s="561"/>
      <c r="DB61" s="561"/>
      <c r="DP61" s="340"/>
    </row>
    <row r="62" spans="4:120" x14ac:dyDescent="0.3">
      <c r="E62" s="331" t="str">
        <f>'Table 3.0'!E90</f>
        <v>Water</v>
      </c>
      <c r="G62" s="936">
        <f>'Table 3.0'!G90</f>
        <v>0.03</v>
      </c>
      <c r="H62" s="323" t="s">
        <v>905</v>
      </c>
      <c r="V62" s="561"/>
      <c r="W62" s="925">
        <v>1150</v>
      </c>
      <c r="X62" s="340">
        <f>W62</f>
        <v>1150</v>
      </c>
      <c r="Y62" s="340">
        <f t="shared" ref="Y62:AH62" si="142">X62</f>
        <v>1150</v>
      </c>
      <c r="Z62" s="340">
        <f t="shared" si="142"/>
        <v>1150</v>
      </c>
      <c r="AA62" s="340">
        <f t="shared" si="142"/>
        <v>1150</v>
      </c>
      <c r="AB62" s="340">
        <f t="shared" si="142"/>
        <v>1150</v>
      </c>
      <c r="AC62" s="340">
        <f t="shared" si="142"/>
        <v>1150</v>
      </c>
      <c r="AD62" s="340">
        <f t="shared" si="142"/>
        <v>1150</v>
      </c>
      <c r="AE62" s="340">
        <f t="shared" si="142"/>
        <v>1150</v>
      </c>
      <c r="AF62" s="340">
        <f t="shared" si="142"/>
        <v>1150</v>
      </c>
      <c r="AG62" s="340">
        <f t="shared" si="142"/>
        <v>1150</v>
      </c>
      <c r="AH62" s="562">
        <f t="shared" si="142"/>
        <v>1150</v>
      </c>
      <c r="AI62" s="340">
        <f t="shared" ref="AI62:AT62" si="143">$W$62*(1+$G$62)</f>
        <v>1184.5</v>
      </c>
      <c r="AJ62" s="340">
        <f t="shared" si="143"/>
        <v>1184.5</v>
      </c>
      <c r="AK62" s="340">
        <f t="shared" si="143"/>
        <v>1184.5</v>
      </c>
      <c r="AL62" s="340">
        <f t="shared" si="143"/>
        <v>1184.5</v>
      </c>
      <c r="AM62" s="340">
        <f t="shared" si="143"/>
        <v>1184.5</v>
      </c>
      <c r="AN62" s="340">
        <f t="shared" si="143"/>
        <v>1184.5</v>
      </c>
      <c r="AO62" s="340">
        <f t="shared" si="143"/>
        <v>1184.5</v>
      </c>
      <c r="AP62" s="340">
        <f t="shared" si="143"/>
        <v>1184.5</v>
      </c>
      <c r="AQ62" s="340">
        <f t="shared" si="143"/>
        <v>1184.5</v>
      </c>
      <c r="AR62" s="340">
        <f t="shared" si="143"/>
        <v>1184.5</v>
      </c>
      <c r="AS62" s="340">
        <f t="shared" si="143"/>
        <v>1184.5</v>
      </c>
      <c r="AT62" s="562">
        <f t="shared" si="143"/>
        <v>1184.5</v>
      </c>
      <c r="AU62" s="340">
        <f t="shared" ref="AU62:BF62" si="144">$W$62*(1+$G$62)^2</f>
        <v>1220.0349999999999</v>
      </c>
      <c r="AV62" s="340">
        <f t="shared" si="144"/>
        <v>1220.0349999999999</v>
      </c>
      <c r="AW62" s="340">
        <f t="shared" si="144"/>
        <v>1220.0349999999999</v>
      </c>
      <c r="AX62" s="340">
        <f t="shared" si="144"/>
        <v>1220.0349999999999</v>
      </c>
      <c r="AY62" s="340">
        <f t="shared" si="144"/>
        <v>1220.0349999999999</v>
      </c>
      <c r="AZ62" s="340">
        <f t="shared" si="144"/>
        <v>1220.0349999999999</v>
      </c>
      <c r="BA62" s="340">
        <f t="shared" si="144"/>
        <v>1220.0349999999999</v>
      </c>
      <c r="BB62" s="340">
        <f t="shared" si="144"/>
        <v>1220.0349999999999</v>
      </c>
      <c r="BC62" s="340">
        <f t="shared" si="144"/>
        <v>1220.0349999999999</v>
      </c>
      <c r="BD62" s="340">
        <f t="shared" si="144"/>
        <v>1220.0349999999999</v>
      </c>
      <c r="BE62" s="340">
        <f t="shared" si="144"/>
        <v>1220.0349999999999</v>
      </c>
      <c r="BF62" s="562">
        <f t="shared" si="144"/>
        <v>1220.0349999999999</v>
      </c>
      <c r="BG62" s="340">
        <f t="shared" ref="BG62:BR62" si="145">$W$62*(1+$G$62)^3</f>
        <v>1256.6360500000001</v>
      </c>
      <c r="BH62" s="340">
        <f t="shared" si="145"/>
        <v>1256.6360500000001</v>
      </c>
      <c r="BI62" s="340">
        <f t="shared" si="145"/>
        <v>1256.6360500000001</v>
      </c>
      <c r="BJ62" s="340">
        <f t="shared" si="145"/>
        <v>1256.6360500000001</v>
      </c>
      <c r="BK62" s="340">
        <f t="shared" si="145"/>
        <v>1256.6360500000001</v>
      </c>
      <c r="BL62" s="340">
        <f t="shared" si="145"/>
        <v>1256.6360500000001</v>
      </c>
      <c r="BM62" s="340">
        <f t="shared" si="145"/>
        <v>1256.6360500000001</v>
      </c>
      <c r="BN62" s="340">
        <f t="shared" si="145"/>
        <v>1256.6360500000001</v>
      </c>
      <c r="BO62" s="340">
        <f t="shared" si="145"/>
        <v>1256.6360500000001</v>
      </c>
      <c r="BP62" s="340">
        <f t="shared" si="145"/>
        <v>1256.6360500000001</v>
      </c>
      <c r="BQ62" s="340">
        <f t="shared" si="145"/>
        <v>1256.6360500000001</v>
      </c>
      <c r="BR62" s="562">
        <f t="shared" si="145"/>
        <v>1256.6360500000001</v>
      </c>
      <c r="BS62" s="340">
        <f t="shared" ref="BS62:CD62" si="146">$W$62*(1+$G$62)^4</f>
        <v>1294.3351315</v>
      </c>
      <c r="BT62" s="340">
        <f t="shared" si="146"/>
        <v>1294.3351315</v>
      </c>
      <c r="BU62" s="340">
        <f t="shared" si="146"/>
        <v>1294.3351315</v>
      </c>
      <c r="BV62" s="340">
        <f t="shared" si="146"/>
        <v>1294.3351315</v>
      </c>
      <c r="BW62" s="340">
        <f t="shared" si="146"/>
        <v>1294.3351315</v>
      </c>
      <c r="BX62" s="340">
        <f t="shared" si="146"/>
        <v>1294.3351315</v>
      </c>
      <c r="BY62" s="340">
        <f t="shared" si="146"/>
        <v>1294.3351315</v>
      </c>
      <c r="BZ62" s="340">
        <f t="shared" si="146"/>
        <v>1294.3351315</v>
      </c>
      <c r="CA62" s="340">
        <f t="shared" si="146"/>
        <v>1294.3351315</v>
      </c>
      <c r="CB62" s="340">
        <f t="shared" si="146"/>
        <v>1294.3351315</v>
      </c>
      <c r="CC62" s="340">
        <f t="shared" si="146"/>
        <v>1294.3351315</v>
      </c>
      <c r="CD62" s="562">
        <f t="shared" si="146"/>
        <v>1294.3351315</v>
      </c>
      <c r="CE62" s="340">
        <f t="shared" ref="CE62:CP62" si="147">$W$62*(1+$G$62)^5</f>
        <v>1333.1651854449999</v>
      </c>
      <c r="CF62" s="340">
        <f t="shared" si="147"/>
        <v>1333.1651854449999</v>
      </c>
      <c r="CG62" s="340">
        <f t="shared" si="147"/>
        <v>1333.1651854449999</v>
      </c>
      <c r="CH62" s="340">
        <f t="shared" si="147"/>
        <v>1333.1651854449999</v>
      </c>
      <c r="CI62" s="340">
        <f t="shared" si="147"/>
        <v>1333.1651854449999</v>
      </c>
      <c r="CJ62" s="340">
        <f t="shared" si="147"/>
        <v>1333.1651854449999</v>
      </c>
      <c r="CK62" s="340">
        <f t="shared" si="147"/>
        <v>1333.1651854449999</v>
      </c>
      <c r="CL62" s="340">
        <f t="shared" si="147"/>
        <v>1333.1651854449999</v>
      </c>
      <c r="CM62" s="340">
        <f t="shared" si="147"/>
        <v>1333.1651854449999</v>
      </c>
      <c r="CN62" s="340">
        <f t="shared" si="147"/>
        <v>1333.1651854449999</v>
      </c>
      <c r="CO62" s="340">
        <f t="shared" si="147"/>
        <v>1333.1651854449999</v>
      </c>
      <c r="CP62" s="562">
        <f t="shared" si="147"/>
        <v>1333.1651854449999</v>
      </c>
      <c r="CQ62" s="340">
        <f t="shared" ref="CQ62:DB62" si="148">$W$62*(1+$G$62)^6</f>
        <v>1373.1601410083499</v>
      </c>
      <c r="CR62" s="340">
        <f t="shared" si="148"/>
        <v>1373.1601410083499</v>
      </c>
      <c r="CS62" s="340">
        <f t="shared" si="148"/>
        <v>1373.1601410083499</v>
      </c>
      <c r="CT62" s="340">
        <f t="shared" si="148"/>
        <v>1373.1601410083499</v>
      </c>
      <c r="CU62" s="340">
        <f t="shared" si="148"/>
        <v>1373.1601410083499</v>
      </c>
      <c r="CV62" s="340">
        <f t="shared" si="148"/>
        <v>1373.1601410083499</v>
      </c>
      <c r="CW62" s="340">
        <f t="shared" si="148"/>
        <v>1373.1601410083499</v>
      </c>
      <c r="CX62" s="340">
        <f t="shared" si="148"/>
        <v>1373.1601410083499</v>
      </c>
      <c r="CY62" s="340">
        <f t="shared" si="148"/>
        <v>1373.1601410083499</v>
      </c>
      <c r="CZ62" s="340">
        <f t="shared" si="148"/>
        <v>1373.1601410083499</v>
      </c>
      <c r="DA62" s="340">
        <f t="shared" si="148"/>
        <v>1373.1601410083499</v>
      </c>
      <c r="DB62" s="562">
        <f t="shared" si="148"/>
        <v>1373.1601410083499</v>
      </c>
      <c r="DC62" s="340">
        <f t="shared" ref="DC62:DN62" si="149">$W$62*(1+$G$62)^7</f>
        <v>1414.3549452386005</v>
      </c>
      <c r="DD62" s="340">
        <f t="shared" si="149"/>
        <v>1414.3549452386005</v>
      </c>
      <c r="DE62" s="340">
        <f t="shared" si="149"/>
        <v>1414.3549452386005</v>
      </c>
      <c r="DF62" s="340">
        <f t="shared" si="149"/>
        <v>1414.3549452386005</v>
      </c>
      <c r="DG62" s="340">
        <f t="shared" si="149"/>
        <v>1414.3549452386005</v>
      </c>
      <c r="DH62" s="340">
        <f t="shared" si="149"/>
        <v>1414.3549452386005</v>
      </c>
      <c r="DI62" s="340">
        <f t="shared" si="149"/>
        <v>1414.3549452386005</v>
      </c>
      <c r="DJ62" s="340">
        <f t="shared" si="149"/>
        <v>1414.3549452386005</v>
      </c>
      <c r="DK62" s="340">
        <f t="shared" si="149"/>
        <v>1414.3549452386005</v>
      </c>
      <c r="DL62" s="340">
        <f t="shared" si="149"/>
        <v>1414.3549452386005</v>
      </c>
      <c r="DM62" s="340">
        <f t="shared" si="149"/>
        <v>1414.3549452386005</v>
      </c>
      <c r="DN62" s="340">
        <f t="shared" si="149"/>
        <v>1414.3549452386005</v>
      </c>
      <c r="DP62" s="340">
        <f t="shared" si="70"/>
        <v>122714.23743830364</v>
      </c>
    </row>
    <row r="63" spans="4:120" x14ac:dyDescent="0.3">
      <c r="E63" s="331" t="str">
        <f>'Table 3.0'!E91</f>
        <v>Telephone</v>
      </c>
      <c r="G63" s="936">
        <f>'Table 3.0'!G91</f>
        <v>0.03</v>
      </c>
      <c r="H63" s="323" t="s">
        <v>905</v>
      </c>
      <c r="V63" s="561"/>
      <c r="W63" s="925">
        <v>250</v>
      </c>
      <c r="X63" s="340">
        <f t="shared" ref="X63:AH69" si="150">W63</f>
        <v>250</v>
      </c>
      <c r="Y63" s="340">
        <f t="shared" si="150"/>
        <v>250</v>
      </c>
      <c r="Z63" s="340">
        <f t="shared" si="150"/>
        <v>250</v>
      </c>
      <c r="AA63" s="340">
        <f t="shared" si="150"/>
        <v>250</v>
      </c>
      <c r="AB63" s="340">
        <f t="shared" si="150"/>
        <v>250</v>
      </c>
      <c r="AC63" s="340">
        <f t="shared" si="150"/>
        <v>250</v>
      </c>
      <c r="AD63" s="340">
        <f t="shared" si="150"/>
        <v>250</v>
      </c>
      <c r="AE63" s="340">
        <f t="shared" si="150"/>
        <v>250</v>
      </c>
      <c r="AF63" s="340">
        <f t="shared" si="150"/>
        <v>250</v>
      </c>
      <c r="AG63" s="340">
        <f t="shared" si="150"/>
        <v>250</v>
      </c>
      <c r="AH63" s="562">
        <f t="shared" si="150"/>
        <v>250</v>
      </c>
      <c r="AI63" s="340">
        <f t="shared" ref="AI63:AT63" si="151">$W$63*(1+$G$63)</f>
        <v>257.5</v>
      </c>
      <c r="AJ63" s="340">
        <f t="shared" si="151"/>
        <v>257.5</v>
      </c>
      <c r="AK63" s="340">
        <f t="shared" si="151"/>
        <v>257.5</v>
      </c>
      <c r="AL63" s="340">
        <f t="shared" si="151"/>
        <v>257.5</v>
      </c>
      <c r="AM63" s="340">
        <f t="shared" si="151"/>
        <v>257.5</v>
      </c>
      <c r="AN63" s="340">
        <f t="shared" si="151"/>
        <v>257.5</v>
      </c>
      <c r="AO63" s="340">
        <f t="shared" si="151"/>
        <v>257.5</v>
      </c>
      <c r="AP63" s="340">
        <f t="shared" si="151"/>
        <v>257.5</v>
      </c>
      <c r="AQ63" s="340">
        <f t="shared" si="151"/>
        <v>257.5</v>
      </c>
      <c r="AR63" s="340">
        <f t="shared" si="151"/>
        <v>257.5</v>
      </c>
      <c r="AS63" s="340">
        <f t="shared" si="151"/>
        <v>257.5</v>
      </c>
      <c r="AT63" s="562">
        <f t="shared" si="151"/>
        <v>257.5</v>
      </c>
      <c r="AU63" s="340">
        <f t="shared" ref="AU63:BF63" si="152">$W$63*(1+$G$63)^2</f>
        <v>265.22499999999997</v>
      </c>
      <c r="AV63" s="340">
        <f t="shared" si="152"/>
        <v>265.22499999999997</v>
      </c>
      <c r="AW63" s="340">
        <f t="shared" si="152"/>
        <v>265.22499999999997</v>
      </c>
      <c r="AX63" s="340">
        <f t="shared" si="152"/>
        <v>265.22499999999997</v>
      </c>
      <c r="AY63" s="340">
        <f t="shared" si="152"/>
        <v>265.22499999999997</v>
      </c>
      <c r="AZ63" s="340">
        <f t="shared" si="152"/>
        <v>265.22499999999997</v>
      </c>
      <c r="BA63" s="340">
        <f t="shared" si="152"/>
        <v>265.22499999999997</v>
      </c>
      <c r="BB63" s="340">
        <f t="shared" si="152"/>
        <v>265.22499999999997</v>
      </c>
      <c r="BC63" s="340">
        <f t="shared" si="152"/>
        <v>265.22499999999997</v>
      </c>
      <c r="BD63" s="340">
        <f t="shared" si="152"/>
        <v>265.22499999999997</v>
      </c>
      <c r="BE63" s="340">
        <f t="shared" si="152"/>
        <v>265.22499999999997</v>
      </c>
      <c r="BF63" s="562">
        <f t="shared" si="152"/>
        <v>265.22499999999997</v>
      </c>
      <c r="BG63" s="340">
        <f t="shared" ref="BG63:BR63" si="153">$W$63*(1+$G$63)^3</f>
        <v>273.18175000000002</v>
      </c>
      <c r="BH63" s="340">
        <f t="shared" si="153"/>
        <v>273.18175000000002</v>
      </c>
      <c r="BI63" s="340">
        <f t="shared" si="153"/>
        <v>273.18175000000002</v>
      </c>
      <c r="BJ63" s="340">
        <f t="shared" si="153"/>
        <v>273.18175000000002</v>
      </c>
      <c r="BK63" s="340">
        <f t="shared" si="153"/>
        <v>273.18175000000002</v>
      </c>
      <c r="BL63" s="340">
        <f t="shared" si="153"/>
        <v>273.18175000000002</v>
      </c>
      <c r="BM63" s="340">
        <f t="shared" si="153"/>
        <v>273.18175000000002</v>
      </c>
      <c r="BN63" s="340">
        <f t="shared" si="153"/>
        <v>273.18175000000002</v>
      </c>
      <c r="BO63" s="340">
        <f t="shared" si="153"/>
        <v>273.18175000000002</v>
      </c>
      <c r="BP63" s="340">
        <f t="shared" si="153"/>
        <v>273.18175000000002</v>
      </c>
      <c r="BQ63" s="340">
        <f t="shared" si="153"/>
        <v>273.18175000000002</v>
      </c>
      <c r="BR63" s="562">
        <f t="shared" si="153"/>
        <v>273.18175000000002</v>
      </c>
      <c r="BS63" s="340">
        <f t="shared" ref="BS63:CD63" si="154">$W$63*(1+$G$63)^4</f>
        <v>281.37720249999995</v>
      </c>
      <c r="BT63" s="340">
        <f t="shared" si="154"/>
        <v>281.37720249999995</v>
      </c>
      <c r="BU63" s="340">
        <f t="shared" si="154"/>
        <v>281.37720249999995</v>
      </c>
      <c r="BV63" s="340">
        <f t="shared" si="154"/>
        <v>281.37720249999995</v>
      </c>
      <c r="BW63" s="340">
        <f t="shared" si="154"/>
        <v>281.37720249999995</v>
      </c>
      <c r="BX63" s="340">
        <f t="shared" si="154"/>
        <v>281.37720249999995</v>
      </c>
      <c r="BY63" s="340">
        <f t="shared" si="154"/>
        <v>281.37720249999995</v>
      </c>
      <c r="BZ63" s="340">
        <f t="shared" si="154"/>
        <v>281.37720249999995</v>
      </c>
      <c r="CA63" s="340">
        <f t="shared" si="154"/>
        <v>281.37720249999995</v>
      </c>
      <c r="CB63" s="340">
        <f t="shared" si="154"/>
        <v>281.37720249999995</v>
      </c>
      <c r="CC63" s="340">
        <f t="shared" si="154"/>
        <v>281.37720249999995</v>
      </c>
      <c r="CD63" s="562">
        <f t="shared" si="154"/>
        <v>281.37720249999995</v>
      </c>
      <c r="CE63" s="340">
        <f t="shared" ref="CE63:CP63" si="155">$W$63*(1+$G$63)^5</f>
        <v>289.81851857499998</v>
      </c>
      <c r="CF63" s="340">
        <f t="shared" si="155"/>
        <v>289.81851857499998</v>
      </c>
      <c r="CG63" s="340">
        <f t="shared" si="155"/>
        <v>289.81851857499998</v>
      </c>
      <c r="CH63" s="340">
        <f t="shared" si="155"/>
        <v>289.81851857499998</v>
      </c>
      <c r="CI63" s="340">
        <f t="shared" si="155"/>
        <v>289.81851857499998</v>
      </c>
      <c r="CJ63" s="340">
        <f t="shared" si="155"/>
        <v>289.81851857499998</v>
      </c>
      <c r="CK63" s="340">
        <f t="shared" si="155"/>
        <v>289.81851857499998</v>
      </c>
      <c r="CL63" s="340">
        <f t="shared" si="155"/>
        <v>289.81851857499998</v>
      </c>
      <c r="CM63" s="340">
        <f t="shared" si="155"/>
        <v>289.81851857499998</v>
      </c>
      <c r="CN63" s="340">
        <f t="shared" si="155"/>
        <v>289.81851857499998</v>
      </c>
      <c r="CO63" s="340">
        <f t="shared" si="155"/>
        <v>289.81851857499998</v>
      </c>
      <c r="CP63" s="562">
        <f t="shared" si="155"/>
        <v>289.81851857499998</v>
      </c>
      <c r="CQ63" s="340">
        <f t="shared" ref="CQ63:DB63" si="156">$W$63*(1+$G$63)^6</f>
        <v>298.51307413224998</v>
      </c>
      <c r="CR63" s="340">
        <f t="shared" si="156"/>
        <v>298.51307413224998</v>
      </c>
      <c r="CS63" s="340">
        <f t="shared" si="156"/>
        <v>298.51307413224998</v>
      </c>
      <c r="CT63" s="340">
        <f t="shared" si="156"/>
        <v>298.51307413224998</v>
      </c>
      <c r="CU63" s="340">
        <f t="shared" si="156"/>
        <v>298.51307413224998</v>
      </c>
      <c r="CV63" s="340">
        <f t="shared" si="156"/>
        <v>298.51307413224998</v>
      </c>
      <c r="CW63" s="340">
        <f t="shared" si="156"/>
        <v>298.51307413224998</v>
      </c>
      <c r="CX63" s="340">
        <f t="shared" si="156"/>
        <v>298.51307413224998</v>
      </c>
      <c r="CY63" s="340">
        <f t="shared" si="156"/>
        <v>298.51307413224998</v>
      </c>
      <c r="CZ63" s="340">
        <f t="shared" si="156"/>
        <v>298.51307413224998</v>
      </c>
      <c r="DA63" s="340">
        <f t="shared" si="156"/>
        <v>298.51307413224998</v>
      </c>
      <c r="DB63" s="562">
        <f t="shared" si="156"/>
        <v>298.51307413224998</v>
      </c>
      <c r="DC63" s="340">
        <f t="shared" ref="DC63:DN63" si="157">$W$63*(1+$G$63)^7</f>
        <v>307.4684663562175</v>
      </c>
      <c r="DD63" s="340">
        <f t="shared" si="157"/>
        <v>307.4684663562175</v>
      </c>
      <c r="DE63" s="340">
        <f t="shared" si="157"/>
        <v>307.4684663562175</v>
      </c>
      <c r="DF63" s="340">
        <f t="shared" si="157"/>
        <v>307.4684663562175</v>
      </c>
      <c r="DG63" s="340">
        <f t="shared" si="157"/>
        <v>307.4684663562175</v>
      </c>
      <c r="DH63" s="340">
        <f t="shared" si="157"/>
        <v>307.4684663562175</v>
      </c>
      <c r="DI63" s="340">
        <f t="shared" si="157"/>
        <v>307.4684663562175</v>
      </c>
      <c r="DJ63" s="340">
        <f t="shared" si="157"/>
        <v>307.4684663562175</v>
      </c>
      <c r="DK63" s="340">
        <f t="shared" si="157"/>
        <v>307.4684663562175</v>
      </c>
      <c r="DL63" s="340">
        <f t="shared" si="157"/>
        <v>307.4684663562175</v>
      </c>
      <c r="DM63" s="340">
        <f t="shared" si="157"/>
        <v>307.4684663562175</v>
      </c>
      <c r="DN63" s="340">
        <f t="shared" si="157"/>
        <v>307.4684663562175</v>
      </c>
      <c r="DP63" s="340">
        <f t="shared" si="70"/>
        <v>26677.00813876163</v>
      </c>
    </row>
    <row r="64" spans="4:120" x14ac:dyDescent="0.3">
      <c r="E64" s="331" t="str">
        <f>'Table 3.0'!E92</f>
        <v>Cable/Internet</v>
      </c>
      <c r="G64" s="936">
        <f>'Table 3.0'!G92</f>
        <v>0.03</v>
      </c>
      <c r="H64" s="323" t="s">
        <v>905</v>
      </c>
      <c r="V64" s="561"/>
      <c r="W64" s="925">
        <v>1200</v>
      </c>
      <c r="X64" s="340">
        <f t="shared" si="150"/>
        <v>1200</v>
      </c>
      <c r="Y64" s="340">
        <f t="shared" si="150"/>
        <v>1200</v>
      </c>
      <c r="Z64" s="340">
        <f t="shared" si="150"/>
        <v>1200</v>
      </c>
      <c r="AA64" s="340">
        <f t="shared" si="150"/>
        <v>1200</v>
      </c>
      <c r="AB64" s="340">
        <f t="shared" si="150"/>
        <v>1200</v>
      </c>
      <c r="AC64" s="340">
        <f t="shared" si="150"/>
        <v>1200</v>
      </c>
      <c r="AD64" s="340">
        <f t="shared" si="150"/>
        <v>1200</v>
      </c>
      <c r="AE64" s="340">
        <f t="shared" si="150"/>
        <v>1200</v>
      </c>
      <c r="AF64" s="340">
        <f t="shared" si="150"/>
        <v>1200</v>
      </c>
      <c r="AG64" s="340">
        <f t="shared" si="150"/>
        <v>1200</v>
      </c>
      <c r="AH64" s="562">
        <f t="shared" si="150"/>
        <v>1200</v>
      </c>
      <c r="AI64" s="340">
        <f t="shared" ref="AI64:AT64" si="158">$W$64*(1+$G$64)</f>
        <v>1236</v>
      </c>
      <c r="AJ64" s="340">
        <f t="shared" si="158"/>
        <v>1236</v>
      </c>
      <c r="AK64" s="340">
        <f t="shared" si="158"/>
        <v>1236</v>
      </c>
      <c r="AL64" s="340">
        <f t="shared" si="158"/>
        <v>1236</v>
      </c>
      <c r="AM64" s="340">
        <f t="shared" si="158"/>
        <v>1236</v>
      </c>
      <c r="AN64" s="340">
        <f t="shared" si="158"/>
        <v>1236</v>
      </c>
      <c r="AO64" s="340">
        <f t="shared" si="158"/>
        <v>1236</v>
      </c>
      <c r="AP64" s="340">
        <f t="shared" si="158"/>
        <v>1236</v>
      </c>
      <c r="AQ64" s="340">
        <f t="shared" si="158"/>
        <v>1236</v>
      </c>
      <c r="AR64" s="340">
        <f t="shared" si="158"/>
        <v>1236</v>
      </c>
      <c r="AS64" s="340">
        <f t="shared" si="158"/>
        <v>1236</v>
      </c>
      <c r="AT64" s="562">
        <f t="shared" si="158"/>
        <v>1236</v>
      </c>
      <c r="AU64" s="340">
        <f t="shared" ref="AU64:BF64" si="159">$W$64*(1+$G$64)^2</f>
        <v>1273.08</v>
      </c>
      <c r="AV64" s="340">
        <f t="shared" si="159"/>
        <v>1273.08</v>
      </c>
      <c r="AW64" s="340">
        <f t="shared" si="159"/>
        <v>1273.08</v>
      </c>
      <c r="AX64" s="340">
        <f t="shared" si="159"/>
        <v>1273.08</v>
      </c>
      <c r="AY64" s="340">
        <f t="shared" si="159"/>
        <v>1273.08</v>
      </c>
      <c r="AZ64" s="340">
        <f t="shared" si="159"/>
        <v>1273.08</v>
      </c>
      <c r="BA64" s="340">
        <f t="shared" si="159"/>
        <v>1273.08</v>
      </c>
      <c r="BB64" s="340">
        <f t="shared" si="159"/>
        <v>1273.08</v>
      </c>
      <c r="BC64" s="340">
        <f t="shared" si="159"/>
        <v>1273.08</v>
      </c>
      <c r="BD64" s="340">
        <f t="shared" si="159"/>
        <v>1273.08</v>
      </c>
      <c r="BE64" s="340">
        <f t="shared" si="159"/>
        <v>1273.08</v>
      </c>
      <c r="BF64" s="562">
        <f t="shared" si="159"/>
        <v>1273.08</v>
      </c>
      <c r="BG64" s="340">
        <f t="shared" ref="BG64:BR64" si="160">$W$64*(1+$G$64)^3</f>
        <v>1311.2724000000001</v>
      </c>
      <c r="BH64" s="340">
        <f t="shared" si="160"/>
        <v>1311.2724000000001</v>
      </c>
      <c r="BI64" s="340">
        <f t="shared" si="160"/>
        <v>1311.2724000000001</v>
      </c>
      <c r="BJ64" s="340">
        <f t="shared" si="160"/>
        <v>1311.2724000000001</v>
      </c>
      <c r="BK64" s="340">
        <f t="shared" si="160"/>
        <v>1311.2724000000001</v>
      </c>
      <c r="BL64" s="340">
        <f t="shared" si="160"/>
        <v>1311.2724000000001</v>
      </c>
      <c r="BM64" s="340">
        <f t="shared" si="160"/>
        <v>1311.2724000000001</v>
      </c>
      <c r="BN64" s="340">
        <f t="shared" si="160"/>
        <v>1311.2724000000001</v>
      </c>
      <c r="BO64" s="340">
        <f t="shared" si="160"/>
        <v>1311.2724000000001</v>
      </c>
      <c r="BP64" s="340">
        <f t="shared" si="160"/>
        <v>1311.2724000000001</v>
      </c>
      <c r="BQ64" s="340">
        <f t="shared" si="160"/>
        <v>1311.2724000000001</v>
      </c>
      <c r="BR64" s="562">
        <f t="shared" si="160"/>
        <v>1311.2724000000001</v>
      </c>
      <c r="BS64" s="340">
        <f t="shared" ref="BS64:CD64" si="161">$W$64*(1+$G$64)^4</f>
        <v>1350.6105719999998</v>
      </c>
      <c r="BT64" s="340">
        <f t="shared" si="161"/>
        <v>1350.6105719999998</v>
      </c>
      <c r="BU64" s="340">
        <f t="shared" si="161"/>
        <v>1350.6105719999998</v>
      </c>
      <c r="BV64" s="340">
        <f t="shared" si="161"/>
        <v>1350.6105719999998</v>
      </c>
      <c r="BW64" s="340">
        <f t="shared" si="161"/>
        <v>1350.6105719999998</v>
      </c>
      <c r="BX64" s="340">
        <f t="shared" si="161"/>
        <v>1350.6105719999998</v>
      </c>
      <c r="BY64" s="340">
        <f t="shared" si="161"/>
        <v>1350.6105719999998</v>
      </c>
      <c r="BZ64" s="340">
        <f t="shared" si="161"/>
        <v>1350.6105719999998</v>
      </c>
      <c r="CA64" s="340">
        <f t="shared" si="161"/>
        <v>1350.6105719999998</v>
      </c>
      <c r="CB64" s="340">
        <f t="shared" si="161"/>
        <v>1350.6105719999998</v>
      </c>
      <c r="CC64" s="340">
        <f t="shared" si="161"/>
        <v>1350.6105719999998</v>
      </c>
      <c r="CD64" s="562">
        <f t="shared" si="161"/>
        <v>1350.6105719999998</v>
      </c>
      <c r="CE64" s="340">
        <f t="shared" ref="CE64:CP64" si="162">$W$64*(1+$G$64)^5</f>
        <v>1391.1288891599997</v>
      </c>
      <c r="CF64" s="340">
        <f t="shared" si="162"/>
        <v>1391.1288891599997</v>
      </c>
      <c r="CG64" s="340">
        <f t="shared" si="162"/>
        <v>1391.1288891599997</v>
      </c>
      <c r="CH64" s="340">
        <f t="shared" si="162"/>
        <v>1391.1288891599997</v>
      </c>
      <c r="CI64" s="340">
        <f t="shared" si="162"/>
        <v>1391.1288891599997</v>
      </c>
      <c r="CJ64" s="340">
        <f t="shared" si="162"/>
        <v>1391.1288891599997</v>
      </c>
      <c r="CK64" s="340">
        <f t="shared" si="162"/>
        <v>1391.1288891599997</v>
      </c>
      <c r="CL64" s="340">
        <f t="shared" si="162"/>
        <v>1391.1288891599997</v>
      </c>
      <c r="CM64" s="340">
        <f t="shared" si="162"/>
        <v>1391.1288891599997</v>
      </c>
      <c r="CN64" s="340">
        <f t="shared" si="162"/>
        <v>1391.1288891599997</v>
      </c>
      <c r="CO64" s="340">
        <f t="shared" si="162"/>
        <v>1391.1288891599997</v>
      </c>
      <c r="CP64" s="562">
        <f t="shared" si="162"/>
        <v>1391.1288891599997</v>
      </c>
      <c r="CQ64" s="340">
        <f t="shared" ref="CQ64:DB64" si="163">$W$64*(1+$G$64)^6</f>
        <v>1432.8627558347998</v>
      </c>
      <c r="CR64" s="340">
        <f t="shared" si="163"/>
        <v>1432.8627558347998</v>
      </c>
      <c r="CS64" s="340">
        <f t="shared" si="163"/>
        <v>1432.8627558347998</v>
      </c>
      <c r="CT64" s="340">
        <f t="shared" si="163"/>
        <v>1432.8627558347998</v>
      </c>
      <c r="CU64" s="340">
        <f t="shared" si="163"/>
        <v>1432.8627558347998</v>
      </c>
      <c r="CV64" s="340">
        <f t="shared" si="163"/>
        <v>1432.8627558347998</v>
      </c>
      <c r="CW64" s="340">
        <f t="shared" si="163"/>
        <v>1432.8627558347998</v>
      </c>
      <c r="CX64" s="340">
        <f t="shared" si="163"/>
        <v>1432.8627558347998</v>
      </c>
      <c r="CY64" s="340">
        <f t="shared" si="163"/>
        <v>1432.8627558347998</v>
      </c>
      <c r="CZ64" s="340">
        <f t="shared" si="163"/>
        <v>1432.8627558347998</v>
      </c>
      <c r="DA64" s="340">
        <f t="shared" si="163"/>
        <v>1432.8627558347998</v>
      </c>
      <c r="DB64" s="562">
        <f t="shared" si="163"/>
        <v>1432.8627558347998</v>
      </c>
      <c r="DC64" s="340">
        <f t="shared" ref="DC64:DN64" si="164">$W$64*(1+$G$64)^7</f>
        <v>1475.848638509844</v>
      </c>
      <c r="DD64" s="340">
        <f t="shared" si="164"/>
        <v>1475.848638509844</v>
      </c>
      <c r="DE64" s="340">
        <f t="shared" si="164"/>
        <v>1475.848638509844</v>
      </c>
      <c r="DF64" s="340">
        <f t="shared" si="164"/>
        <v>1475.848638509844</v>
      </c>
      <c r="DG64" s="340">
        <f t="shared" si="164"/>
        <v>1475.848638509844</v>
      </c>
      <c r="DH64" s="340">
        <f t="shared" si="164"/>
        <v>1475.848638509844</v>
      </c>
      <c r="DI64" s="340">
        <f t="shared" si="164"/>
        <v>1475.848638509844</v>
      </c>
      <c r="DJ64" s="340">
        <f t="shared" si="164"/>
        <v>1475.848638509844</v>
      </c>
      <c r="DK64" s="340">
        <f t="shared" si="164"/>
        <v>1475.848638509844</v>
      </c>
      <c r="DL64" s="340">
        <f t="shared" si="164"/>
        <v>1475.848638509844</v>
      </c>
      <c r="DM64" s="340">
        <f t="shared" si="164"/>
        <v>1475.848638509844</v>
      </c>
      <c r="DN64" s="340">
        <f t="shared" si="164"/>
        <v>1475.848638509844</v>
      </c>
      <c r="DP64" s="340">
        <f t="shared" si="70"/>
        <v>128049.63906605562</v>
      </c>
    </row>
    <row r="65" spans="3:120" x14ac:dyDescent="0.3">
      <c r="E65" s="331" t="str">
        <f>'Table 3.0'!E93</f>
        <v>Electric</v>
      </c>
      <c r="G65" s="936">
        <f>'Table 3.0'!G93</f>
        <v>0.03</v>
      </c>
      <c r="H65" s="323" t="s">
        <v>905</v>
      </c>
      <c r="V65" s="561"/>
      <c r="W65" s="925">
        <v>1500</v>
      </c>
      <c r="X65" s="340">
        <f t="shared" si="150"/>
        <v>1500</v>
      </c>
      <c r="Y65" s="340">
        <f t="shared" si="150"/>
        <v>1500</v>
      </c>
      <c r="Z65" s="340">
        <f t="shared" si="150"/>
        <v>1500</v>
      </c>
      <c r="AA65" s="340">
        <f t="shared" si="150"/>
        <v>1500</v>
      </c>
      <c r="AB65" s="340">
        <f t="shared" si="150"/>
        <v>1500</v>
      </c>
      <c r="AC65" s="340">
        <f t="shared" si="150"/>
        <v>1500</v>
      </c>
      <c r="AD65" s="340">
        <f t="shared" si="150"/>
        <v>1500</v>
      </c>
      <c r="AE65" s="340">
        <f t="shared" si="150"/>
        <v>1500</v>
      </c>
      <c r="AF65" s="340">
        <f t="shared" si="150"/>
        <v>1500</v>
      </c>
      <c r="AG65" s="340">
        <f t="shared" si="150"/>
        <v>1500</v>
      </c>
      <c r="AH65" s="562">
        <f t="shared" si="150"/>
        <v>1500</v>
      </c>
      <c r="AI65" s="340">
        <f t="shared" ref="AI65:AT65" si="165">$W$65*(1+$G$65)</f>
        <v>1545</v>
      </c>
      <c r="AJ65" s="340">
        <f t="shared" si="165"/>
        <v>1545</v>
      </c>
      <c r="AK65" s="340">
        <f t="shared" si="165"/>
        <v>1545</v>
      </c>
      <c r="AL65" s="340">
        <f t="shared" si="165"/>
        <v>1545</v>
      </c>
      <c r="AM65" s="340">
        <f t="shared" si="165"/>
        <v>1545</v>
      </c>
      <c r="AN65" s="340">
        <f t="shared" si="165"/>
        <v>1545</v>
      </c>
      <c r="AO65" s="340">
        <f t="shared" si="165"/>
        <v>1545</v>
      </c>
      <c r="AP65" s="340">
        <f t="shared" si="165"/>
        <v>1545</v>
      </c>
      <c r="AQ65" s="340">
        <f t="shared" si="165"/>
        <v>1545</v>
      </c>
      <c r="AR65" s="340">
        <f t="shared" si="165"/>
        <v>1545</v>
      </c>
      <c r="AS65" s="340">
        <f t="shared" si="165"/>
        <v>1545</v>
      </c>
      <c r="AT65" s="562">
        <f t="shared" si="165"/>
        <v>1545</v>
      </c>
      <c r="AU65" s="340">
        <f t="shared" ref="AU65:BF65" si="166">$W$65*(1+$G$65)^2</f>
        <v>1591.35</v>
      </c>
      <c r="AV65" s="340">
        <f t="shared" si="166"/>
        <v>1591.35</v>
      </c>
      <c r="AW65" s="340">
        <f t="shared" si="166"/>
        <v>1591.35</v>
      </c>
      <c r="AX65" s="340">
        <f t="shared" si="166"/>
        <v>1591.35</v>
      </c>
      <c r="AY65" s="340">
        <f t="shared" si="166"/>
        <v>1591.35</v>
      </c>
      <c r="AZ65" s="340">
        <f t="shared" si="166"/>
        <v>1591.35</v>
      </c>
      <c r="BA65" s="340">
        <f t="shared" si="166"/>
        <v>1591.35</v>
      </c>
      <c r="BB65" s="340">
        <f t="shared" si="166"/>
        <v>1591.35</v>
      </c>
      <c r="BC65" s="340">
        <f t="shared" si="166"/>
        <v>1591.35</v>
      </c>
      <c r="BD65" s="340">
        <f t="shared" si="166"/>
        <v>1591.35</v>
      </c>
      <c r="BE65" s="340">
        <f t="shared" si="166"/>
        <v>1591.35</v>
      </c>
      <c r="BF65" s="562">
        <f t="shared" si="166"/>
        <v>1591.35</v>
      </c>
      <c r="BG65" s="340">
        <f t="shared" ref="BG65:BR65" si="167">$W$65*(1+$G$65)^3</f>
        <v>1639.0905</v>
      </c>
      <c r="BH65" s="340">
        <f t="shared" si="167"/>
        <v>1639.0905</v>
      </c>
      <c r="BI65" s="340">
        <f t="shared" si="167"/>
        <v>1639.0905</v>
      </c>
      <c r="BJ65" s="340">
        <f t="shared" si="167"/>
        <v>1639.0905</v>
      </c>
      <c r="BK65" s="340">
        <f t="shared" si="167"/>
        <v>1639.0905</v>
      </c>
      <c r="BL65" s="340">
        <f t="shared" si="167"/>
        <v>1639.0905</v>
      </c>
      <c r="BM65" s="340">
        <f t="shared" si="167"/>
        <v>1639.0905</v>
      </c>
      <c r="BN65" s="340">
        <f t="shared" si="167"/>
        <v>1639.0905</v>
      </c>
      <c r="BO65" s="340">
        <f t="shared" si="167"/>
        <v>1639.0905</v>
      </c>
      <c r="BP65" s="340">
        <f t="shared" si="167"/>
        <v>1639.0905</v>
      </c>
      <c r="BQ65" s="340">
        <f t="shared" si="167"/>
        <v>1639.0905</v>
      </c>
      <c r="BR65" s="562">
        <f t="shared" si="167"/>
        <v>1639.0905</v>
      </c>
      <c r="BS65" s="340">
        <f t="shared" ref="BS65:CD65" si="168">$W$65*(1+$G$65)^4</f>
        <v>1688.2632149999999</v>
      </c>
      <c r="BT65" s="340">
        <f t="shared" si="168"/>
        <v>1688.2632149999999</v>
      </c>
      <c r="BU65" s="340">
        <f t="shared" si="168"/>
        <v>1688.2632149999999</v>
      </c>
      <c r="BV65" s="340">
        <f t="shared" si="168"/>
        <v>1688.2632149999999</v>
      </c>
      <c r="BW65" s="340">
        <f t="shared" si="168"/>
        <v>1688.2632149999999</v>
      </c>
      <c r="BX65" s="340">
        <f t="shared" si="168"/>
        <v>1688.2632149999999</v>
      </c>
      <c r="BY65" s="340">
        <f t="shared" si="168"/>
        <v>1688.2632149999999</v>
      </c>
      <c r="BZ65" s="340">
        <f t="shared" si="168"/>
        <v>1688.2632149999999</v>
      </c>
      <c r="CA65" s="340">
        <f t="shared" si="168"/>
        <v>1688.2632149999999</v>
      </c>
      <c r="CB65" s="340">
        <f t="shared" si="168"/>
        <v>1688.2632149999999</v>
      </c>
      <c r="CC65" s="340">
        <f t="shared" si="168"/>
        <v>1688.2632149999999</v>
      </c>
      <c r="CD65" s="562">
        <f t="shared" si="168"/>
        <v>1688.2632149999999</v>
      </c>
      <c r="CE65" s="340">
        <f t="shared" ref="CE65:CP65" si="169">$W$65*(1+$G$65)^5</f>
        <v>1738.9111114499997</v>
      </c>
      <c r="CF65" s="340">
        <f t="shared" si="169"/>
        <v>1738.9111114499997</v>
      </c>
      <c r="CG65" s="340">
        <f t="shared" si="169"/>
        <v>1738.9111114499997</v>
      </c>
      <c r="CH65" s="340">
        <f t="shared" si="169"/>
        <v>1738.9111114499997</v>
      </c>
      <c r="CI65" s="340">
        <f t="shared" si="169"/>
        <v>1738.9111114499997</v>
      </c>
      <c r="CJ65" s="340">
        <f t="shared" si="169"/>
        <v>1738.9111114499997</v>
      </c>
      <c r="CK65" s="340">
        <f t="shared" si="169"/>
        <v>1738.9111114499997</v>
      </c>
      <c r="CL65" s="340">
        <f t="shared" si="169"/>
        <v>1738.9111114499997</v>
      </c>
      <c r="CM65" s="340">
        <f t="shared" si="169"/>
        <v>1738.9111114499997</v>
      </c>
      <c r="CN65" s="340">
        <f t="shared" si="169"/>
        <v>1738.9111114499997</v>
      </c>
      <c r="CO65" s="340">
        <f t="shared" si="169"/>
        <v>1738.9111114499997</v>
      </c>
      <c r="CP65" s="562">
        <f t="shared" si="169"/>
        <v>1738.9111114499997</v>
      </c>
      <c r="CQ65" s="340">
        <f t="shared" ref="CQ65:DB65" si="170">$W$65*(1+$G$65)^6</f>
        <v>1791.0784447934998</v>
      </c>
      <c r="CR65" s="340">
        <f t="shared" si="170"/>
        <v>1791.0784447934998</v>
      </c>
      <c r="CS65" s="340">
        <f t="shared" si="170"/>
        <v>1791.0784447934998</v>
      </c>
      <c r="CT65" s="340">
        <f t="shared" si="170"/>
        <v>1791.0784447934998</v>
      </c>
      <c r="CU65" s="340">
        <f t="shared" si="170"/>
        <v>1791.0784447934998</v>
      </c>
      <c r="CV65" s="340">
        <f t="shared" si="170"/>
        <v>1791.0784447934998</v>
      </c>
      <c r="CW65" s="340">
        <f t="shared" si="170"/>
        <v>1791.0784447934998</v>
      </c>
      <c r="CX65" s="340">
        <f t="shared" si="170"/>
        <v>1791.0784447934998</v>
      </c>
      <c r="CY65" s="340">
        <f t="shared" si="170"/>
        <v>1791.0784447934998</v>
      </c>
      <c r="CZ65" s="340">
        <f t="shared" si="170"/>
        <v>1791.0784447934998</v>
      </c>
      <c r="DA65" s="340">
        <f t="shared" si="170"/>
        <v>1791.0784447934998</v>
      </c>
      <c r="DB65" s="562">
        <f t="shared" si="170"/>
        <v>1791.0784447934998</v>
      </c>
      <c r="DC65" s="340">
        <f t="shared" ref="DC65:DN65" si="171">$W$65*(1+$G$65)^7</f>
        <v>1844.810798137305</v>
      </c>
      <c r="DD65" s="340">
        <f t="shared" si="171"/>
        <v>1844.810798137305</v>
      </c>
      <c r="DE65" s="340">
        <f t="shared" si="171"/>
        <v>1844.810798137305</v>
      </c>
      <c r="DF65" s="340">
        <f t="shared" si="171"/>
        <v>1844.810798137305</v>
      </c>
      <c r="DG65" s="340">
        <f t="shared" si="171"/>
        <v>1844.810798137305</v>
      </c>
      <c r="DH65" s="340">
        <f t="shared" si="171"/>
        <v>1844.810798137305</v>
      </c>
      <c r="DI65" s="340">
        <f t="shared" si="171"/>
        <v>1844.810798137305</v>
      </c>
      <c r="DJ65" s="340">
        <f t="shared" si="171"/>
        <v>1844.810798137305</v>
      </c>
      <c r="DK65" s="340">
        <f t="shared" si="171"/>
        <v>1844.810798137305</v>
      </c>
      <c r="DL65" s="340">
        <f t="shared" si="171"/>
        <v>1844.810798137305</v>
      </c>
      <c r="DM65" s="340">
        <f t="shared" si="171"/>
        <v>1844.810798137305</v>
      </c>
      <c r="DN65" s="340">
        <f t="shared" si="171"/>
        <v>1844.810798137305</v>
      </c>
      <c r="DP65" s="340">
        <f t="shared" si="70"/>
        <v>160062.04883256959</v>
      </c>
    </row>
    <row r="66" spans="3:120" x14ac:dyDescent="0.3">
      <c r="E66" s="331" t="str">
        <f>'Table 3.0'!E94</f>
        <v>Gas</v>
      </c>
      <c r="G66" s="936">
        <f>'Table 3.0'!G94</f>
        <v>0.03</v>
      </c>
      <c r="H66" s="323" t="s">
        <v>905</v>
      </c>
      <c r="V66" s="561"/>
      <c r="W66" s="925">
        <v>1000</v>
      </c>
      <c r="X66" s="340">
        <f t="shared" si="150"/>
        <v>1000</v>
      </c>
      <c r="Y66" s="340">
        <f t="shared" si="150"/>
        <v>1000</v>
      </c>
      <c r="Z66" s="340">
        <f t="shared" si="150"/>
        <v>1000</v>
      </c>
      <c r="AA66" s="340">
        <f t="shared" si="150"/>
        <v>1000</v>
      </c>
      <c r="AB66" s="340">
        <f t="shared" si="150"/>
        <v>1000</v>
      </c>
      <c r="AC66" s="340">
        <f t="shared" si="150"/>
        <v>1000</v>
      </c>
      <c r="AD66" s="340">
        <f t="shared" si="150"/>
        <v>1000</v>
      </c>
      <c r="AE66" s="340">
        <f t="shared" si="150"/>
        <v>1000</v>
      </c>
      <c r="AF66" s="340">
        <f t="shared" si="150"/>
        <v>1000</v>
      </c>
      <c r="AG66" s="340">
        <f t="shared" si="150"/>
        <v>1000</v>
      </c>
      <c r="AH66" s="562">
        <f t="shared" si="150"/>
        <v>1000</v>
      </c>
      <c r="AI66" s="340">
        <f t="shared" ref="AI66:AT66" si="172">$W$66*(1+$G$66)</f>
        <v>1030</v>
      </c>
      <c r="AJ66" s="340">
        <f t="shared" si="172"/>
        <v>1030</v>
      </c>
      <c r="AK66" s="340">
        <f t="shared" si="172"/>
        <v>1030</v>
      </c>
      <c r="AL66" s="340">
        <f t="shared" si="172"/>
        <v>1030</v>
      </c>
      <c r="AM66" s="340">
        <f t="shared" si="172"/>
        <v>1030</v>
      </c>
      <c r="AN66" s="340">
        <f t="shared" si="172"/>
        <v>1030</v>
      </c>
      <c r="AO66" s="340">
        <f t="shared" si="172"/>
        <v>1030</v>
      </c>
      <c r="AP66" s="340">
        <f t="shared" si="172"/>
        <v>1030</v>
      </c>
      <c r="AQ66" s="340">
        <f t="shared" si="172"/>
        <v>1030</v>
      </c>
      <c r="AR66" s="340">
        <f t="shared" si="172"/>
        <v>1030</v>
      </c>
      <c r="AS66" s="340">
        <f t="shared" si="172"/>
        <v>1030</v>
      </c>
      <c r="AT66" s="562">
        <f t="shared" si="172"/>
        <v>1030</v>
      </c>
      <c r="AU66" s="340">
        <f t="shared" ref="AU66:BF66" si="173">$W$66*(1+$G$66)^2</f>
        <v>1060.8999999999999</v>
      </c>
      <c r="AV66" s="340">
        <f t="shared" si="173"/>
        <v>1060.8999999999999</v>
      </c>
      <c r="AW66" s="340">
        <f t="shared" si="173"/>
        <v>1060.8999999999999</v>
      </c>
      <c r="AX66" s="340">
        <f t="shared" si="173"/>
        <v>1060.8999999999999</v>
      </c>
      <c r="AY66" s="340">
        <f t="shared" si="173"/>
        <v>1060.8999999999999</v>
      </c>
      <c r="AZ66" s="340">
        <f t="shared" si="173"/>
        <v>1060.8999999999999</v>
      </c>
      <c r="BA66" s="340">
        <f t="shared" si="173"/>
        <v>1060.8999999999999</v>
      </c>
      <c r="BB66" s="340">
        <f t="shared" si="173"/>
        <v>1060.8999999999999</v>
      </c>
      <c r="BC66" s="340">
        <f t="shared" si="173"/>
        <v>1060.8999999999999</v>
      </c>
      <c r="BD66" s="340">
        <f t="shared" si="173"/>
        <v>1060.8999999999999</v>
      </c>
      <c r="BE66" s="340">
        <f t="shared" si="173"/>
        <v>1060.8999999999999</v>
      </c>
      <c r="BF66" s="562">
        <f t="shared" si="173"/>
        <v>1060.8999999999999</v>
      </c>
      <c r="BG66" s="340">
        <f t="shared" ref="BG66:BR66" si="174">$W$66*(1+$G$66)^3</f>
        <v>1092.7270000000001</v>
      </c>
      <c r="BH66" s="340">
        <f t="shared" si="174"/>
        <v>1092.7270000000001</v>
      </c>
      <c r="BI66" s="340">
        <f t="shared" si="174"/>
        <v>1092.7270000000001</v>
      </c>
      <c r="BJ66" s="340">
        <f t="shared" si="174"/>
        <v>1092.7270000000001</v>
      </c>
      <c r="BK66" s="340">
        <f t="shared" si="174"/>
        <v>1092.7270000000001</v>
      </c>
      <c r="BL66" s="340">
        <f t="shared" si="174"/>
        <v>1092.7270000000001</v>
      </c>
      <c r="BM66" s="340">
        <f t="shared" si="174"/>
        <v>1092.7270000000001</v>
      </c>
      <c r="BN66" s="340">
        <f t="shared" si="174"/>
        <v>1092.7270000000001</v>
      </c>
      <c r="BO66" s="340">
        <f t="shared" si="174"/>
        <v>1092.7270000000001</v>
      </c>
      <c r="BP66" s="340">
        <f t="shared" si="174"/>
        <v>1092.7270000000001</v>
      </c>
      <c r="BQ66" s="340">
        <f t="shared" si="174"/>
        <v>1092.7270000000001</v>
      </c>
      <c r="BR66" s="562">
        <f t="shared" si="174"/>
        <v>1092.7270000000001</v>
      </c>
      <c r="BS66" s="340">
        <f t="shared" ref="BS66:CD66" si="175">$W$66*(1+$G$66)^4</f>
        <v>1125.5088099999998</v>
      </c>
      <c r="BT66" s="340">
        <f t="shared" si="175"/>
        <v>1125.5088099999998</v>
      </c>
      <c r="BU66" s="340">
        <f t="shared" si="175"/>
        <v>1125.5088099999998</v>
      </c>
      <c r="BV66" s="340">
        <f t="shared" si="175"/>
        <v>1125.5088099999998</v>
      </c>
      <c r="BW66" s="340">
        <f t="shared" si="175"/>
        <v>1125.5088099999998</v>
      </c>
      <c r="BX66" s="340">
        <f t="shared" si="175"/>
        <v>1125.5088099999998</v>
      </c>
      <c r="BY66" s="340">
        <f t="shared" si="175"/>
        <v>1125.5088099999998</v>
      </c>
      <c r="BZ66" s="340">
        <f t="shared" si="175"/>
        <v>1125.5088099999998</v>
      </c>
      <c r="CA66" s="340">
        <f t="shared" si="175"/>
        <v>1125.5088099999998</v>
      </c>
      <c r="CB66" s="340">
        <f t="shared" si="175"/>
        <v>1125.5088099999998</v>
      </c>
      <c r="CC66" s="340">
        <f t="shared" si="175"/>
        <v>1125.5088099999998</v>
      </c>
      <c r="CD66" s="562">
        <f t="shared" si="175"/>
        <v>1125.5088099999998</v>
      </c>
      <c r="CE66" s="340">
        <f t="shared" ref="CE66:CP66" si="176">$W$66*(1+$G$66)^5</f>
        <v>1159.2740742999999</v>
      </c>
      <c r="CF66" s="340">
        <f t="shared" si="176"/>
        <v>1159.2740742999999</v>
      </c>
      <c r="CG66" s="340">
        <f t="shared" si="176"/>
        <v>1159.2740742999999</v>
      </c>
      <c r="CH66" s="340">
        <f t="shared" si="176"/>
        <v>1159.2740742999999</v>
      </c>
      <c r="CI66" s="340">
        <f t="shared" si="176"/>
        <v>1159.2740742999999</v>
      </c>
      <c r="CJ66" s="340">
        <f t="shared" si="176"/>
        <v>1159.2740742999999</v>
      </c>
      <c r="CK66" s="340">
        <f t="shared" si="176"/>
        <v>1159.2740742999999</v>
      </c>
      <c r="CL66" s="340">
        <f t="shared" si="176"/>
        <v>1159.2740742999999</v>
      </c>
      <c r="CM66" s="340">
        <f t="shared" si="176"/>
        <v>1159.2740742999999</v>
      </c>
      <c r="CN66" s="340">
        <f t="shared" si="176"/>
        <v>1159.2740742999999</v>
      </c>
      <c r="CO66" s="340">
        <f t="shared" si="176"/>
        <v>1159.2740742999999</v>
      </c>
      <c r="CP66" s="562">
        <f t="shared" si="176"/>
        <v>1159.2740742999999</v>
      </c>
      <c r="CQ66" s="340">
        <f t="shared" ref="CQ66:DB66" si="177">$W$66*(1+$G$66)^6</f>
        <v>1194.0522965289999</v>
      </c>
      <c r="CR66" s="340">
        <f t="shared" si="177"/>
        <v>1194.0522965289999</v>
      </c>
      <c r="CS66" s="340">
        <f t="shared" si="177"/>
        <v>1194.0522965289999</v>
      </c>
      <c r="CT66" s="340">
        <f t="shared" si="177"/>
        <v>1194.0522965289999</v>
      </c>
      <c r="CU66" s="340">
        <f t="shared" si="177"/>
        <v>1194.0522965289999</v>
      </c>
      <c r="CV66" s="340">
        <f t="shared" si="177"/>
        <v>1194.0522965289999</v>
      </c>
      <c r="CW66" s="340">
        <f t="shared" si="177"/>
        <v>1194.0522965289999</v>
      </c>
      <c r="CX66" s="340">
        <f t="shared" si="177"/>
        <v>1194.0522965289999</v>
      </c>
      <c r="CY66" s="340">
        <f t="shared" si="177"/>
        <v>1194.0522965289999</v>
      </c>
      <c r="CZ66" s="340">
        <f t="shared" si="177"/>
        <v>1194.0522965289999</v>
      </c>
      <c r="DA66" s="340">
        <f t="shared" si="177"/>
        <v>1194.0522965289999</v>
      </c>
      <c r="DB66" s="562">
        <f t="shared" si="177"/>
        <v>1194.0522965289999</v>
      </c>
      <c r="DC66" s="340">
        <f t="shared" ref="DC66:DN66" si="178">$W$66*(1+$G$66)^7</f>
        <v>1229.87386542487</v>
      </c>
      <c r="DD66" s="340">
        <f t="shared" si="178"/>
        <v>1229.87386542487</v>
      </c>
      <c r="DE66" s="340">
        <f t="shared" si="178"/>
        <v>1229.87386542487</v>
      </c>
      <c r="DF66" s="340">
        <f t="shared" si="178"/>
        <v>1229.87386542487</v>
      </c>
      <c r="DG66" s="340">
        <f t="shared" si="178"/>
        <v>1229.87386542487</v>
      </c>
      <c r="DH66" s="340">
        <f t="shared" si="178"/>
        <v>1229.87386542487</v>
      </c>
      <c r="DI66" s="340">
        <f t="shared" si="178"/>
        <v>1229.87386542487</v>
      </c>
      <c r="DJ66" s="340">
        <f t="shared" si="178"/>
        <v>1229.87386542487</v>
      </c>
      <c r="DK66" s="340">
        <f t="shared" si="178"/>
        <v>1229.87386542487</v>
      </c>
      <c r="DL66" s="340">
        <f t="shared" si="178"/>
        <v>1229.87386542487</v>
      </c>
      <c r="DM66" s="340">
        <f t="shared" si="178"/>
        <v>1229.87386542487</v>
      </c>
      <c r="DN66" s="340">
        <f t="shared" si="178"/>
        <v>1229.87386542487</v>
      </c>
      <c r="DP66" s="340">
        <f t="shared" si="70"/>
        <v>106708.03255504652</v>
      </c>
    </row>
    <row r="67" spans="3:120" x14ac:dyDescent="0.3">
      <c r="E67" s="331" t="str">
        <f>'Table 3.0'!E95</f>
        <v>Pest Control</v>
      </c>
      <c r="G67" s="936">
        <f>'Table 3.0'!G95</f>
        <v>0.03</v>
      </c>
      <c r="H67" s="323" t="s">
        <v>905</v>
      </c>
      <c r="V67" s="561"/>
      <c r="W67" s="925">
        <v>500</v>
      </c>
      <c r="X67" s="340">
        <f t="shared" si="150"/>
        <v>500</v>
      </c>
      <c r="Y67" s="340">
        <f t="shared" si="150"/>
        <v>500</v>
      </c>
      <c r="Z67" s="340">
        <f t="shared" si="150"/>
        <v>500</v>
      </c>
      <c r="AA67" s="340">
        <f t="shared" si="150"/>
        <v>500</v>
      </c>
      <c r="AB67" s="340">
        <f t="shared" si="150"/>
        <v>500</v>
      </c>
      <c r="AC67" s="340">
        <f t="shared" si="150"/>
        <v>500</v>
      </c>
      <c r="AD67" s="340">
        <f t="shared" si="150"/>
        <v>500</v>
      </c>
      <c r="AE67" s="340">
        <f t="shared" si="150"/>
        <v>500</v>
      </c>
      <c r="AF67" s="340">
        <f t="shared" si="150"/>
        <v>500</v>
      </c>
      <c r="AG67" s="340">
        <f t="shared" si="150"/>
        <v>500</v>
      </c>
      <c r="AH67" s="562">
        <f t="shared" si="150"/>
        <v>500</v>
      </c>
      <c r="AI67" s="340">
        <f t="shared" ref="AI67:AT67" si="179">$W$67*(1+$G$67)</f>
        <v>515</v>
      </c>
      <c r="AJ67" s="340">
        <f t="shared" si="179"/>
        <v>515</v>
      </c>
      <c r="AK67" s="340">
        <f t="shared" si="179"/>
        <v>515</v>
      </c>
      <c r="AL67" s="340">
        <f t="shared" si="179"/>
        <v>515</v>
      </c>
      <c r="AM67" s="340">
        <f t="shared" si="179"/>
        <v>515</v>
      </c>
      <c r="AN67" s="340">
        <f t="shared" si="179"/>
        <v>515</v>
      </c>
      <c r="AO67" s="340">
        <f t="shared" si="179"/>
        <v>515</v>
      </c>
      <c r="AP67" s="340">
        <f t="shared" si="179"/>
        <v>515</v>
      </c>
      <c r="AQ67" s="340">
        <f t="shared" si="179"/>
        <v>515</v>
      </c>
      <c r="AR67" s="340">
        <f t="shared" si="179"/>
        <v>515</v>
      </c>
      <c r="AS67" s="340">
        <f t="shared" si="179"/>
        <v>515</v>
      </c>
      <c r="AT67" s="562">
        <f t="shared" si="179"/>
        <v>515</v>
      </c>
      <c r="AU67" s="340">
        <f t="shared" ref="AU67:BF67" si="180">$W$67*(1+$G$67)^2</f>
        <v>530.44999999999993</v>
      </c>
      <c r="AV67" s="340">
        <f t="shared" si="180"/>
        <v>530.44999999999993</v>
      </c>
      <c r="AW67" s="340">
        <f t="shared" si="180"/>
        <v>530.44999999999993</v>
      </c>
      <c r="AX67" s="340">
        <f t="shared" si="180"/>
        <v>530.44999999999993</v>
      </c>
      <c r="AY67" s="340">
        <f t="shared" si="180"/>
        <v>530.44999999999993</v>
      </c>
      <c r="AZ67" s="340">
        <f t="shared" si="180"/>
        <v>530.44999999999993</v>
      </c>
      <c r="BA67" s="340">
        <f t="shared" si="180"/>
        <v>530.44999999999993</v>
      </c>
      <c r="BB67" s="340">
        <f t="shared" si="180"/>
        <v>530.44999999999993</v>
      </c>
      <c r="BC67" s="340">
        <f t="shared" si="180"/>
        <v>530.44999999999993</v>
      </c>
      <c r="BD67" s="340">
        <f t="shared" si="180"/>
        <v>530.44999999999993</v>
      </c>
      <c r="BE67" s="340">
        <f t="shared" si="180"/>
        <v>530.44999999999993</v>
      </c>
      <c r="BF67" s="562">
        <f t="shared" si="180"/>
        <v>530.44999999999993</v>
      </c>
      <c r="BG67" s="340">
        <f t="shared" ref="BG67:BR67" si="181">$W$67*(1+$G$67)^3</f>
        <v>546.36350000000004</v>
      </c>
      <c r="BH67" s="340">
        <f t="shared" si="181"/>
        <v>546.36350000000004</v>
      </c>
      <c r="BI67" s="340">
        <f t="shared" si="181"/>
        <v>546.36350000000004</v>
      </c>
      <c r="BJ67" s="340">
        <f t="shared" si="181"/>
        <v>546.36350000000004</v>
      </c>
      <c r="BK67" s="340">
        <f t="shared" si="181"/>
        <v>546.36350000000004</v>
      </c>
      <c r="BL67" s="340">
        <f t="shared" si="181"/>
        <v>546.36350000000004</v>
      </c>
      <c r="BM67" s="340">
        <f t="shared" si="181"/>
        <v>546.36350000000004</v>
      </c>
      <c r="BN67" s="340">
        <f t="shared" si="181"/>
        <v>546.36350000000004</v>
      </c>
      <c r="BO67" s="340">
        <f t="shared" si="181"/>
        <v>546.36350000000004</v>
      </c>
      <c r="BP67" s="340">
        <f t="shared" si="181"/>
        <v>546.36350000000004</v>
      </c>
      <c r="BQ67" s="340">
        <f t="shared" si="181"/>
        <v>546.36350000000004</v>
      </c>
      <c r="BR67" s="562">
        <f t="shared" si="181"/>
        <v>546.36350000000004</v>
      </c>
      <c r="BS67" s="340">
        <f t="shared" ref="BS67:CD67" si="182">$W$67*(1+$G$67)^4</f>
        <v>562.75440499999991</v>
      </c>
      <c r="BT67" s="340">
        <f t="shared" si="182"/>
        <v>562.75440499999991</v>
      </c>
      <c r="BU67" s="340">
        <f t="shared" si="182"/>
        <v>562.75440499999991</v>
      </c>
      <c r="BV67" s="340">
        <f t="shared" si="182"/>
        <v>562.75440499999991</v>
      </c>
      <c r="BW67" s="340">
        <f t="shared" si="182"/>
        <v>562.75440499999991</v>
      </c>
      <c r="BX67" s="340">
        <f t="shared" si="182"/>
        <v>562.75440499999991</v>
      </c>
      <c r="BY67" s="340">
        <f t="shared" si="182"/>
        <v>562.75440499999991</v>
      </c>
      <c r="BZ67" s="340">
        <f t="shared" si="182"/>
        <v>562.75440499999991</v>
      </c>
      <c r="CA67" s="340">
        <f t="shared" si="182"/>
        <v>562.75440499999991</v>
      </c>
      <c r="CB67" s="340">
        <f t="shared" si="182"/>
        <v>562.75440499999991</v>
      </c>
      <c r="CC67" s="340">
        <f t="shared" si="182"/>
        <v>562.75440499999991</v>
      </c>
      <c r="CD67" s="562">
        <f t="shared" si="182"/>
        <v>562.75440499999991</v>
      </c>
      <c r="CE67" s="340">
        <f t="shared" ref="CE67:CP67" si="183">$W$67*(1+$G$67)^5</f>
        <v>579.63703714999997</v>
      </c>
      <c r="CF67" s="340">
        <f t="shared" si="183"/>
        <v>579.63703714999997</v>
      </c>
      <c r="CG67" s="340">
        <f t="shared" si="183"/>
        <v>579.63703714999997</v>
      </c>
      <c r="CH67" s="340">
        <f t="shared" si="183"/>
        <v>579.63703714999997</v>
      </c>
      <c r="CI67" s="340">
        <f t="shared" si="183"/>
        <v>579.63703714999997</v>
      </c>
      <c r="CJ67" s="340">
        <f t="shared" si="183"/>
        <v>579.63703714999997</v>
      </c>
      <c r="CK67" s="340">
        <f t="shared" si="183"/>
        <v>579.63703714999997</v>
      </c>
      <c r="CL67" s="340">
        <f t="shared" si="183"/>
        <v>579.63703714999997</v>
      </c>
      <c r="CM67" s="340">
        <f t="shared" si="183"/>
        <v>579.63703714999997</v>
      </c>
      <c r="CN67" s="340">
        <f t="shared" si="183"/>
        <v>579.63703714999997</v>
      </c>
      <c r="CO67" s="340">
        <f t="shared" si="183"/>
        <v>579.63703714999997</v>
      </c>
      <c r="CP67" s="562">
        <f t="shared" si="183"/>
        <v>579.63703714999997</v>
      </c>
      <c r="CQ67" s="340">
        <f t="shared" ref="CQ67:DB67" si="184">$W$67*(1+$G$67)^6</f>
        <v>597.02614826449997</v>
      </c>
      <c r="CR67" s="340">
        <f t="shared" si="184"/>
        <v>597.02614826449997</v>
      </c>
      <c r="CS67" s="340">
        <f t="shared" si="184"/>
        <v>597.02614826449997</v>
      </c>
      <c r="CT67" s="340">
        <f t="shared" si="184"/>
        <v>597.02614826449997</v>
      </c>
      <c r="CU67" s="340">
        <f t="shared" si="184"/>
        <v>597.02614826449997</v>
      </c>
      <c r="CV67" s="340">
        <f t="shared" si="184"/>
        <v>597.02614826449997</v>
      </c>
      <c r="CW67" s="340">
        <f t="shared" si="184"/>
        <v>597.02614826449997</v>
      </c>
      <c r="CX67" s="340">
        <f t="shared" si="184"/>
        <v>597.02614826449997</v>
      </c>
      <c r="CY67" s="340">
        <f t="shared" si="184"/>
        <v>597.02614826449997</v>
      </c>
      <c r="CZ67" s="340">
        <f t="shared" si="184"/>
        <v>597.02614826449997</v>
      </c>
      <c r="DA67" s="340">
        <f t="shared" si="184"/>
        <v>597.02614826449997</v>
      </c>
      <c r="DB67" s="562">
        <f t="shared" si="184"/>
        <v>597.02614826449997</v>
      </c>
      <c r="DC67" s="340">
        <f t="shared" ref="DC67:DN67" si="185">$W$67*(1+$G$67)^7</f>
        <v>614.93693271243501</v>
      </c>
      <c r="DD67" s="340">
        <f t="shared" si="185"/>
        <v>614.93693271243501</v>
      </c>
      <c r="DE67" s="340">
        <f t="shared" si="185"/>
        <v>614.93693271243501</v>
      </c>
      <c r="DF67" s="340">
        <f t="shared" si="185"/>
        <v>614.93693271243501</v>
      </c>
      <c r="DG67" s="340">
        <f t="shared" si="185"/>
        <v>614.93693271243501</v>
      </c>
      <c r="DH67" s="340">
        <f t="shared" si="185"/>
        <v>614.93693271243501</v>
      </c>
      <c r="DI67" s="340">
        <f t="shared" si="185"/>
        <v>614.93693271243501</v>
      </c>
      <c r="DJ67" s="340">
        <f t="shared" si="185"/>
        <v>614.93693271243501</v>
      </c>
      <c r="DK67" s="340">
        <f t="shared" si="185"/>
        <v>614.93693271243501</v>
      </c>
      <c r="DL67" s="340">
        <f t="shared" si="185"/>
        <v>614.93693271243501</v>
      </c>
      <c r="DM67" s="340">
        <f t="shared" si="185"/>
        <v>614.93693271243501</v>
      </c>
      <c r="DN67" s="340">
        <f t="shared" si="185"/>
        <v>614.93693271243501</v>
      </c>
      <c r="DP67" s="340">
        <f t="shared" si="70"/>
        <v>53354.01627752326</v>
      </c>
    </row>
    <row r="68" spans="3:120" x14ac:dyDescent="0.3">
      <c r="E68" s="331" t="str">
        <f>'Table 3.0'!E96</f>
        <v>Fire Prevention</v>
      </c>
      <c r="G68" s="936">
        <f>'Table 3.0'!G96</f>
        <v>0.03</v>
      </c>
      <c r="H68" s="323" t="s">
        <v>905</v>
      </c>
      <c r="V68" s="561"/>
      <c r="W68" s="925">
        <v>250</v>
      </c>
      <c r="X68" s="340">
        <f t="shared" si="150"/>
        <v>250</v>
      </c>
      <c r="Y68" s="340">
        <f t="shared" si="150"/>
        <v>250</v>
      </c>
      <c r="Z68" s="340">
        <f t="shared" si="150"/>
        <v>250</v>
      </c>
      <c r="AA68" s="340">
        <f t="shared" si="150"/>
        <v>250</v>
      </c>
      <c r="AB68" s="340">
        <f t="shared" si="150"/>
        <v>250</v>
      </c>
      <c r="AC68" s="340">
        <f t="shared" si="150"/>
        <v>250</v>
      </c>
      <c r="AD68" s="340">
        <f t="shared" si="150"/>
        <v>250</v>
      </c>
      <c r="AE68" s="340">
        <f t="shared" si="150"/>
        <v>250</v>
      </c>
      <c r="AF68" s="340">
        <f t="shared" si="150"/>
        <v>250</v>
      </c>
      <c r="AG68" s="340">
        <f t="shared" si="150"/>
        <v>250</v>
      </c>
      <c r="AH68" s="562">
        <f t="shared" si="150"/>
        <v>250</v>
      </c>
      <c r="AI68" s="340">
        <f t="shared" ref="AI68:AT68" si="186">$W$68*(1+$G$68)</f>
        <v>257.5</v>
      </c>
      <c r="AJ68" s="340">
        <f t="shared" si="186"/>
        <v>257.5</v>
      </c>
      <c r="AK68" s="340">
        <f t="shared" si="186"/>
        <v>257.5</v>
      </c>
      <c r="AL68" s="340">
        <f t="shared" si="186"/>
        <v>257.5</v>
      </c>
      <c r="AM68" s="340">
        <f t="shared" si="186"/>
        <v>257.5</v>
      </c>
      <c r="AN68" s="340">
        <f t="shared" si="186"/>
        <v>257.5</v>
      </c>
      <c r="AO68" s="340">
        <f t="shared" si="186"/>
        <v>257.5</v>
      </c>
      <c r="AP68" s="340">
        <f t="shared" si="186"/>
        <v>257.5</v>
      </c>
      <c r="AQ68" s="340">
        <f t="shared" si="186"/>
        <v>257.5</v>
      </c>
      <c r="AR68" s="340">
        <f t="shared" si="186"/>
        <v>257.5</v>
      </c>
      <c r="AS68" s="340">
        <f t="shared" si="186"/>
        <v>257.5</v>
      </c>
      <c r="AT68" s="562">
        <f t="shared" si="186"/>
        <v>257.5</v>
      </c>
      <c r="AU68" s="340">
        <f t="shared" ref="AU68:BF68" si="187">$W$68*(1+$G$68)^2</f>
        <v>265.22499999999997</v>
      </c>
      <c r="AV68" s="340">
        <f t="shared" si="187"/>
        <v>265.22499999999997</v>
      </c>
      <c r="AW68" s="340">
        <f t="shared" si="187"/>
        <v>265.22499999999997</v>
      </c>
      <c r="AX68" s="340">
        <f t="shared" si="187"/>
        <v>265.22499999999997</v>
      </c>
      <c r="AY68" s="340">
        <f t="shared" si="187"/>
        <v>265.22499999999997</v>
      </c>
      <c r="AZ68" s="340">
        <f t="shared" si="187"/>
        <v>265.22499999999997</v>
      </c>
      <c r="BA68" s="340">
        <f t="shared" si="187"/>
        <v>265.22499999999997</v>
      </c>
      <c r="BB68" s="340">
        <f t="shared" si="187"/>
        <v>265.22499999999997</v>
      </c>
      <c r="BC68" s="340">
        <f t="shared" si="187"/>
        <v>265.22499999999997</v>
      </c>
      <c r="BD68" s="340">
        <f t="shared" si="187"/>
        <v>265.22499999999997</v>
      </c>
      <c r="BE68" s="340">
        <f t="shared" si="187"/>
        <v>265.22499999999997</v>
      </c>
      <c r="BF68" s="562">
        <f t="shared" si="187"/>
        <v>265.22499999999997</v>
      </c>
      <c r="BG68" s="340">
        <f t="shared" ref="BG68:BR68" si="188">$W$68*(1+$G$68)^3</f>
        <v>273.18175000000002</v>
      </c>
      <c r="BH68" s="340">
        <f t="shared" si="188"/>
        <v>273.18175000000002</v>
      </c>
      <c r="BI68" s="340">
        <f t="shared" si="188"/>
        <v>273.18175000000002</v>
      </c>
      <c r="BJ68" s="340">
        <f t="shared" si="188"/>
        <v>273.18175000000002</v>
      </c>
      <c r="BK68" s="340">
        <f t="shared" si="188"/>
        <v>273.18175000000002</v>
      </c>
      <c r="BL68" s="340">
        <f t="shared" si="188"/>
        <v>273.18175000000002</v>
      </c>
      <c r="BM68" s="340">
        <f t="shared" si="188"/>
        <v>273.18175000000002</v>
      </c>
      <c r="BN68" s="340">
        <f t="shared" si="188"/>
        <v>273.18175000000002</v>
      </c>
      <c r="BO68" s="340">
        <f t="shared" si="188"/>
        <v>273.18175000000002</v>
      </c>
      <c r="BP68" s="340">
        <f t="shared" si="188"/>
        <v>273.18175000000002</v>
      </c>
      <c r="BQ68" s="340">
        <f t="shared" si="188"/>
        <v>273.18175000000002</v>
      </c>
      <c r="BR68" s="562">
        <f t="shared" si="188"/>
        <v>273.18175000000002</v>
      </c>
      <c r="BS68" s="340">
        <f t="shared" ref="BS68:CD68" si="189">$W$68*(1+$G$68)^4</f>
        <v>281.37720249999995</v>
      </c>
      <c r="BT68" s="340">
        <f t="shared" si="189"/>
        <v>281.37720249999995</v>
      </c>
      <c r="BU68" s="340">
        <f t="shared" si="189"/>
        <v>281.37720249999995</v>
      </c>
      <c r="BV68" s="340">
        <f t="shared" si="189"/>
        <v>281.37720249999995</v>
      </c>
      <c r="BW68" s="340">
        <f t="shared" si="189"/>
        <v>281.37720249999995</v>
      </c>
      <c r="BX68" s="340">
        <f t="shared" si="189"/>
        <v>281.37720249999995</v>
      </c>
      <c r="BY68" s="340">
        <f t="shared" si="189"/>
        <v>281.37720249999995</v>
      </c>
      <c r="BZ68" s="340">
        <f t="shared" si="189"/>
        <v>281.37720249999995</v>
      </c>
      <c r="CA68" s="340">
        <f t="shared" si="189"/>
        <v>281.37720249999995</v>
      </c>
      <c r="CB68" s="340">
        <f t="shared" si="189"/>
        <v>281.37720249999995</v>
      </c>
      <c r="CC68" s="340">
        <f t="shared" si="189"/>
        <v>281.37720249999995</v>
      </c>
      <c r="CD68" s="562">
        <f t="shared" si="189"/>
        <v>281.37720249999995</v>
      </c>
      <c r="CE68" s="340">
        <f t="shared" ref="CE68:CP68" si="190">$W$68*(1+$G$68)^5</f>
        <v>289.81851857499998</v>
      </c>
      <c r="CF68" s="340">
        <f t="shared" si="190"/>
        <v>289.81851857499998</v>
      </c>
      <c r="CG68" s="340">
        <f t="shared" si="190"/>
        <v>289.81851857499998</v>
      </c>
      <c r="CH68" s="340">
        <f t="shared" si="190"/>
        <v>289.81851857499998</v>
      </c>
      <c r="CI68" s="340">
        <f t="shared" si="190"/>
        <v>289.81851857499998</v>
      </c>
      <c r="CJ68" s="340">
        <f t="shared" si="190"/>
        <v>289.81851857499998</v>
      </c>
      <c r="CK68" s="340">
        <f t="shared" si="190"/>
        <v>289.81851857499998</v>
      </c>
      <c r="CL68" s="340">
        <f t="shared" si="190"/>
        <v>289.81851857499998</v>
      </c>
      <c r="CM68" s="340">
        <f t="shared" si="190"/>
        <v>289.81851857499998</v>
      </c>
      <c r="CN68" s="340">
        <f t="shared" si="190"/>
        <v>289.81851857499998</v>
      </c>
      <c r="CO68" s="340">
        <f t="shared" si="190"/>
        <v>289.81851857499998</v>
      </c>
      <c r="CP68" s="562">
        <f t="shared" si="190"/>
        <v>289.81851857499998</v>
      </c>
      <c r="CQ68" s="340">
        <f t="shared" ref="CQ68:DB68" si="191">$W$68*(1+$G$68)^6</f>
        <v>298.51307413224998</v>
      </c>
      <c r="CR68" s="340">
        <f t="shared" si="191"/>
        <v>298.51307413224998</v>
      </c>
      <c r="CS68" s="340">
        <f t="shared" si="191"/>
        <v>298.51307413224998</v>
      </c>
      <c r="CT68" s="340">
        <f t="shared" si="191"/>
        <v>298.51307413224998</v>
      </c>
      <c r="CU68" s="340">
        <f t="shared" si="191"/>
        <v>298.51307413224998</v>
      </c>
      <c r="CV68" s="340">
        <f t="shared" si="191"/>
        <v>298.51307413224998</v>
      </c>
      <c r="CW68" s="340">
        <f t="shared" si="191"/>
        <v>298.51307413224998</v>
      </c>
      <c r="CX68" s="340">
        <f t="shared" si="191"/>
        <v>298.51307413224998</v>
      </c>
      <c r="CY68" s="340">
        <f t="shared" si="191"/>
        <v>298.51307413224998</v>
      </c>
      <c r="CZ68" s="340">
        <f t="shared" si="191"/>
        <v>298.51307413224998</v>
      </c>
      <c r="DA68" s="340">
        <f t="shared" si="191"/>
        <v>298.51307413224998</v>
      </c>
      <c r="DB68" s="562">
        <f t="shared" si="191"/>
        <v>298.51307413224998</v>
      </c>
      <c r="DC68" s="340">
        <f t="shared" ref="DC68:DN68" si="192">$W$68*(1+$G$68)^7</f>
        <v>307.4684663562175</v>
      </c>
      <c r="DD68" s="340">
        <f t="shared" si="192"/>
        <v>307.4684663562175</v>
      </c>
      <c r="DE68" s="340">
        <f t="shared" si="192"/>
        <v>307.4684663562175</v>
      </c>
      <c r="DF68" s="340">
        <f t="shared" si="192"/>
        <v>307.4684663562175</v>
      </c>
      <c r="DG68" s="340">
        <f t="shared" si="192"/>
        <v>307.4684663562175</v>
      </c>
      <c r="DH68" s="340">
        <f t="shared" si="192"/>
        <v>307.4684663562175</v>
      </c>
      <c r="DI68" s="340">
        <f t="shared" si="192"/>
        <v>307.4684663562175</v>
      </c>
      <c r="DJ68" s="340">
        <f t="shared" si="192"/>
        <v>307.4684663562175</v>
      </c>
      <c r="DK68" s="340">
        <f t="shared" si="192"/>
        <v>307.4684663562175</v>
      </c>
      <c r="DL68" s="340">
        <f t="shared" si="192"/>
        <v>307.4684663562175</v>
      </c>
      <c r="DM68" s="340">
        <f t="shared" si="192"/>
        <v>307.4684663562175</v>
      </c>
      <c r="DN68" s="340">
        <f t="shared" si="192"/>
        <v>307.4684663562175</v>
      </c>
      <c r="DP68" s="340">
        <f t="shared" si="70"/>
        <v>26677.00813876163</v>
      </c>
    </row>
    <row r="69" spans="3:120" x14ac:dyDescent="0.3">
      <c r="E69" s="331" t="str">
        <f>'Table 3.0'!E97</f>
        <v>Waste Disposal</v>
      </c>
      <c r="G69" s="936">
        <f>'Table 3.0'!G97</f>
        <v>0.03</v>
      </c>
      <c r="H69" s="323" t="s">
        <v>905</v>
      </c>
      <c r="V69" s="561"/>
      <c r="W69" s="925">
        <v>250</v>
      </c>
      <c r="X69" s="340">
        <f t="shared" si="150"/>
        <v>250</v>
      </c>
      <c r="Y69" s="340">
        <f t="shared" si="150"/>
        <v>250</v>
      </c>
      <c r="Z69" s="340">
        <f t="shared" si="150"/>
        <v>250</v>
      </c>
      <c r="AA69" s="340">
        <f t="shared" si="150"/>
        <v>250</v>
      </c>
      <c r="AB69" s="340">
        <f t="shared" si="150"/>
        <v>250</v>
      </c>
      <c r="AC69" s="340">
        <f t="shared" si="150"/>
        <v>250</v>
      </c>
      <c r="AD69" s="340">
        <f t="shared" si="150"/>
        <v>250</v>
      </c>
      <c r="AE69" s="340">
        <f t="shared" si="150"/>
        <v>250</v>
      </c>
      <c r="AF69" s="340">
        <f t="shared" si="150"/>
        <v>250</v>
      </c>
      <c r="AG69" s="340">
        <f t="shared" si="150"/>
        <v>250</v>
      </c>
      <c r="AH69" s="562">
        <f t="shared" si="150"/>
        <v>250</v>
      </c>
      <c r="AI69" s="340">
        <f t="shared" ref="AI69:AT69" si="193">$W$69*(1+$G$69)</f>
        <v>257.5</v>
      </c>
      <c r="AJ69" s="340">
        <f t="shared" si="193"/>
        <v>257.5</v>
      </c>
      <c r="AK69" s="340">
        <f t="shared" si="193"/>
        <v>257.5</v>
      </c>
      <c r="AL69" s="340">
        <f t="shared" si="193"/>
        <v>257.5</v>
      </c>
      <c r="AM69" s="340">
        <f t="shared" si="193"/>
        <v>257.5</v>
      </c>
      <c r="AN69" s="340">
        <f t="shared" si="193"/>
        <v>257.5</v>
      </c>
      <c r="AO69" s="340">
        <f t="shared" si="193"/>
        <v>257.5</v>
      </c>
      <c r="AP69" s="340">
        <f t="shared" si="193"/>
        <v>257.5</v>
      </c>
      <c r="AQ69" s="340">
        <f t="shared" si="193"/>
        <v>257.5</v>
      </c>
      <c r="AR69" s="340">
        <f t="shared" si="193"/>
        <v>257.5</v>
      </c>
      <c r="AS69" s="340">
        <f t="shared" si="193"/>
        <v>257.5</v>
      </c>
      <c r="AT69" s="562">
        <f t="shared" si="193"/>
        <v>257.5</v>
      </c>
      <c r="AU69" s="340">
        <f t="shared" ref="AU69:BF69" si="194">$W$69*(1+$G$69)^2</f>
        <v>265.22499999999997</v>
      </c>
      <c r="AV69" s="340">
        <f t="shared" si="194"/>
        <v>265.22499999999997</v>
      </c>
      <c r="AW69" s="340">
        <f t="shared" si="194"/>
        <v>265.22499999999997</v>
      </c>
      <c r="AX69" s="340">
        <f t="shared" si="194"/>
        <v>265.22499999999997</v>
      </c>
      <c r="AY69" s="340">
        <f t="shared" si="194"/>
        <v>265.22499999999997</v>
      </c>
      <c r="AZ69" s="340">
        <f t="shared" si="194"/>
        <v>265.22499999999997</v>
      </c>
      <c r="BA69" s="340">
        <f t="shared" si="194"/>
        <v>265.22499999999997</v>
      </c>
      <c r="BB69" s="340">
        <f t="shared" si="194"/>
        <v>265.22499999999997</v>
      </c>
      <c r="BC69" s="340">
        <f t="shared" si="194"/>
        <v>265.22499999999997</v>
      </c>
      <c r="BD69" s="340">
        <f t="shared" si="194"/>
        <v>265.22499999999997</v>
      </c>
      <c r="BE69" s="340">
        <f t="shared" si="194"/>
        <v>265.22499999999997</v>
      </c>
      <c r="BF69" s="562">
        <f t="shared" si="194"/>
        <v>265.22499999999997</v>
      </c>
      <c r="BG69" s="340">
        <f t="shared" ref="BG69:BR69" si="195">$W$69*(1+$G$69)^3</f>
        <v>273.18175000000002</v>
      </c>
      <c r="BH69" s="340">
        <f t="shared" si="195"/>
        <v>273.18175000000002</v>
      </c>
      <c r="BI69" s="340">
        <f t="shared" si="195"/>
        <v>273.18175000000002</v>
      </c>
      <c r="BJ69" s="340">
        <f t="shared" si="195"/>
        <v>273.18175000000002</v>
      </c>
      <c r="BK69" s="340">
        <f t="shared" si="195"/>
        <v>273.18175000000002</v>
      </c>
      <c r="BL69" s="340">
        <f t="shared" si="195"/>
        <v>273.18175000000002</v>
      </c>
      <c r="BM69" s="340">
        <f t="shared" si="195"/>
        <v>273.18175000000002</v>
      </c>
      <c r="BN69" s="340">
        <f t="shared" si="195"/>
        <v>273.18175000000002</v>
      </c>
      <c r="BO69" s="340">
        <f t="shared" si="195"/>
        <v>273.18175000000002</v>
      </c>
      <c r="BP69" s="340">
        <f t="shared" si="195"/>
        <v>273.18175000000002</v>
      </c>
      <c r="BQ69" s="340">
        <f t="shared" si="195"/>
        <v>273.18175000000002</v>
      </c>
      <c r="BR69" s="562">
        <f t="shared" si="195"/>
        <v>273.18175000000002</v>
      </c>
      <c r="BS69" s="340">
        <f t="shared" ref="BS69:CD69" si="196">$W$69*(1+$G$69)^4</f>
        <v>281.37720249999995</v>
      </c>
      <c r="BT69" s="340">
        <f t="shared" si="196"/>
        <v>281.37720249999995</v>
      </c>
      <c r="BU69" s="340">
        <f t="shared" si="196"/>
        <v>281.37720249999995</v>
      </c>
      <c r="BV69" s="340">
        <f t="shared" si="196"/>
        <v>281.37720249999995</v>
      </c>
      <c r="BW69" s="340">
        <f t="shared" si="196"/>
        <v>281.37720249999995</v>
      </c>
      <c r="BX69" s="340">
        <f t="shared" si="196"/>
        <v>281.37720249999995</v>
      </c>
      <c r="BY69" s="340">
        <f t="shared" si="196"/>
        <v>281.37720249999995</v>
      </c>
      <c r="BZ69" s="340">
        <f t="shared" si="196"/>
        <v>281.37720249999995</v>
      </c>
      <c r="CA69" s="340">
        <f t="shared" si="196"/>
        <v>281.37720249999995</v>
      </c>
      <c r="CB69" s="340">
        <f t="shared" si="196"/>
        <v>281.37720249999995</v>
      </c>
      <c r="CC69" s="340">
        <f t="shared" si="196"/>
        <v>281.37720249999995</v>
      </c>
      <c r="CD69" s="562">
        <f t="shared" si="196"/>
        <v>281.37720249999995</v>
      </c>
      <c r="CE69" s="340">
        <f t="shared" ref="CE69:CP69" si="197">$W$69*(1+$G$69)^5</f>
        <v>289.81851857499998</v>
      </c>
      <c r="CF69" s="340">
        <f t="shared" si="197"/>
        <v>289.81851857499998</v>
      </c>
      <c r="CG69" s="340">
        <f t="shared" si="197"/>
        <v>289.81851857499998</v>
      </c>
      <c r="CH69" s="340">
        <f t="shared" si="197"/>
        <v>289.81851857499998</v>
      </c>
      <c r="CI69" s="340">
        <f t="shared" si="197"/>
        <v>289.81851857499998</v>
      </c>
      <c r="CJ69" s="340">
        <f t="shared" si="197"/>
        <v>289.81851857499998</v>
      </c>
      <c r="CK69" s="340">
        <f t="shared" si="197"/>
        <v>289.81851857499998</v>
      </c>
      <c r="CL69" s="340">
        <f t="shared" si="197"/>
        <v>289.81851857499998</v>
      </c>
      <c r="CM69" s="340">
        <f t="shared" si="197"/>
        <v>289.81851857499998</v>
      </c>
      <c r="CN69" s="340">
        <f t="shared" si="197"/>
        <v>289.81851857499998</v>
      </c>
      <c r="CO69" s="340">
        <f t="shared" si="197"/>
        <v>289.81851857499998</v>
      </c>
      <c r="CP69" s="562">
        <f t="shared" si="197"/>
        <v>289.81851857499998</v>
      </c>
      <c r="CQ69" s="340">
        <f t="shared" ref="CQ69:DB69" si="198">$W$69*(1+$G$69)^6</f>
        <v>298.51307413224998</v>
      </c>
      <c r="CR69" s="340">
        <f t="shared" si="198"/>
        <v>298.51307413224998</v>
      </c>
      <c r="CS69" s="340">
        <f t="shared" si="198"/>
        <v>298.51307413224998</v>
      </c>
      <c r="CT69" s="340">
        <f t="shared" si="198"/>
        <v>298.51307413224998</v>
      </c>
      <c r="CU69" s="340">
        <f t="shared" si="198"/>
        <v>298.51307413224998</v>
      </c>
      <c r="CV69" s="340">
        <f t="shared" si="198"/>
        <v>298.51307413224998</v>
      </c>
      <c r="CW69" s="340">
        <f t="shared" si="198"/>
        <v>298.51307413224998</v>
      </c>
      <c r="CX69" s="340">
        <f t="shared" si="198"/>
        <v>298.51307413224998</v>
      </c>
      <c r="CY69" s="340">
        <f t="shared" si="198"/>
        <v>298.51307413224998</v>
      </c>
      <c r="CZ69" s="340">
        <f t="shared" si="198"/>
        <v>298.51307413224998</v>
      </c>
      <c r="DA69" s="340">
        <f t="shared" si="198"/>
        <v>298.51307413224998</v>
      </c>
      <c r="DB69" s="562">
        <f t="shared" si="198"/>
        <v>298.51307413224998</v>
      </c>
      <c r="DC69" s="340">
        <f t="shared" ref="DC69:DN69" si="199">$W$69*(1+$G$69)^7</f>
        <v>307.4684663562175</v>
      </c>
      <c r="DD69" s="340">
        <f t="shared" si="199"/>
        <v>307.4684663562175</v>
      </c>
      <c r="DE69" s="340">
        <f t="shared" si="199"/>
        <v>307.4684663562175</v>
      </c>
      <c r="DF69" s="340">
        <f t="shared" si="199"/>
        <v>307.4684663562175</v>
      </c>
      <c r="DG69" s="340">
        <f t="shared" si="199"/>
        <v>307.4684663562175</v>
      </c>
      <c r="DH69" s="340">
        <f t="shared" si="199"/>
        <v>307.4684663562175</v>
      </c>
      <c r="DI69" s="340">
        <f t="shared" si="199"/>
        <v>307.4684663562175</v>
      </c>
      <c r="DJ69" s="340">
        <f t="shared" si="199"/>
        <v>307.4684663562175</v>
      </c>
      <c r="DK69" s="340">
        <f t="shared" si="199"/>
        <v>307.4684663562175</v>
      </c>
      <c r="DL69" s="340">
        <f t="shared" si="199"/>
        <v>307.4684663562175</v>
      </c>
      <c r="DM69" s="340">
        <f t="shared" si="199"/>
        <v>307.4684663562175</v>
      </c>
      <c r="DN69" s="340">
        <f t="shared" si="199"/>
        <v>307.4684663562175</v>
      </c>
      <c r="DP69" s="340">
        <f t="shared" si="70"/>
        <v>26677.00813876163</v>
      </c>
    </row>
    <row r="70" spans="3:120" x14ac:dyDescent="0.3">
      <c r="D70" s="331" t="str">
        <f>'Table 3.0'!D98</f>
        <v>Property Taxes</v>
      </c>
      <c r="G70" s="936">
        <f>'Table 3.0'!G98</f>
        <v>0.12</v>
      </c>
      <c r="H70" s="323" t="s">
        <v>905</v>
      </c>
      <c r="T70" s="925">
        <v>40000</v>
      </c>
      <c r="V70" s="561"/>
      <c r="W70" s="925">
        <v>0</v>
      </c>
      <c r="X70" s="340">
        <f>W70</f>
        <v>0</v>
      </c>
      <c r="Y70" s="340">
        <f t="shared" ref="Y70:AD70" si="200">X70</f>
        <v>0</v>
      </c>
      <c r="Z70" s="340">
        <f t="shared" si="200"/>
        <v>0</v>
      </c>
      <c r="AA70" s="340">
        <f t="shared" si="200"/>
        <v>0</v>
      </c>
      <c r="AB70" s="340">
        <f t="shared" si="200"/>
        <v>0</v>
      </c>
      <c r="AC70" s="340">
        <f t="shared" si="200"/>
        <v>0</v>
      </c>
      <c r="AD70" s="340">
        <f t="shared" si="200"/>
        <v>0</v>
      </c>
      <c r="AE70" s="340">
        <f>T70*(1+$G$70)</f>
        <v>44800.000000000007</v>
      </c>
      <c r="AF70" s="925">
        <v>0</v>
      </c>
      <c r="AG70" s="340">
        <f>AF70</f>
        <v>0</v>
      </c>
      <c r="AH70" s="562">
        <f>AG70</f>
        <v>0</v>
      </c>
      <c r="AQ70" s="340">
        <f>AE70*(1+$G$70)</f>
        <v>50176.000000000015</v>
      </c>
      <c r="AT70" s="561"/>
      <c r="BC70" s="340">
        <f>AQ70*(1+$G$70)</f>
        <v>56197.120000000024</v>
      </c>
      <c r="BF70" s="561"/>
      <c r="BO70" s="340">
        <f>BC70*(1+$G$70)</f>
        <v>62940.774400000031</v>
      </c>
      <c r="BR70" s="561"/>
      <c r="CA70" s="340">
        <f>BO70*(1+$G$70)</f>
        <v>70493.66732800004</v>
      </c>
      <c r="CD70" s="561"/>
      <c r="CM70" s="340">
        <f>CA70*(1+$G$70)</f>
        <v>78952.90740736005</v>
      </c>
      <c r="CP70" s="561"/>
      <c r="CY70" s="340">
        <f>CM70*(1+$G$70)</f>
        <v>88427.256296243257</v>
      </c>
      <c r="DB70" s="561"/>
      <c r="DK70" s="340">
        <f>CY70*(1+$G$70)</f>
        <v>99038.527051792451</v>
      </c>
      <c r="DP70" s="340">
        <f t="shared" si="70"/>
        <v>591026.25248339586</v>
      </c>
    </row>
    <row r="71" spans="3:120" x14ac:dyDescent="0.3">
      <c r="D71" s="331" t="str">
        <f>'Table 3.0'!D99</f>
        <v>Insurance</v>
      </c>
      <c r="V71" s="561"/>
      <c r="W71" s="925"/>
      <c r="AH71" s="561"/>
      <c r="AT71" s="561"/>
      <c r="BF71" s="561"/>
      <c r="BR71" s="561"/>
      <c r="CD71" s="561"/>
      <c r="CP71" s="561"/>
      <c r="DB71" s="561"/>
      <c r="DP71" s="340"/>
    </row>
    <row r="72" spans="3:120" x14ac:dyDescent="0.3">
      <c r="E72" s="331" t="str">
        <f>'Table 3.0'!E100</f>
        <v>General Liability</v>
      </c>
      <c r="G72" s="936">
        <f>'Table 3.0'!G100</f>
        <v>0.1</v>
      </c>
      <c r="H72" s="323" t="s">
        <v>905</v>
      </c>
      <c r="T72" s="925">
        <v>5300</v>
      </c>
      <c r="V72" s="561"/>
      <c r="W72" s="925"/>
      <c r="AE72" s="340">
        <f>T72*(1+$G$72)</f>
        <v>5830.0000000000009</v>
      </c>
      <c r="AH72" s="561"/>
      <c r="AQ72" s="340">
        <f>AE72*(1+$G$72)</f>
        <v>6413.0000000000018</v>
      </c>
      <c r="AT72" s="561"/>
      <c r="BC72" s="340">
        <f>AQ72*(1+$G$72)</f>
        <v>7054.3000000000029</v>
      </c>
      <c r="BF72" s="561"/>
      <c r="BO72" s="340">
        <f>BC72*(1+$G$72)</f>
        <v>7759.7300000000041</v>
      </c>
      <c r="BR72" s="561"/>
      <c r="CA72" s="340">
        <f>BO72*(1+$G$72)</f>
        <v>8535.703000000005</v>
      </c>
      <c r="CD72" s="561"/>
      <c r="CM72" s="340">
        <f>CA72*(1+$G$72)</f>
        <v>9389.2733000000062</v>
      </c>
      <c r="CP72" s="561"/>
      <c r="CY72" s="340">
        <f>CM72*(1+$G$72)</f>
        <v>10328.200630000008</v>
      </c>
      <c r="DB72" s="561"/>
      <c r="DK72" s="340">
        <f>CY72*(1+$G$72)</f>
        <v>11361.020693000009</v>
      </c>
      <c r="DP72" s="340">
        <f t="shared" si="70"/>
        <v>71971.227623000028</v>
      </c>
    </row>
    <row r="73" spans="3:120" x14ac:dyDescent="0.3">
      <c r="E73" s="331" t="str">
        <f>'Table 3.0'!E101</f>
        <v>Builders Risk</v>
      </c>
      <c r="G73" s="936">
        <f>'Table 3.0'!G101</f>
        <v>0</v>
      </c>
      <c r="H73" s="323" t="s">
        <v>905</v>
      </c>
      <c r="T73" s="925">
        <v>3000</v>
      </c>
      <c r="V73" s="561"/>
      <c r="W73" s="925"/>
      <c r="AH73" s="561"/>
      <c r="AQ73" s="340"/>
      <c r="AT73" s="561"/>
      <c r="BC73" s="340"/>
      <c r="BF73" s="561"/>
      <c r="BO73" s="340"/>
      <c r="BR73" s="561"/>
      <c r="CA73" s="340"/>
      <c r="CD73" s="561"/>
      <c r="CM73" s="340"/>
      <c r="CP73" s="561"/>
      <c r="CY73" s="340"/>
      <c r="DB73" s="561"/>
      <c r="DK73" s="340"/>
      <c r="DP73" s="340">
        <f t="shared" si="70"/>
        <v>3000</v>
      </c>
    </row>
    <row r="74" spans="3:120" x14ac:dyDescent="0.3">
      <c r="C74" s="342"/>
      <c r="D74" s="342"/>
      <c r="E74" s="346" t="str">
        <f>'Table 3.0'!E102</f>
        <v>Other</v>
      </c>
      <c r="F74" s="342"/>
      <c r="G74" s="937">
        <f>'Table 3.0'!G102</f>
        <v>0</v>
      </c>
      <c r="H74" s="342" t="s">
        <v>905</v>
      </c>
      <c r="I74" s="342"/>
      <c r="J74" s="342"/>
      <c r="K74" s="342"/>
      <c r="L74" s="342"/>
      <c r="M74" s="342"/>
      <c r="N74" s="342"/>
      <c r="O74" s="342"/>
      <c r="P74" s="342"/>
      <c r="Q74" s="342"/>
      <c r="R74" s="342"/>
      <c r="S74" s="342"/>
      <c r="T74" s="682">
        <v>0</v>
      </c>
      <c r="U74" s="342"/>
      <c r="V74" s="892"/>
      <c r="W74" s="682"/>
      <c r="X74" s="342"/>
      <c r="Y74" s="342"/>
      <c r="Z74" s="342"/>
      <c r="AA74" s="342"/>
      <c r="AB74" s="342"/>
      <c r="AC74" s="342"/>
      <c r="AD74" s="342"/>
      <c r="AE74" s="344">
        <f>T74*(1+$G$74)</f>
        <v>0</v>
      </c>
      <c r="AF74" s="342"/>
      <c r="AG74" s="342"/>
      <c r="AH74" s="892"/>
      <c r="AI74" s="342"/>
      <c r="AJ74" s="342"/>
      <c r="AK74" s="342"/>
      <c r="AL74" s="342"/>
      <c r="AM74" s="342"/>
      <c r="AN74" s="342"/>
      <c r="AO74" s="342"/>
      <c r="AP74" s="342"/>
      <c r="AQ74" s="344">
        <f>AE74*(1+$G$72)</f>
        <v>0</v>
      </c>
      <c r="AR74" s="342"/>
      <c r="AS74" s="342"/>
      <c r="AT74" s="892"/>
      <c r="AU74" s="342"/>
      <c r="AV74" s="342"/>
      <c r="AW74" s="342"/>
      <c r="AX74" s="342"/>
      <c r="AY74" s="342"/>
      <c r="AZ74" s="342"/>
      <c r="BA74" s="342"/>
      <c r="BB74" s="342"/>
      <c r="BC74" s="344">
        <f>AQ74*(1+$G$72)</f>
        <v>0</v>
      </c>
      <c r="BD74" s="342"/>
      <c r="BE74" s="342"/>
      <c r="BF74" s="892"/>
      <c r="BG74" s="342"/>
      <c r="BH74" s="342"/>
      <c r="BI74" s="342"/>
      <c r="BJ74" s="342"/>
      <c r="BK74" s="342"/>
      <c r="BL74" s="342"/>
      <c r="BM74" s="342"/>
      <c r="BN74" s="342"/>
      <c r="BO74" s="344">
        <f>BC74*(1+$G$72)</f>
        <v>0</v>
      </c>
      <c r="BP74" s="342"/>
      <c r="BQ74" s="342"/>
      <c r="BR74" s="892"/>
      <c r="BS74" s="342"/>
      <c r="BT74" s="342"/>
      <c r="BU74" s="342"/>
      <c r="BV74" s="342"/>
      <c r="BW74" s="342"/>
      <c r="BX74" s="342"/>
      <c r="BY74" s="342"/>
      <c r="BZ74" s="342"/>
      <c r="CA74" s="344">
        <f>BO74*(1+$G$72)</f>
        <v>0</v>
      </c>
      <c r="CB74" s="342"/>
      <c r="CC74" s="342"/>
      <c r="CD74" s="892"/>
      <c r="CE74" s="342"/>
      <c r="CF74" s="342"/>
      <c r="CG74" s="342"/>
      <c r="CH74" s="342"/>
      <c r="CI74" s="342"/>
      <c r="CJ74" s="342"/>
      <c r="CK74" s="342"/>
      <c r="CL74" s="342"/>
      <c r="CM74" s="344">
        <f>CA74*(1+$G$72)</f>
        <v>0</v>
      </c>
      <c r="CN74" s="342"/>
      <c r="CO74" s="342"/>
      <c r="CP74" s="892"/>
      <c r="CQ74" s="342"/>
      <c r="CR74" s="342"/>
      <c r="CS74" s="342"/>
      <c r="CT74" s="342"/>
      <c r="CU74" s="342"/>
      <c r="CV74" s="342"/>
      <c r="CW74" s="342"/>
      <c r="CX74" s="342"/>
      <c r="CY74" s="344">
        <f>CM74*(1+$G$72)</f>
        <v>0</v>
      </c>
      <c r="CZ74" s="342"/>
      <c r="DA74" s="342"/>
      <c r="DB74" s="892"/>
      <c r="DC74" s="342"/>
      <c r="DD74" s="342"/>
      <c r="DE74" s="342"/>
      <c r="DF74" s="342"/>
      <c r="DG74" s="342"/>
      <c r="DH74" s="342"/>
      <c r="DI74" s="342"/>
      <c r="DJ74" s="342"/>
      <c r="DK74" s="344">
        <f>CY74*(1+$G$72)</f>
        <v>0</v>
      </c>
      <c r="DL74" s="342"/>
      <c r="DM74" s="342"/>
      <c r="DN74" s="342"/>
      <c r="DO74" s="342"/>
      <c r="DP74" s="344">
        <f t="shared" si="70"/>
        <v>0</v>
      </c>
    </row>
    <row r="75" spans="3:120" x14ac:dyDescent="0.3">
      <c r="D75" s="331" t="str">
        <f>'Table 3.0'!D103</f>
        <v>Total Undistributed Expenses</v>
      </c>
      <c r="K75" s="340">
        <f>SUM(K46:K74)</f>
        <v>0</v>
      </c>
      <c r="L75" s="340">
        <f t="shared" ref="L75:BW75" si="201">SUM(L46:L74)</f>
        <v>0</v>
      </c>
      <c r="M75" s="340">
        <f t="shared" si="201"/>
        <v>0</v>
      </c>
      <c r="N75" s="340">
        <f t="shared" si="201"/>
        <v>0</v>
      </c>
      <c r="O75" s="340">
        <f t="shared" si="201"/>
        <v>0</v>
      </c>
      <c r="P75" s="340">
        <f t="shared" si="201"/>
        <v>0</v>
      </c>
      <c r="Q75" s="340">
        <f t="shared" si="201"/>
        <v>0</v>
      </c>
      <c r="R75" s="340">
        <f t="shared" si="201"/>
        <v>0</v>
      </c>
      <c r="S75" s="340">
        <f t="shared" si="201"/>
        <v>0</v>
      </c>
      <c r="T75" s="340">
        <f t="shared" si="201"/>
        <v>53300</v>
      </c>
      <c r="U75" s="340">
        <f t="shared" si="201"/>
        <v>250</v>
      </c>
      <c r="V75" s="562">
        <f t="shared" si="201"/>
        <v>250</v>
      </c>
      <c r="W75" s="340">
        <f t="shared" si="201"/>
        <v>14008.165000000001</v>
      </c>
      <c r="X75" s="340">
        <f t="shared" si="201"/>
        <v>14080.105</v>
      </c>
      <c r="Y75" s="340">
        <f t="shared" si="201"/>
        <v>14185.645</v>
      </c>
      <c r="Z75" s="340">
        <f t="shared" si="201"/>
        <v>14185.645</v>
      </c>
      <c r="AA75" s="340">
        <f t="shared" si="201"/>
        <v>14124.475</v>
      </c>
      <c r="AB75" s="340">
        <f t="shared" si="201"/>
        <v>14096.904999999999</v>
      </c>
      <c r="AC75" s="340">
        <f t="shared" si="201"/>
        <v>13991.365</v>
      </c>
      <c r="AD75" s="340">
        <f t="shared" si="201"/>
        <v>13919.424999999999</v>
      </c>
      <c r="AE75" s="340">
        <f t="shared" si="201"/>
        <v>64460.685000000005</v>
      </c>
      <c r="AF75" s="340">
        <f t="shared" si="201"/>
        <v>13780.285</v>
      </c>
      <c r="AG75" s="340">
        <f t="shared" si="201"/>
        <v>13919.424999999999</v>
      </c>
      <c r="AH75" s="562">
        <f t="shared" si="201"/>
        <v>13946.994999999999</v>
      </c>
      <c r="AI75" s="340">
        <f t="shared" si="201"/>
        <v>14428.855</v>
      </c>
      <c r="AJ75" s="340">
        <f t="shared" si="201"/>
        <v>14503.405000000001</v>
      </c>
      <c r="AK75" s="340">
        <f t="shared" si="201"/>
        <v>14611.555</v>
      </c>
      <c r="AL75" s="340">
        <f t="shared" si="201"/>
        <v>14611.555</v>
      </c>
      <c r="AM75" s="340">
        <f t="shared" si="201"/>
        <v>14549.08</v>
      </c>
      <c r="AN75" s="340">
        <f t="shared" si="201"/>
        <v>14520.205</v>
      </c>
      <c r="AO75" s="340">
        <f t="shared" si="201"/>
        <v>14412.055</v>
      </c>
      <c r="AP75" s="340">
        <f t="shared" si="201"/>
        <v>14337.505000000001</v>
      </c>
      <c r="AQ75" s="340">
        <f t="shared" si="201"/>
        <v>70835.155000000013</v>
      </c>
      <c r="AR75" s="340">
        <f t="shared" si="201"/>
        <v>14195.755000000001</v>
      </c>
      <c r="AS75" s="340">
        <f t="shared" si="201"/>
        <v>14337.505000000001</v>
      </c>
      <c r="AT75" s="562">
        <f t="shared" si="201"/>
        <v>14366.380000000001</v>
      </c>
      <c r="AU75" s="340">
        <f t="shared" si="201"/>
        <v>14860.516000000001</v>
      </c>
      <c r="AV75" s="340">
        <f t="shared" si="201"/>
        <v>14937.676000000001</v>
      </c>
      <c r="AW75" s="340">
        <f t="shared" si="201"/>
        <v>15048.436000000002</v>
      </c>
      <c r="AX75" s="340">
        <f t="shared" si="201"/>
        <v>15048.436000000002</v>
      </c>
      <c r="AY75" s="340">
        <f t="shared" si="201"/>
        <v>14984.656000000001</v>
      </c>
      <c r="AZ75" s="340">
        <f t="shared" si="201"/>
        <v>14954.476000000002</v>
      </c>
      <c r="BA75" s="340">
        <f t="shared" si="201"/>
        <v>14843.716000000002</v>
      </c>
      <c r="BB75" s="340">
        <f t="shared" si="201"/>
        <v>14766.556000000002</v>
      </c>
      <c r="BC75" s="340">
        <f t="shared" si="201"/>
        <v>77924.016000000032</v>
      </c>
      <c r="BD75" s="340">
        <f t="shared" si="201"/>
        <v>14638.995999999999</v>
      </c>
      <c r="BE75" s="340">
        <f t="shared" si="201"/>
        <v>14766.556000000002</v>
      </c>
      <c r="BF75" s="562">
        <f t="shared" si="201"/>
        <v>14796.736000000001</v>
      </c>
      <c r="BG75" s="340">
        <f t="shared" si="201"/>
        <v>15303.477130000001</v>
      </c>
      <c r="BH75" s="340">
        <f t="shared" si="201"/>
        <v>15383.247130000002</v>
      </c>
      <c r="BI75" s="340">
        <f t="shared" si="201"/>
        <v>15496.617130000001</v>
      </c>
      <c r="BJ75" s="340">
        <f t="shared" si="201"/>
        <v>15496.617130000001</v>
      </c>
      <c r="BK75" s="340">
        <f t="shared" si="201"/>
        <v>15431.532130000001</v>
      </c>
      <c r="BL75" s="340">
        <f t="shared" si="201"/>
        <v>15400.047130000001</v>
      </c>
      <c r="BM75" s="340">
        <f t="shared" si="201"/>
        <v>15286.677130000002</v>
      </c>
      <c r="BN75" s="340">
        <f t="shared" si="201"/>
        <v>15206.907130000001</v>
      </c>
      <c r="BO75" s="340">
        <f t="shared" si="201"/>
        <v>85810.841530000049</v>
      </c>
      <c r="BP75" s="340">
        <f t="shared" si="201"/>
        <v>15059.93713</v>
      </c>
      <c r="BQ75" s="340">
        <f t="shared" si="201"/>
        <v>15206.907130000001</v>
      </c>
      <c r="BR75" s="562">
        <f t="shared" si="201"/>
        <v>15238.392129999998</v>
      </c>
      <c r="BS75" s="340">
        <f t="shared" si="201"/>
        <v>15758.077393899996</v>
      </c>
      <c r="BT75" s="340">
        <f t="shared" si="201"/>
        <v>15840.457393899997</v>
      </c>
      <c r="BU75" s="340">
        <f t="shared" si="201"/>
        <v>15956.437393899996</v>
      </c>
      <c r="BV75" s="340">
        <f t="shared" si="201"/>
        <v>15956.437393899996</v>
      </c>
      <c r="BW75" s="340">
        <f t="shared" si="201"/>
        <v>15890.047393899997</v>
      </c>
      <c r="BX75" s="340">
        <f t="shared" ref="BX75:DN75" si="202">SUM(BX46:BX74)</f>
        <v>15857.257393899996</v>
      </c>
      <c r="BY75" s="340">
        <f t="shared" si="202"/>
        <v>15741.277393899996</v>
      </c>
      <c r="BZ75" s="340">
        <f t="shared" si="202"/>
        <v>15658.897393899995</v>
      </c>
      <c r="CA75" s="340">
        <f t="shared" si="202"/>
        <v>94589.087721900039</v>
      </c>
      <c r="CB75" s="340">
        <f t="shared" si="202"/>
        <v>15509.317393899997</v>
      </c>
      <c r="CC75" s="340">
        <f t="shared" si="202"/>
        <v>15658.897393899995</v>
      </c>
      <c r="CD75" s="562">
        <f t="shared" si="202"/>
        <v>15691.687393899996</v>
      </c>
      <c r="CE75" s="340">
        <f t="shared" si="202"/>
        <v>16224.665965716998</v>
      </c>
      <c r="CF75" s="340">
        <f t="shared" si="202"/>
        <v>16309.655965716998</v>
      </c>
      <c r="CG75" s="340">
        <f t="shared" si="202"/>
        <v>16428.245965716997</v>
      </c>
      <c r="CH75" s="340">
        <f t="shared" si="202"/>
        <v>16428.245965716997</v>
      </c>
      <c r="CI75" s="340">
        <f t="shared" si="202"/>
        <v>16360.550965716999</v>
      </c>
      <c r="CJ75" s="340">
        <f t="shared" si="202"/>
        <v>16326.455965716998</v>
      </c>
      <c r="CK75" s="340">
        <f t="shared" si="202"/>
        <v>16207.865965716999</v>
      </c>
      <c r="CL75" s="340">
        <f t="shared" si="202"/>
        <v>16122.875965716998</v>
      </c>
      <c r="CM75" s="340">
        <f t="shared" si="202"/>
        <v>104363.26667307704</v>
      </c>
      <c r="CN75" s="340">
        <f t="shared" si="202"/>
        <v>15970.685965716999</v>
      </c>
      <c r="CO75" s="340">
        <f t="shared" si="202"/>
        <v>16122.875965716998</v>
      </c>
      <c r="CP75" s="562">
        <f t="shared" si="202"/>
        <v>16156.970965716999</v>
      </c>
      <c r="CQ75" s="340">
        <f t="shared" si="202"/>
        <v>16703.602494688508</v>
      </c>
      <c r="CR75" s="340">
        <f t="shared" si="202"/>
        <v>16791.202494688507</v>
      </c>
      <c r="CS75" s="340">
        <f t="shared" si="202"/>
        <v>16912.402494688507</v>
      </c>
      <c r="CT75" s="340">
        <f t="shared" si="202"/>
        <v>16912.402494688507</v>
      </c>
      <c r="CU75" s="340">
        <f t="shared" si="202"/>
        <v>16843.402494688507</v>
      </c>
      <c r="CV75" s="340">
        <f t="shared" si="202"/>
        <v>16808.00249468851</v>
      </c>
      <c r="CW75" s="340">
        <f t="shared" si="202"/>
        <v>16686.802494688509</v>
      </c>
      <c r="CX75" s="340">
        <f t="shared" si="202"/>
        <v>16599.202494688507</v>
      </c>
      <c r="CY75" s="340">
        <f t="shared" si="202"/>
        <v>115250.25942093178</v>
      </c>
      <c r="CZ75" s="340">
        <f t="shared" si="202"/>
        <v>16444.402494688507</v>
      </c>
      <c r="DA75" s="340">
        <f t="shared" si="202"/>
        <v>16599.202494688507</v>
      </c>
      <c r="DB75" s="562">
        <f t="shared" si="202"/>
        <v>16634.602494688508</v>
      </c>
      <c r="DC75" s="340">
        <f t="shared" si="202"/>
        <v>17195.257419529167</v>
      </c>
      <c r="DD75" s="340">
        <f t="shared" si="202"/>
        <v>17285.467419529166</v>
      </c>
      <c r="DE75" s="340">
        <f t="shared" si="202"/>
        <v>17409.277419529168</v>
      </c>
      <c r="DF75" s="340">
        <f t="shared" si="202"/>
        <v>17409.277419529168</v>
      </c>
      <c r="DG75" s="340">
        <f t="shared" si="202"/>
        <v>17338.972419529167</v>
      </c>
      <c r="DH75" s="340">
        <f t="shared" si="202"/>
        <v>17302.267419529169</v>
      </c>
      <c r="DI75" s="340">
        <f t="shared" si="202"/>
        <v>17178.457419529168</v>
      </c>
      <c r="DJ75" s="340">
        <f t="shared" si="202"/>
        <v>17088.247419529169</v>
      </c>
      <c r="DK75" s="340">
        <f t="shared" si="202"/>
        <v>127380.78516432163</v>
      </c>
      <c r="DL75" s="340">
        <f t="shared" si="202"/>
        <v>16930.837419529169</v>
      </c>
      <c r="DM75" s="340">
        <f t="shared" si="202"/>
        <v>17088.247419529169</v>
      </c>
      <c r="DN75" s="340">
        <f t="shared" si="202"/>
        <v>17124.952419529167</v>
      </c>
      <c r="DP75" s="340">
        <f t="shared" si="70"/>
        <v>2165147.8769524121</v>
      </c>
    </row>
    <row r="76" spans="3:120" ht="14.4" thickBot="1" x14ac:dyDescent="0.35">
      <c r="C76" s="327"/>
      <c r="D76" s="327"/>
      <c r="E76" s="327"/>
      <c r="F76" s="327"/>
      <c r="G76" s="327"/>
      <c r="H76" s="327"/>
      <c r="I76" s="327"/>
      <c r="J76" s="327"/>
      <c r="K76" s="327"/>
      <c r="L76" s="327"/>
      <c r="M76" s="327"/>
      <c r="N76" s="327"/>
      <c r="O76" s="327"/>
      <c r="P76" s="327"/>
      <c r="Q76" s="327"/>
      <c r="R76" s="327"/>
      <c r="S76" s="327"/>
      <c r="T76" s="327"/>
      <c r="U76" s="327"/>
      <c r="V76" s="895"/>
      <c r="W76" s="327"/>
      <c r="X76" s="327"/>
      <c r="Y76" s="327"/>
      <c r="Z76" s="327"/>
      <c r="AA76" s="327"/>
      <c r="AB76" s="327"/>
      <c r="AC76" s="327"/>
      <c r="AD76" s="327"/>
      <c r="AE76" s="327"/>
      <c r="AF76" s="327"/>
      <c r="AG76" s="327"/>
      <c r="AH76" s="895"/>
      <c r="AI76" s="327"/>
      <c r="AJ76" s="327"/>
      <c r="AK76" s="327"/>
      <c r="AL76" s="327"/>
      <c r="AM76" s="327"/>
      <c r="AN76" s="327"/>
      <c r="AO76" s="327"/>
      <c r="AP76" s="327"/>
      <c r="AQ76" s="327"/>
      <c r="AR76" s="327"/>
      <c r="AS76" s="327"/>
      <c r="AT76" s="895"/>
      <c r="AU76" s="327"/>
      <c r="AV76" s="327"/>
      <c r="AW76" s="327"/>
      <c r="AX76" s="327"/>
      <c r="AY76" s="327"/>
      <c r="AZ76" s="327"/>
      <c r="BA76" s="327"/>
      <c r="BB76" s="327"/>
      <c r="BC76" s="327"/>
      <c r="BD76" s="327"/>
      <c r="BE76" s="327"/>
      <c r="BF76" s="895"/>
      <c r="BG76" s="327"/>
      <c r="BH76" s="327"/>
      <c r="BI76" s="327"/>
      <c r="BJ76" s="327"/>
      <c r="BK76" s="327"/>
      <c r="BL76" s="327"/>
      <c r="BM76" s="327"/>
      <c r="BN76" s="327"/>
      <c r="BO76" s="327"/>
      <c r="BP76" s="327"/>
      <c r="BQ76" s="327"/>
      <c r="BR76" s="895"/>
      <c r="BS76" s="327"/>
      <c r="BT76" s="327"/>
      <c r="BU76" s="327"/>
      <c r="BV76" s="327"/>
      <c r="BW76" s="327"/>
      <c r="BX76" s="327"/>
      <c r="BY76" s="327"/>
      <c r="BZ76" s="327"/>
      <c r="CA76" s="327"/>
      <c r="CB76" s="327"/>
      <c r="CC76" s="327"/>
      <c r="CD76" s="895"/>
      <c r="CE76" s="327"/>
      <c r="CF76" s="327"/>
      <c r="CG76" s="327"/>
      <c r="CH76" s="327"/>
      <c r="CI76" s="327"/>
      <c r="CJ76" s="327"/>
      <c r="CK76" s="327"/>
      <c r="CL76" s="327"/>
      <c r="CM76" s="327"/>
      <c r="CN76" s="327"/>
      <c r="CO76" s="327"/>
      <c r="CP76" s="895"/>
      <c r="CQ76" s="327"/>
      <c r="CR76" s="327"/>
      <c r="CS76" s="327"/>
      <c r="CT76" s="327"/>
      <c r="CU76" s="327"/>
      <c r="CV76" s="327"/>
      <c r="CW76" s="327"/>
      <c r="CX76" s="327"/>
      <c r="CY76" s="327"/>
      <c r="CZ76" s="327"/>
      <c r="DA76" s="327"/>
      <c r="DB76" s="895"/>
      <c r="DC76" s="327"/>
      <c r="DD76" s="327"/>
      <c r="DE76" s="327"/>
      <c r="DF76" s="327"/>
      <c r="DG76" s="327"/>
      <c r="DH76" s="327"/>
      <c r="DI76" s="327"/>
      <c r="DJ76" s="327"/>
      <c r="DK76" s="327"/>
      <c r="DL76" s="327"/>
      <c r="DM76" s="327"/>
      <c r="DN76" s="327"/>
      <c r="DO76" s="327"/>
      <c r="DP76" s="327"/>
    </row>
    <row r="77" spans="3:120" x14ac:dyDescent="0.3">
      <c r="C77" s="331" t="str">
        <f>'Table 3.0'!C105</f>
        <v>TOTAL OPERATING EXPENSES</v>
      </c>
      <c r="K77" s="340">
        <f>K43+K75</f>
        <v>0</v>
      </c>
      <c r="L77" s="340">
        <f t="shared" ref="L77:BW77" si="203">L43+L75</f>
        <v>0</v>
      </c>
      <c r="M77" s="340">
        <f t="shared" si="203"/>
        <v>0</v>
      </c>
      <c r="N77" s="340">
        <f t="shared" si="203"/>
        <v>0</v>
      </c>
      <c r="O77" s="340">
        <f t="shared" si="203"/>
        <v>0</v>
      </c>
      <c r="P77" s="340">
        <f t="shared" si="203"/>
        <v>0</v>
      </c>
      <c r="Q77" s="340">
        <f t="shared" si="203"/>
        <v>0</v>
      </c>
      <c r="R77" s="340">
        <f t="shared" si="203"/>
        <v>0</v>
      </c>
      <c r="S77" s="340">
        <f t="shared" si="203"/>
        <v>0</v>
      </c>
      <c r="T77" s="340">
        <f t="shared" si="203"/>
        <v>53300</v>
      </c>
      <c r="U77" s="340">
        <f t="shared" si="203"/>
        <v>250</v>
      </c>
      <c r="V77" s="562">
        <f t="shared" si="203"/>
        <v>250</v>
      </c>
      <c r="W77" s="340">
        <f t="shared" si="203"/>
        <v>38524.831666666672</v>
      </c>
      <c r="X77" s="340">
        <f t="shared" si="203"/>
        <v>38596.771666666667</v>
      </c>
      <c r="Y77" s="340">
        <f t="shared" si="203"/>
        <v>38702.311666666676</v>
      </c>
      <c r="Z77" s="340">
        <f t="shared" si="203"/>
        <v>38702.311666666676</v>
      </c>
      <c r="AA77" s="340">
        <f t="shared" si="203"/>
        <v>38641.14166666667</v>
      </c>
      <c r="AB77" s="340">
        <f t="shared" si="203"/>
        <v>38613.57166666667</v>
      </c>
      <c r="AC77" s="340">
        <f t="shared" si="203"/>
        <v>38508.031666666669</v>
      </c>
      <c r="AD77" s="340">
        <f t="shared" si="203"/>
        <v>38436.091666666674</v>
      </c>
      <c r="AE77" s="340">
        <f t="shared" si="203"/>
        <v>88977.351666666684</v>
      </c>
      <c r="AF77" s="340">
        <f t="shared" si="203"/>
        <v>38296.951666666675</v>
      </c>
      <c r="AG77" s="340">
        <f t="shared" si="203"/>
        <v>38436.091666666674</v>
      </c>
      <c r="AH77" s="562">
        <f t="shared" si="203"/>
        <v>38463.661666666667</v>
      </c>
      <c r="AI77" s="340">
        <f t="shared" si="203"/>
        <v>39681.021666666667</v>
      </c>
      <c r="AJ77" s="340">
        <f t="shared" si="203"/>
        <v>39755.57166666667</v>
      </c>
      <c r="AK77" s="340">
        <f t="shared" si="203"/>
        <v>39863.721666666672</v>
      </c>
      <c r="AL77" s="340">
        <f t="shared" si="203"/>
        <v>39863.721666666672</v>
      </c>
      <c r="AM77" s="340">
        <f t="shared" si="203"/>
        <v>39801.246666666673</v>
      </c>
      <c r="AN77" s="340">
        <f t="shared" si="203"/>
        <v>39772.371666666673</v>
      </c>
      <c r="AO77" s="340">
        <f t="shared" si="203"/>
        <v>39664.221666666672</v>
      </c>
      <c r="AP77" s="340">
        <f t="shared" si="203"/>
        <v>39589.671666666676</v>
      </c>
      <c r="AQ77" s="340">
        <f t="shared" si="203"/>
        <v>96087.321666666685</v>
      </c>
      <c r="AR77" s="340">
        <f t="shared" si="203"/>
        <v>39447.921666666676</v>
      </c>
      <c r="AS77" s="340">
        <f t="shared" si="203"/>
        <v>39589.671666666676</v>
      </c>
      <c r="AT77" s="562">
        <f t="shared" si="203"/>
        <v>39618.546666666676</v>
      </c>
      <c r="AU77" s="340">
        <f t="shared" si="203"/>
        <v>40870.24766666667</v>
      </c>
      <c r="AV77" s="340">
        <f t="shared" si="203"/>
        <v>40947.407666666666</v>
      </c>
      <c r="AW77" s="340">
        <f t="shared" si="203"/>
        <v>41058.167666666668</v>
      </c>
      <c r="AX77" s="340">
        <f t="shared" si="203"/>
        <v>41058.167666666668</v>
      </c>
      <c r="AY77" s="340">
        <f t="shared" si="203"/>
        <v>40994.387666666669</v>
      </c>
      <c r="AZ77" s="340">
        <f t="shared" si="203"/>
        <v>40964.207666666669</v>
      </c>
      <c r="BA77" s="340">
        <f t="shared" si="203"/>
        <v>40853.447666666667</v>
      </c>
      <c r="BB77" s="340">
        <f t="shared" si="203"/>
        <v>40776.287666666671</v>
      </c>
      <c r="BC77" s="340">
        <f t="shared" si="203"/>
        <v>103933.74766666669</v>
      </c>
      <c r="BD77" s="340">
        <f t="shared" si="203"/>
        <v>40648.727666666666</v>
      </c>
      <c r="BE77" s="340">
        <f t="shared" si="203"/>
        <v>40776.287666666671</v>
      </c>
      <c r="BF77" s="562">
        <f t="shared" si="203"/>
        <v>40806.467666666664</v>
      </c>
      <c r="BG77" s="340">
        <f t="shared" si="203"/>
        <v>42093.500746666672</v>
      </c>
      <c r="BH77" s="340">
        <f t="shared" si="203"/>
        <v>42173.270746666669</v>
      </c>
      <c r="BI77" s="340">
        <f t="shared" si="203"/>
        <v>42286.640746666671</v>
      </c>
      <c r="BJ77" s="340">
        <f t="shared" si="203"/>
        <v>42286.640746666671</v>
      </c>
      <c r="BK77" s="340">
        <f t="shared" si="203"/>
        <v>42221.555746666672</v>
      </c>
      <c r="BL77" s="340">
        <f t="shared" si="203"/>
        <v>42190.070746666672</v>
      </c>
      <c r="BM77" s="340">
        <f t="shared" si="203"/>
        <v>42076.700746666669</v>
      </c>
      <c r="BN77" s="340">
        <f t="shared" si="203"/>
        <v>41996.930746666672</v>
      </c>
      <c r="BO77" s="340">
        <f t="shared" si="203"/>
        <v>112600.86514666672</v>
      </c>
      <c r="BP77" s="340">
        <f t="shared" si="203"/>
        <v>41849.960746666671</v>
      </c>
      <c r="BQ77" s="340">
        <f t="shared" si="203"/>
        <v>41996.930746666672</v>
      </c>
      <c r="BR77" s="562">
        <f t="shared" si="203"/>
        <v>42028.415746666666</v>
      </c>
      <c r="BS77" s="340">
        <f t="shared" si="203"/>
        <v>43351.801719066658</v>
      </c>
      <c r="BT77" s="340">
        <f t="shared" si="203"/>
        <v>43434.181719066662</v>
      </c>
      <c r="BU77" s="340">
        <f t="shared" si="203"/>
        <v>43550.161719066658</v>
      </c>
      <c r="BV77" s="340">
        <f t="shared" si="203"/>
        <v>43550.161719066658</v>
      </c>
      <c r="BW77" s="340">
        <f t="shared" si="203"/>
        <v>43483.771719066659</v>
      </c>
      <c r="BX77" s="340">
        <f t="shared" ref="BX77:DN77" si="204">BX43+BX75</f>
        <v>43450.981719066665</v>
      </c>
      <c r="BY77" s="340">
        <f t="shared" si="204"/>
        <v>43335.001719066662</v>
      </c>
      <c r="BZ77" s="340">
        <f t="shared" si="204"/>
        <v>43252.621719066665</v>
      </c>
      <c r="CA77" s="340">
        <f t="shared" si="204"/>
        <v>122182.81204706671</v>
      </c>
      <c r="CB77" s="340">
        <f t="shared" si="204"/>
        <v>43103.041719066663</v>
      </c>
      <c r="CC77" s="340">
        <f t="shared" si="204"/>
        <v>43252.621719066665</v>
      </c>
      <c r="CD77" s="562">
        <f t="shared" si="204"/>
        <v>43285.411719066658</v>
      </c>
      <c r="CE77" s="340">
        <f t="shared" si="204"/>
        <v>44646.202020638666</v>
      </c>
      <c r="CF77" s="340">
        <f t="shared" si="204"/>
        <v>44731.192020638671</v>
      </c>
      <c r="CG77" s="340">
        <f t="shared" si="204"/>
        <v>44849.782020638668</v>
      </c>
      <c r="CH77" s="340">
        <f t="shared" si="204"/>
        <v>44849.782020638668</v>
      </c>
      <c r="CI77" s="340">
        <f t="shared" si="204"/>
        <v>44782.087020638668</v>
      </c>
      <c r="CJ77" s="340">
        <f t="shared" si="204"/>
        <v>44747.992020638667</v>
      </c>
      <c r="CK77" s="340">
        <f t="shared" si="204"/>
        <v>44629.40202063867</v>
      </c>
      <c r="CL77" s="340">
        <f t="shared" si="204"/>
        <v>44544.412020638672</v>
      </c>
      <c r="CM77" s="340">
        <f t="shared" si="204"/>
        <v>132784.8027279987</v>
      </c>
      <c r="CN77" s="340">
        <f t="shared" si="204"/>
        <v>44392.22202063867</v>
      </c>
      <c r="CO77" s="340">
        <f t="shared" si="204"/>
        <v>44544.412020638672</v>
      </c>
      <c r="CP77" s="562">
        <f t="shared" si="204"/>
        <v>44578.507020638674</v>
      </c>
      <c r="CQ77" s="340">
        <f t="shared" si="204"/>
        <v>45977.784631257819</v>
      </c>
      <c r="CR77" s="340">
        <f t="shared" si="204"/>
        <v>46065.384631257824</v>
      </c>
      <c r="CS77" s="340">
        <f t="shared" si="204"/>
        <v>46186.584631257821</v>
      </c>
      <c r="CT77" s="340">
        <f t="shared" si="204"/>
        <v>46186.584631257821</v>
      </c>
      <c r="CU77" s="340">
        <f t="shared" si="204"/>
        <v>46117.584631257821</v>
      </c>
      <c r="CV77" s="340">
        <f t="shared" si="204"/>
        <v>46082.184631257827</v>
      </c>
      <c r="CW77" s="340">
        <f t="shared" si="204"/>
        <v>45960.984631257823</v>
      </c>
      <c r="CX77" s="340">
        <f t="shared" si="204"/>
        <v>45873.384631257824</v>
      </c>
      <c r="CY77" s="340">
        <f t="shared" si="204"/>
        <v>144524.44155750109</v>
      </c>
      <c r="CZ77" s="340">
        <f t="shared" si="204"/>
        <v>45718.584631257821</v>
      </c>
      <c r="DA77" s="340">
        <f t="shared" si="204"/>
        <v>45873.384631257824</v>
      </c>
      <c r="DB77" s="562">
        <f t="shared" si="204"/>
        <v>45908.784631257819</v>
      </c>
      <c r="DC77" s="340">
        <f t="shared" si="204"/>
        <v>47347.665020195564</v>
      </c>
      <c r="DD77" s="340">
        <f t="shared" si="204"/>
        <v>47437.875020195563</v>
      </c>
      <c r="DE77" s="340">
        <f t="shared" si="204"/>
        <v>47561.685020195568</v>
      </c>
      <c r="DF77" s="340">
        <f t="shared" si="204"/>
        <v>47561.685020195568</v>
      </c>
      <c r="DG77" s="340">
        <f t="shared" si="204"/>
        <v>47491.38002019556</v>
      </c>
      <c r="DH77" s="340">
        <f t="shared" si="204"/>
        <v>47454.675020195566</v>
      </c>
      <c r="DI77" s="340">
        <f t="shared" si="204"/>
        <v>47330.865020195561</v>
      </c>
      <c r="DJ77" s="340">
        <f t="shared" si="204"/>
        <v>47240.655020195569</v>
      </c>
      <c r="DK77" s="340">
        <f t="shared" si="204"/>
        <v>157533.19276498802</v>
      </c>
      <c r="DL77" s="340">
        <f t="shared" si="204"/>
        <v>47083.245020195565</v>
      </c>
      <c r="DM77" s="340">
        <f t="shared" si="204"/>
        <v>47240.655020195569</v>
      </c>
      <c r="DN77" s="340">
        <f t="shared" si="204"/>
        <v>47277.360020195563</v>
      </c>
      <c r="DP77" s="340"/>
    </row>
    <row r="78" spans="3:120" x14ac:dyDescent="0.3">
      <c r="V78" s="561"/>
      <c r="AH78" s="561"/>
      <c r="AT78" s="561"/>
      <c r="BF78" s="561"/>
      <c r="BR78" s="561"/>
      <c r="CD78" s="561"/>
      <c r="CP78" s="561"/>
      <c r="DB78" s="561"/>
      <c r="DP78" s="340"/>
    </row>
    <row r="79" spans="3:120" x14ac:dyDescent="0.3">
      <c r="C79" s="747" t="str">
        <f>'Table 3.0'!C107</f>
        <v>NET OPERATING INCOME (NOI)</v>
      </c>
      <c r="D79" s="747"/>
      <c r="E79" s="747"/>
      <c r="F79" s="747"/>
      <c r="G79" s="747"/>
      <c r="H79" s="747"/>
      <c r="I79" s="747"/>
      <c r="J79" s="748"/>
      <c r="K79" s="748">
        <f t="shared" ref="K79:AP79" si="205">K26-K77</f>
        <v>0</v>
      </c>
      <c r="L79" s="748">
        <f t="shared" si="205"/>
        <v>0</v>
      </c>
      <c r="M79" s="748">
        <f t="shared" si="205"/>
        <v>0</v>
      </c>
      <c r="N79" s="748">
        <f t="shared" si="205"/>
        <v>0</v>
      </c>
      <c r="O79" s="748">
        <f t="shared" si="205"/>
        <v>0</v>
      </c>
      <c r="P79" s="748">
        <f t="shared" si="205"/>
        <v>0</v>
      </c>
      <c r="Q79" s="748">
        <f t="shared" si="205"/>
        <v>0</v>
      </c>
      <c r="R79" s="748">
        <f t="shared" si="205"/>
        <v>0</v>
      </c>
      <c r="S79" s="748">
        <f t="shared" si="205"/>
        <v>0</v>
      </c>
      <c r="T79" s="748">
        <f t="shared" si="205"/>
        <v>-53300</v>
      </c>
      <c r="U79" s="748">
        <f t="shared" si="205"/>
        <v>-250</v>
      </c>
      <c r="V79" s="749">
        <f t="shared" si="205"/>
        <v>-250</v>
      </c>
      <c r="W79" s="748">
        <f t="shared" si="205"/>
        <v>22080.668333333328</v>
      </c>
      <c r="X79" s="748">
        <f t="shared" si="205"/>
        <v>24406.728333333333</v>
      </c>
      <c r="Y79" s="748">
        <f t="shared" si="205"/>
        <v>27819.188333333324</v>
      </c>
      <c r="Z79" s="748">
        <f t="shared" si="205"/>
        <v>27819.188333333324</v>
      </c>
      <c r="AA79" s="748">
        <f t="shared" si="205"/>
        <v>25841.35833333333</v>
      </c>
      <c r="AB79" s="748">
        <f t="shared" si="205"/>
        <v>24949.92833333333</v>
      </c>
      <c r="AC79" s="748">
        <f t="shared" si="205"/>
        <v>21537.468333333331</v>
      </c>
      <c r="AD79" s="748">
        <f t="shared" si="205"/>
        <v>19211.408333333326</v>
      </c>
      <c r="AE79" s="748">
        <f t="shared" si="205"/>
        <v>-34287.851666666684</v>
      </c>
      <c r="AF79" s="748">
        <f t="shared" si="205"/>
        <v>14712.548333333325</v>
      </c>
      <c r="AG79" s="748">
        <f t="shared" si="205"/>
        <v>19211.408333333326</v>
      </c>
      <c r="AH79" s="749">
        <f t="shared" si="205"/>
        <v>20102.838333333333</v>
      </c>
      <c r="AI79" s="748">
        <f t="shared" si="205"/>
        <v>22757.478333333333</v>
      </c>
      <c r="AJ79" s="748">
        <f t="shared" si="205"/>
        <v>25167.92833333333</v>
      </c>
      <c r="AK79" s="748">
        <f t="shared" si="205"/>
        <v>28664.778333333328</v>
      </c>
      <c r="AL79" s="748">
        <f t="shared" si="205"/>
        <v>28664.778333333328</v>
      </c>
      <c r="AM79" s="748">
        <f t="shared" si="205"/>
        <v>26644.753333333327</v>
      </c>
      <c r="AN79" s="748">
        <f t="shared" si="205"/>
        <v>25711.128333333327</v>
      </c>
      <c r="AO79" s="748">
        <f t="shared" si="205"/>
        <v>22214.278333333328</v>
      </c>
      <c r="AP79" s="748">
        <f t="shared" si="205"/>
        <v>19803.828333333324</v>
      </c>
      <c r="AQ79" s="748">
        <f t="shared" ref="AQ79:BV79" si="206">AQ26-AQ77</f>
        <v>-39738.821666666685</v>
      </c>
      <c r="AR79" s="748">
        <f t="shared" si="206"/>
        <v>15220.578333333324</v>
      </c>
      <c r="AS79" s="748">
        <f t="shared" si="206"/>
        <v>19803.828333333324</v>
      </c>
      <c r="AT79" s="749">
        <f t="shared" si="206"/>
        <v>20737.453333333324</v>
      </c>
      <c r="AU79" s="748">
        <f t="shared" si="206"/>
        <v>23401.25233333333</v>
      </c>
      <c r="AV79" s="748">
        <f t="shared" si="206"/>
        <v>25896.092333333334</v>
      </c>
      <c r="AW79" s="748">
        <f t="shared" si="206"/>
        <v>29477.332333333332</v>
      </c>
      <c r="AX79" s="748">
        <f t="shared" si="206"/>
        <v>29477.332333333332</v>
      </c>
      <c r="AY79" s="748">
        <f t="shared" si="206"/>
        <v>27415.112333333331</v>
      </c>
      <c r="AZ79" s="748">
        <f t="shared" si="206"/>
        <v>26439.292333333331</v>
      </c>
      <c r="BA79" s="748">
        <f t="shared" si="206"/>
        <v>22858.052333333333</v>
      </c>
      <c r="BB79" s="748">
        <f t="shared" si="206"/>
        <v>20363.212333333329</v>
      </c>
      <c r="BC79" s="748">
        <f t="shared" si="206"/>
        <v>-45926.247666666692</v>
      </c>
      <c r="BD79" s="748">
        <f t="shared" si="206"/>
        <v>16238.772333333334</v>
      </c>
      <c r="BE79" s="748">
        <f t="shared" si="206"/>
        <v>20363.212333333329</v>
      </c>
      <c r="BF79" s="749">
        <f t="shared" si="206"/>
        <v>21339.032333333336</v>
      </c>
      <c r="BG79" s="748">
        <f t="shared" si="206"/>
        <v>24010.999253333328</v>
      </c>
      <c r="BH79" s="748">
        <f t="shared" si="206"/>
        <v>26590.229253333331</v>
      </c>
      <c r="BI79" s="748">
        <f t="shared" si="206"/>
        <v>30255.859253333329</v>
      </c>
      <c r="BJ79" s="748">
        <f t="shared" si="206"/>
        <v>30255.859253333329</v>
      </c>
      <c r="BK79" s="748">
        <f t="shared" si="206"/>
        <v>28151.444253333328</v>
      </c>
      <c r="BL79" s="748">
        <f t="shared" si="206"/>
        <v>27133.429253333328</v>
      </c>
      <c r="BM79" s="748">
        <f t="shared" si="206"/>
        <v>23467.799253333331</v>
      </c>
      <c r="BN79" s="748">
        <f t="shared" si="206"/>
        <v>20888.569253333328</v>
      </c>
      <c r="BO79" s="748">
        <f t="shared" si="206"/>
        <v>-52934.365146666722</v>
      </c>
      <c r="BP79" s="748">
        <f t="shared" si="206"/>
        <v>16136.539253333329</v>
      </c>
      <c r="BQ79" s="748">
        <f t="shared" si="206"/>
        <v>20888.569253333328</v>
      </c>
      <c r="BR79" s="749">
        <f t="shared" si="206"/>
        <v>21906.584253333334</v>
      </c>
      <c r="BS79" s="748">
        <f t="shared" si="206"/>
        <v>24585.698280933342</v>
      </c>
      <c r="BT79" s="748">
        <f t="shared" si="206"/>
        <v>27249.318280933338</v>
      </c>
      <c r="BU79" s="748">
        <f t="shared" si="206"/>
        <v>30999.338280933342</v>
      </c>
      <c r="BV79" s="748">
        <f t="shared" si="206"/>
        <v>30999.338280933342</v>
      </c>
      <c r="BW79" s="748">
        <f t="shared" ref="BW79:DB79" si="207">BW26-BW77</f>
        <v>28852.728280933341</v>
      </c>
      <c r="BX79" s="748">
        <f t="shared" si="207"/>
        <v>27792.518280933335</v>
      </c>
      <c r="BY79" s="748">
        <f t="shared" si="207"/>
        <v>24042.498280933338</v>
      </c>
      <c r="BZ79" s="748">
        <f t="shared" si="207"/>
        <v>21378.878280933335</v>
      </c>
      <c r="CA79" s="748">
        <f t="shared" si="207"/>
        <v>-60857.312047066705</v>
      </c>
      <c r="CB79" s="748">
        <f t="shared" si="207"/>
        <v>16542.458280933337</v>
      </c>
      <c r="CC79" s="748">
        <f t="shared" si="207"/>
        <v>21378.878280933335</v>
      </c>
      <c r="CD79" s="749">
        <f t="shared" si="207"/>
        <v>22439.088280933342</v>
      </c>
      <c r="CE79" s="748">
        <f t="shared" si="207"/>
        <v>25124.297979361334</v>
      </c>
      <c r="CF79" s="748">
        <f t="shared" si="207"/>
        <v>27872.307979361329</v>
      </c>
      <c r="CG79" s="748">
        <f t="shared" si="207"/>
        <v>31706.717979361332</v>
      </c>
      <c r="CH79" s="748">
        <f t="shared" si="207"/>
        <v>31706.717979361332</v>
      </c>
      <c r="CI79" s="748">
        <f t="shared" si="207"/>
        <v>29517.912979361332</v>
      </c>
      <c r="CJ79" s="748">
        <f t="shared" si="207"/>
        <v>28415.507979361333</v>
      </c>
      <c r="CK79" s="748">
        <f t="shared" si="207"/>
        <v>24581.09797936133</v>
      </c>
      <c r="CL79" s="748">
        <f t="shared" si="207"/>
        <v>21833.087979361328</v>
      </c>
      <c r="CM79" s="748">
        <f t="shared" si="207"/>
        <v>-69800.3027279987</v>
      </c>
      <c r="CN79" s="748">
        <f t="shared" si="207"/>
        <v>16912.27797936133</v>
      </c>
      <c r="CO79" s="748">
        <f t="shared" si="207"/>
        <v>21833.087979361328</v>
      </c>
      <c r="CP79" s="749">
        <f t="shared" si="207"/>
        <v>22935.492979361326</v>
      </c>
      <c r="CQ79" s="748">
        <f t="shared" si="207"/>
        <v>25625.715368742181</v>
      </c>
      <c r="CR79" s="748">
        <f t="shared" si="207"/>
        <v>28458.115368742176</v>
      </c>
      <c r="CS79" s="748">
        <f t="shared" si="207"/>
        <v>32376.915368742179</v>
      </c>
      <c r="CT79" s="748">
        <f t="shared" si="207"/>
        <v>32376.915368742179</v>
      </c>
      <c r="CU79" s="748">
        <f t="shared" si="207"/>
        <v>30145.915368742179</v>
      </c>
      <c r="CV79" s="748">
        <f t="shared" si="207"/>
        <v>29001.315368742173</v>
      </c>
      <c r="CW79" s="748">
        <f t="shared" si="207"/>
        <v>25082.515368742177</v>
      </c>
      <c r="CX79" s="748">
        <f t="shared" si="207"/>
        <v>22250.115368742176</v>
      </c>
      <c r="CY79" s="748">
        <f t="shared" si="207"/>
        <v>-79880.941557501093</v>
      </c>
      <c r="CZ79" s="748">
        <f t="shared" si="207"/>
        <v>17244.915368742179</v>
      </c>
      <c r="DA79" s="748">
        <f t="shared" si="207"/>
        <v>22250.115368742176</v>
      </c>
      <c r="DB79" s="749">
        <f t="shared" si="207"/>
        <v>23394.715368742181</v>
      </c>
      <c r="DC79" s="748">
        <f t="shared" ref="DC79:DN79" si="208">DC26-DC77</f>
        <v>26088.834979804436</v>
      </c>
      <c r="DD79" s="748">
        <f t="shared" si="208"/>
        <v>29005.624979804437</v>
      </c>
      <c r="DE79" s="748">
        <f t="shared" si="208"/>
        <v>33008.814979804432</v>
      </c>
      <c r="DF79" s="748">
        <f t="shared" si="208"/>
        <v>33008.814979804432</v>
      </c>
      <c r="DG79" s="748">
        <f t="shared" si="208"/>
        <v>30735.61997980444</v>
      </c>
      <c r="DH79" s="748">
        <f t="shared" si="208"/>
        <v>29548.824979804434</v>
      </c>
      <c r="DI79" s="748">
        <f t="shared" si="208"/>
        <v>25545.634979804439</v>
      </c>
      <c r="DJ79" s="748">
        <f t="shared" si="208"/>
        <v>22628.844979804431</v>
      </c>
      <c r="DK79" s="748">
        <f t="shared" si="208"/>
        <v>-91230.692764988024</v>
      </c>
      <c r="DL79" s="748">
        <f t="shared" si="208"/>
        <v>17539.254979804435</v>
      </c>
      <c r="DM79" s="748">
        <f t="shared" si="208"/>
        <v>22628.844979804431</v>
      </c>
      <c r="DN79" s="748">
        <f t="shared" si="208"/>
        <v>23815.639979804437</v>
      </c>
      <c r="DO79" s="747"/>
      <c r="DP79" s="748">
        <f>SUM(J79:DJ79)</f>
        <v>1675289.8110652743</v>
      </c>
    </row>
    <row r="80" spans="3:120" x14ac:dyDescent="0.3">
      <c r="V80" s="561"/>
      <c r="AH80" s="561"/>
      <c r="AT80" s="561"/>
      <c r="BF80" s="561"/>
      <c r="BR80" s="561"/>
      <c r="CD80" s="561"/>
      <c r="CP80" s="561"/>
      <c r="DB80" s="561"/>
      <c r="DP80" s="340"/>
    </row>
    <row r="81" spans="3:120" x14ac:dyDescent="0.3">
      <c r="C81" s="331" t="str">
        <f>'Table 3.0'!C109</f>
        <v>NON-OPERATING EXPENSES</v>
      </c>
      <c r="V81" s="561"/>
      <c r="AH81" s="561"/>
      <c r="AT81" s="561"/>
      <c r="BF81" s="561"/>
      <c r="BR81" s="561"/>
      <c r="CD81" s="561"/>
      <c r="CP81" s="561"/>
      <c r="DB81" s="561"/>
      <c r="DP81" s="340"/>
    </row>
    <row r="82" spans="3:120" x14ac:dyDescent="0.3">
      <c r="D82" s="331" t="str">
        <f>'Table 3.0'!D110</f>
        <v>Debt Service - Interest</v>
      </c>
      <c r="V82" s="561"/>
      <c r="AH82" s="561"/>
      <c r="AT82" s="561"/>
      <c r="BF82" s="561"/>
      <c r="BR82" s="561"/>
      <c r="CD82" s="561"/>
      <c r="CP82" s="561"/>
      <c r="DB82" s="561"/>
      <c r="DP82" s="340"/>
    </row>
    <row r="83" spans="3:120" x14ac:dyDescent="0.3">
      <c r="E83" s="331" t="str">
        <f>'Table 3.0'!E111</f>
        <v>Acquisition Loan (Int. Rate)</v>
      </c>
      <c r="F83" s="331"/>
      <c r="G83" s="583">
        <f>'Table 3.0'!G111</f>
        <v>9.5000000000000001E-2</v>
      </c>
      <c r="J83" s="345"/>
      <c r="K83" s="345">
        <f>'Table 3.0'!$M$22/12*Balances!I8</f>
        <v>9302.0833333333339</v>
      </c>
      <c r="L83" s="345">
        <f>'Table 3.0'!$M$22/12*Balances!J8</f>
        <v>9302.0833333333339</v>
      </c>
      <c r="M83" s="345">
        <f>'Table 3.0'!$M$22/12*Balances!K8</f>
        <v>9302.0833333333339</v>
      </c>
      <c r="N83" s="345">
        <f>'Table 3.0'!$M$22/12*Balances!L8</f>
        <v>9302.0833333333339</v>
      </c>
      <c r="O83" s="345">
        <f>'Table 3.0'!$M$22/12*Balances!M8</f>
        <v>9302.0833333333339</v>
      </c>
      <c r="P83" s="345">
        <f>'Table 3.0'!$M$22/12*Balances!N8</f>
        <v>9302.0833333333339</v>
      </c>
      <c r="Q83" s="345">
        <f>'Table 3.0'!$M$22/12*Balances!O8</f>
        <v>9302.0833333333339</v>
      </c>
      <c r="R83" s="345">
        <f>'Table 3.0'!$M$22/12*Balances!P8</f>
        <v>9302.0833333333339</v>
      </c>
      <c r="S83" s="345">
        <f>'Table 3.0'!$M$22/12*Balances!Q8</f>
        <v>9302.0833333333339</v>
      </c>
      <c r="T83" s="345">
        <f>'Table 3.0'!$M$22/12*Balances!R8</f>
        <v>9302.0833333333339</v>
      </c>
      <c r="U83" s="345">
        <f>'Table 3.0'!$M$22/12*Balances!S8</f>
        <v>9302.0833333333339</v>
      </c>
      <c r="V83" s="566">
        <f>'Table 3.0'!$M$22/12*Balances!T8</f>
        <v>9302.0833333333339</v>
      </c>
      <c r="W83" s="345">
        <f>'Table 3.0'!$M$22/12*Balances!U8</f>
        <v>9302.0833333333339</v>
      </c>
      <c r="X83" s="345">
        <f>'Table 3.0'!$M$22/12*Balances!V8</f>
        <v>9302.0833333333339</v>
      </c>
      <c r="Y83" s="345">
        <f>'Table 3.0'!$M$22/12*Balances!W8</f>
        <v>9302.0833333333339</v>
      </c>
      <c r="Z83" s="345">
        <f>'Table 3.0'!$M$22/12*Balances!X8</f>
        <v>9302.0833333333339</v>
      </c>
      <c r="AA83" s="345">
        <f>'Table 3.0'!$M$22/12*Balances!Y8</f>
        <v>9302.0833333333339</v>
      </c>
      <c r="AB83" s="345">
        <f>'Table 3.0'!$M$22/12*Balances!Z8</f>
        <v>9302.0833333333339</v>
      </c>
      <c r="AC83" s="345">
        <f>'Table 3.0'!$M$22/12*Balances!AA8</f>
        <v>9302.0833333333339</v>
      </c>
      <c r="AD83" s="345">
        <f>'Table 3.0'!$M$22/12*Balances!AB8</f>
        <v>9302.0833333333339</v>
      </c>
      <c r="AE83" s="345">
        <f>'Table 3.0'!$M$22/12*Balances!AC8</f>
        <v>9302.0833333333339</v>
      </c>
      <c r="AF83" s="345">
        <f>'Table 3.0'!$M$22/12*Balances!AD8</f>
        <v>9302.0833333333339</v>
      </c>
      <c r="AG83" s="345">
        <f>'Table 3.0'!$M$22/12*Balances!AE8</f>
        <v>9302.0833333333339</v>
      </c>
      <c r="AH83" s="566">
        <f>'Table 3.0'!$M$22/12*Balances!AF8</f>
        <v>9302.0833333333339</v>
      </c>
      <c r="AI83" s="345">
        <f>'Table 3.0'!$M$22/12*Balances!AG8</f>
        <v>7645.5651335992607</v>
      </c>
      <c r="AJ83" s="345">
        <f>'Table 3.0'!$M$22/12*Balances!AH8</f>
        <v>7638.4198213831514</v>
      </c>
      <c r="AK83" s="345">
        <f>'Table 3.0'!$M$22/12*Balances!AI8</f>
        <v>7612.1352129453307</v>
      </c>
      <c r="AL83" s="345">
        <f>'Table 3.0'!$M$22/12*Balances!AJ8</f>
        <v>7557.9591221907112</v>
      </c>
      <c r="AM83" s="345">
        <f>'Table 3.0'!$M$22/12*Balances!AK8</f>
        <v>7503.3541373842836</v>
      </c>
      <c r="AN83" s="345">
        <f>'Table 3.0'!$M$22/12*Balances!AL8</f>
        <v>7464.3087276981387</v>
      </c>
      <c r="AO83" s="345">
        <f>'Table 3.0'!$M$22/12*Balances!AM8</f>
        <v>7432.3454064353127</v>
      </c>
      <c r="AP83" s="345">
        <f>'Table 3.0'!$M$22/12*Balances!AN8</f>
        <v>7427.8124380458221</v>
      </c>
      <c r="AQ83" s="345">
        <f>'Table 3.0'!$M$22/12*Balances!AO8</f>
        <v>7427.8124380458221</v>
      </c>
      <c r="AR83" s="345">
        <f>'Table 3.0'!$M$22/12*Balances!AP8</f>
        <v>7427.8124380458221</v>
      </c>
      <c r="AS83" s="345">
        <f>'Table 3.0'!$M$22/12*Balances!AQ8</f>
        <v>7427.8124380458221</v>
      </c>
      <c r="AT83" s="566">
        <f>'Table 3.0'!$M$22/12*Balances!AR8</f>
        <v>7427.8124380458221</v>
      </c>
      <c r="AU83" s="345">
        <f>'Table 3.0'!$M$22/12*Balances!AS8</f>
        <v>7427.8124380458221</v>
      </c>
      <c r="AV83" s="345">
        <f>'Table 3.0'!$M$22/12*Balances!AT8</f>
        <v>7427.8124380458221</v>
      </c>
      <c r="AW83" s="345">
        <f>'Table 3.0'!$M$22/12*Balances!AU8</f>
        <v>7427.8124380458221</v>
      </c>
      <c r="AX83" s="345">
        <f>'Table 3.0'!$M$22/12*Balances!AV8</f>
        <v>7427.8124380458221</v>
      </c>
      <c r="AY83" s="345">
        <f>'Table 3.0'!$M$22/12*Balances!AW8</f>
        <v>7427.8124380458221</v>
      </c>
      <c r="AZ83" s="345">
        <f>'Table 3.0'!$M$22/12*Balances!AX8</f>
        <v>7427.8124380458221</v>
      </c>
      <c r="BA83" s="345">
        <f>'Table 3.0'!$M$22/12*Balances!AY8</f>
        <v>7427.8124380458221</v>
      </c>
      <c r="BB83" s="345">
        <f>'Table 3.0'!$M$22/12*Balances!AZ8</f>
        <v>7427.8124380458221</v>
      </c>
      <c r="BC83" s="345">
        <f>'Table 3.0'!$M$22/12*Balances!BA8</f>
        <v>7427.8124380458221</v>
      </c>
      <c r="BD83" s="345">
        <f>'Table 3.0'!$M$22/12*Balances!BB8</f>
        <v>7427.8124380458221</v>
      </c>
      <c r="BE83" s="345">
        <f>'Table 3.0'!$M$22/12*Balances!BC8</f>
        <v>7427.8124380458221</v>
      </c>
      <c r="BF83" s="566">
        <f>'Table 3.0'!$M$22/12*Balances!BD8</f>
        <v>7427.8124380458221</v>
      </c>
      <c r="BG83" s="345">
        <f>'Table 3.0'!$M$22/12*Balances!BE8</f>
        <v>7427.8124380458221</v>
      </c>
      <c r="BH83" s="345">
        <f>'Table 3.0'!$M$22/12*Balances!BF8</f>
        <v>7427.8124380458221</v>
      </c>
      <c r="BI83" s="345">
        <f>'Table 3.0'!$M$22/12*Balances!BG8</f>
        <v>7427.8124380458221</v>
      </c>
      <c r="BJ83" s="345">
        <f>'Table 3.0'!$M$22/12*Balances!BH8</f>
        <v>7427.8124380458221</v>
      </c>
      <c r="BK83" s="345">
        <f>'Table 3.0'!$M$22/12*Balances!BI8</f>
        <v>7427.8124380458221</v>
      </c>
      <c r="BL83" s="345">
        <f>'Table 3.0'!$M$22/12*Balances!BJ8</f>
        <v>7427.8124380458221</v>
      </c>
      <c r="BM83" s="345">
        <f>'Table 3.0'!$M$22/12*Balances!BK8</f>
        <v>7427.8124380458221</v>
      </c>
      <c r="BN83" s="345">
        <f>'Table 3.0'!$M$22/12*Balances!BL8</f>
        <v>7427.8124380458221</v>
      </c>
      <c r="BO83" s="345">
        <f>'Table 3.0'!$M$22/12*Balances!BM8</f>
        <v>7427.8124380458221</v>
      </c>
      <c r="BP83" s="345">
        <f>'Table 3.0'!$M$22/12*Balances!BN8</f>
        <v>7427.8124380458221</v>
      </c>
      <c r="BQ83" s="345">
        <f>'Table 3.0'!$M$22/12*Balances!BO8</f>
        <v>7427.8124380458221</v>
      </c>
      <c r="BR83" s="566">
        <f>'Table 3.0'!$M$22/12*Balances!BP8</f>
        <v>7427.8124380458221</v>
      </c>
      <c r="BS83" s="345">
        <f>'Table 3.0'!$M$22/12*Balances!BQ8</f>
        <v>7427.8124380458221</v>
      </c>
      <c r="BT83" s="345">
        <f>'Table 3.0'!$M$22/12*Balances!BR8</f>
        <v>7427.8124380458221</v>
      </c>
      <c r="BU83" s="345">
        <f>'Table 3.0'!$M$22/12*Balances!BS8</f>
        <v>7427.8124380458221</v>
      </c>
      <c r="BV83" s="345">
        <f>'Table 3.0'!$M$22/12*Balances!BT8</f>
        <v>7427.8124380458221</v>
      </c>
      <c r="BW83" s="345">
        <f>'Table 3.0'!$M$22/12*Balances!BU8</f>
        <v>7427.8124380458221</v>
      </c>
      <c r="BX83" s="345">
        <f>'Table 3.0'!$M$22/12*Balances!BV8</f>
        <v>7427.8124380458221</v>
      </c>
      <c r="BY83" s="345">
        <f>'Table 3.0'!$M$22/12*Balances!BW8</f>
        <v>7427.8124380458221</v>
      </c>
      <c r="BZ83" s="345">
        <f>'Table 3.0'!$M$22/12*Balances!BX8</f>
        <v>7427.8124380458221</v>
      </c>
      <c r="CA83" s="345">
        <f>'Table 3.0'!$M$22/12*Balances!BY8</f>
        <v>7427.8124380458221</v>
      </c>
      <c r="CB83" s="345">
        <f>'Table 3.0'!$M$22/12*Balances!BZ8</f>
        <v>7427.8124380458221</v>
      </c>
      <c r="CC83" s="345">
        <f>'Table 3.0'!$M$22/12*Balances!CA8</f>
        <v>7427.8124380458221</v>
      </c>
      <c r="CD83" s="566">
        <f>'Table 3.0'!$M$22/12*Balances!CB8</f>
        <v>7427.8124380458221</v>
      </c>
      <c r="CE83" s="345">
        <f>'Table 3.0'!$M$22/12*Balances!CC8</f>
        <v>7427.8124380458221</v>
      </c>
      <c r="CF83" s="345">
        <f>'Table 3.0'!$M$22/12*Balances!CD8</f>
        <v>7427.8124380458221</v>
      </c>
      <c r="CG83" s="345">
        <f>'Table 3.0'!$M$22/12*Balances!CE8</f>
        <v>7427.8124380458221</v>
      </c>
      <c r="CH83" s="345">
        <f>'Table 3.0'!$M$22/12*Balances!CF8</f>
        <v>7427.8124380458221</v>
      </c>
      <c r="CI83" s="345">
        <f>'Table 3.0'!$M$22/12*Balances!CG8</f>
        <v>7427.8124380458221</v>
      </c>
      <c r="CJ83" s="345">
        <f>'Table 3.0'!$M$22/12*Balances!CH8</f>
        <v>7427.8124380458221</v>
      </c>
      <c r="CK83" s="345">
        <f>'Table 3.0'!$M$22/12*Balances!CI8</f>
        <v>7427.8124380458221</v>
      </c>
      <c r="CL83" s="345">
        <f>'Table 3.0'!$M$22/12*Balances!CJ8</f>
        <v>7427.8124380458221</v>
      </c>
      <c r="CM83" s="345">
        <f>'Table 3.0'!$M$22/12*Balances!CK8</f>
        <v>7427.8124380458221</v>
      </c>
      <c r="CN83" s="345">
        <f>'Table 3.0'!$M$22/12*Balances!CL8</f>
        <v>7427.8124380458221</v>
      </c>
      <c r="CO83" s="345">
        <f>'Table 3.0'!$M$22/12*Balances!CM8</f>
        <v>7427.8124380458221</v>
      </c>
      <c r="CP83" s="566">
        <f>'Table 3.0'!$M$22/12*Balances!CN8</f>
        <v>7427.8124380458221</v>
      </c>
      <c r="CQ83" s="345">
        <f>'Table 3.0'!$M$22/12*Balances!CO8</f>
        <v>7427.8124380458221</v>
      </c>
      <c r="CR83" s="345">
        <f>'Table 3.0'!$M$22/12*Balances!CP8</f>
        <v>7427.8124380458221</v>
      </c>
      <c r="CS83" s="345">
        <f>'Table 3.0'!$M$22/12*Balances!CQ8</f>
        <v>7427.8124380458221</v>
      </c>
      <c r="CT83" s="345">
        <f>'Table 3.0'!$M$22/12*Balances!CR8</f>
        <v>7427.8124380458221</v>
      </c>
      <c r="CU83" s="345">
        <f>'Table 3.0'!$M$22/12*Balances!CS8</f>
        <v>7427.8124380458221</v>
      </c>
      <c r="CV83" s="345">
        <f>'Table 3.0'!$M$22/12*Balances!CT8</f>
        <v>7427.8124380458221</v>
      </c>
      <c r="CW83" s="345">
        <f>'Table 3.0'!$M$22/12*Balances!CU8</f>
        <v>7427.8124380458221</v>
      </c>
      <c r="CX83" s="345">
        <f>'Table 3.0'!$M$22/12*Balances!CV8</f>
        <v>7427.8124380458221</v>
      </c>
      <c r="CY83" s="345">
        <f>'Table 3.0'!$M$22/12*Balances!CW8</f>
        <v>7427.8124380458221</v>
      </c>
      <c r="CZ83" s="345">
        <f>'Table 3.0'!$M$22/12*Balances!CX8</f>
        <v>7427.8124380458221</v>
      </c>
      <c r="DA83" s="345">
        <f>'Table 3.0'!$M$22/12*Balances!CY8</f>
        <v>7427.8124380458221</v>
      </c>
      <c r="DB83" s="566">
        <f>'Table 3.0'!$M$22/12*Balances!CZ8</f>
        <v>7427.8124380458221</v>
      </c>
      <c r="DC83" s="345">
        <f>'Table 3.0'!$M$22/12*Balances!DA8</f>
        <v>7427.8124380458221</v>
      </c>
      <c r="DD83" s="345">
        <f>'Table 3.0'!$M$22/12*Balances!DB8</f>
        <v>7427.8124380458221</v>
      </c>
      <c r="DE83" s="345">
        <f>'Table 3.0'!$M$22/12*Balances!DC8</f>
        <v>7427.8124380458221</v>
      </c>
      <c r="DF83" s="345">
        <f>'Table 3.0'!$M$22/12*Balances!DD8</f>
        <v>7427.8124380458221</v>
      </c>
      <c r="DG83" s="345">
        <f>'Table 3.0'!$M$22/12*Balances!DE8</f>
        <v>7427.8124380458221</v>
      </c>
      <c r="DH83" s="345">
        <f>'Table 3.0'!$M$22/12*Balances!DF8</f>
        <v>7427.8124380458221</v>
      </c>
      <c r="DI83" s="345">
        <f>'Table 3.0'!$M$22/12*Balances!DG8</f>
        <v>7427.8124380458221</v>
      </c>
      <c r="DJ83" s="345">
        <f>'Table 3.0'!$M$22/12*Balances!DH8</f>
        <v>7427.8124380458221</v>
      </c>
      <c r="DK83" s="345">
        <f>'Table 3.0'!$M$22/12*Balances!DI8</f>
        <v>7427.8124380458221</v>
      </c>
      <c r="DL83" s="345">
        <f>'Table 3.0'!$M$22/12*Balances!DJ8</f>
        <v>7427.8124380458221</v>
      </c>
      <c r="DM83" s="345">
        <f>'Table 3.0'!$M$22/12*Balances!DK8</f>
        <v>7427.8124380458221</v>
      </c>
      <c r="DN83" s="345">
        <f>'Table 3.0'!$M$22/12*Balances!DL8</f>
        <v>7427.8124380458221</v>
      </c>
      <c r="DP83" s="340">
        <f>SUM(J83:DJ83)</f>
        <v>818334.39553898212</v>
      </c>
    </row>
    <row r="84" spans="3:120" x14ac:dyDescent="0.3">
      <c r="E84" s="331" t="str">
        <f>'Table 3.0'!E112</f>
        <v>Seller Carryback (Int. Rate)</v>
      </c>
      <c r="F84" s="331"/>
      <c r="G84" s="583" t="str">
        <f>'Table 3.0'!G112</f>
        <v>N/A</v>
      </c>
      <c r="J84" s="345"/>
      <c r="K84" s="345">
        <f>'Table 3.0'!$M$23/12*Balances!I15</f>
        <v>0</v>
      </c>
      <c r="L84" s="345">
        <f>'Table 3.0'!$M$23/12*Balances!J15</f>
        <v>0</v>
      </c>
      <c r="M84" s="345">
        <f>'Table 3.0'!$M$23/12*Balances!K15</f>
        <v>0</v>
      </c>
      <c r="N84" s="345">
        <f>'Table 3.0'!$M$23/12*Balances!L15</f>
        <v>0</v>
      </c>
      <c r="O84" s="345">
        <f>'Table 3.0'!$M$23/12*Balances!M15</f>
        <v>0</v>
      </c>
      <c r="P84" s="345">
        <f>'Table 3.0'!$M$23/12*Balances!N15</f>
        <v>0</v>
      </c>
      <c r="Q84" s="345">
        <f>'Table 3.0'!$M$23/12*Balances!O15</f>
        <v>0</v>
      </c>
      <c r="R84" s="345">
        <f>'Table 3.0'!$M$23/12*Balances!P15</f>
        <v>0</v>
      </c>
      <c r="S84" s="345">
        <f>'Table 3.0'!$M$23/12*Balances!Q15</f>
        <v>0</v>
      </c>
      <c r="T84" s="345">
        <f>'Table 3.0'!$M$23/12*Balances!R15</f>
        <v>0</v>
      </c>
      <c r="U84" s="345">
        <f>'Table 3.0'!$M$23/12*Balances!S15</f>
        <v>0</v>
      </c>
      <c r="V84" s="566">
        <f>'Table 3.0'!$M$23/12*Balances!T15</f>
        <v>0</v>
      </c>
      <c r="W84" s="345">
        <f>'Table 3.0'!$M$23/12*Balances!U15</f>
        <v>0</v>
      </c>
      <c r="X84" s="345">
        <f>'Table 3.0'!$M$23/12*Balances!V15</f>
        <v>0</v>
      </c>
      <c r="Y84" s="345">
        <f>'Table 3.0'!$M$23/12*Balances!W15</f>
        <v>0</v>
      </c>
      <c r="Z84" s="345">
        <f>'Table 3.0'!$M$23/12*Balances!X15</f>
        <v>0</v>
      </c>
      <c r="AA84" s="345">
        <f>'Table 3.0'!$M$23/12*Balances!Y15</f>
        <v>0</v>
      </c>
      <c r="AB84" s="345">
        <f>'Table 3.0'!$M$23/12*Balances!Z15</f>
        <v>0</v>
      </c>
      <c r="AC84" s="345">
        <f>'Table 3.0'!$M$23/12*Balances!AA15</f>
        <v>0</v>
      </c>
      <c r="AD84" s="345">
        <f>'Table 3.0'!$M$23/12*Balances!AB15</f>
        <v>0</v>
      </c>
      <c r="AE84" s="345">
        <f>'Table 3.0'!$M$23/12*Balances!AC15</f>
        <v>0</v>
      </c>
      <c r="AF84" s="345">
        <f>'Table 3.0'!$M$23/12*Balances!AD15</f>
        <v>0</v>
      </c>
      <c r="AG84" s="345">
        <f>'Table 3.0'!$M$23/12*Balances!AE15</f>
        <v>0</v>
      </c>
      <c r="AH84" s="566">
        <f>'Table 3.0'!$M$23/12*Balances!AF15</f>
        <v>0</v>
      </c>
      <c r="AI84" s="345">
        <f>'Table 3.0'!$M$23/12*Balances!AG15</f>
        <v>0</v>
      </c>
      <c r="AJ84" s="345">
        <f>'Table 3.0'!$M$23/12*Balances!AH15</f>
        <v>0</v>
      </c>
      <c r="AK84" s="345">
        <f>'Table 3.0'!$M$23/12*Balances!AI15</f>
        <v>0</v>
      </c>
      <c r="AL84" s="345">
        <f>'Table 3.0'!$M$23/12*Balances!AJ15</f>
        <v>0</v>
      </c>
      <c r="AM84" s="345">
        <f>'Table 3.0'!$M$23/12*Balances!AK15</f>
        <v>0</v>
      </c>
      <c r="AN84" s="345">
        <f>'Table 3.0'!$M$23/12*Balances!AL15</f>
        <v>0</v>
      </c>
      <c r="AO84" s="345">
        <f>'Table 3.0'!$M$23/12*Balances!AM15</f>
        <v>0</v>
      </c>
      <c r="AP84" s="345">
        <f>'Table 3.0'!$M$23/12*Balances!AN15</f>
        <v>0</v>
      </c>
      <c r="AQ84" s="345">
        <f>'Table 3.0'!$M$23/12*Balances!AO15</f>
        <v>0</v>
      </c>
      <c r="AR84" s="345">
        <f>'Table 3.0'!$M$23/12*Balances!AP15</f>
        <v>0</v>
      </c>
      <c r="AS84" s="345">
        <f>'Table 3.0'!$M$23/12*Balances!AQ15</f>
        <v>0</v>
      </c>
      <c r="AT84" s="566">
        <f>'Table 3.0'!$M$23/12*Balances!AR15</f>
        <v>0</v>
      </c>
      <c r="AU84" s="345">
        <f>'Table 3.0'!$M$23/12*Balances!AS15</f>
        <v>0</v>
      </c>
      <c r="AV84" s="345">
        <f>'Table 3.0'!$M$23/12*Balances!AT15</f>
        <v>0</v>
      </c>
      <c r="AW84" s="345">
        <f>'Table 3.0'!$M$23/12*Balances!AU15</f>
        <v>0</v>
      </c>
      <c r="AX84" s="345">
        <f>'Table 3.0'!$M$23/12*Balances!AV15</f>
        <v>0</v>
      </c>
      <c r="AY84" s="345">
        <f>'Table 3.0'!$M$23/12*Balances!AW15</f>
        <v>0</v>
      </c>
      <c r="AZ84" s="345">
        <f>'Table 3.0'!$M$23/12*Balances!AX15</f>
        <v>0</v>
      </c>
      <c r="BA84" s="345">
        <f>'Table 3.0'!$M$23/12*Balances!AY15</f>
        <v>0</v>
      </c>
      <c r="BB84" s="345">
        <f>'Table 3.0'!$M$23/12*Balances!AZ15</f>
        <v>0</v>
      </c>
      <c r="BC84" s="345">
        <f>'Table 3.0'!$M$23/12*Balances!BA15</f>
        <v>0</v>
      </c>
      <c r="BD84" s="345">
        <f>'Table 3.0'!$M$23/12*Balances!BB15</f>
        <v>0</v>
      </c>
      <c r="BE84" s="345">
        <f>'Table 3.0'!$M$23/12*Balances!BC15</f>
        <v>0</v>
      </c>
      <c r="BF84" s="566">
        <f>'Table 3.0'!$M$23/12*Balances!BD15</f>
        <v>0</v>
      </c>
      <c r="BG84" s="345">
        <f>'Table 3.0'!$M$23/12*Balances!BE15</f>
        <v>0</v>
      </c>
      <c r="BH84" s="345">
        <f>'Table 3.0'!$M$23/12*Balances!BF15</f>
        <v>0</v>
      </c>
      <c r="BI84" s="345">
        <f>'Table 3.0'!$M$23/12*Balances!BG15</f>
        <v>0</v>
      </c>
      <c r="BJ84" s="345">
        <f>'Table 3.0'!$M$23/12*Balances!BH15</f>
        <v>0</v>
      </c>
      <c r="BK84" s="345">
        <f>'Table 3.0'!$M$23/12*Balances!BI15</f>
        <v>0</v>
      </c>
      <c r="BL84" s="345">
        <f>'Table 3.0'!$M$23/12*Balances!BJ15</f>
        <v>0</v>
      </c>
      <c r="BM84" s="345">
        <f>'Table 3.0'!$M$23/12*Balances!BK15</f>
        <v>0</v>
      </c>
      <c r="BN84" s="345">
        <f>'Table 3.0'!$M$23/12*Balances!BL15</f>
        <v>0</v>
      </c>
      <c r="BO84" s="345">
        <f>'Table 3.0'!$M$23/12*Balances!BM15</f>
        <v>0</v>
      </c>
      <c r="BP84" s="345">
        <f>'Table 3.0'!$M$23/12*Balances!BN15</f>
        <v>0</v>
      </c>
      <c r="BQ84" s="345">
        <f>'Table 3.0'!$M$23/12*Balances!BO15</f>
        <v>0</v>
      </c>
      <c r="BR84" s="566">
        <f>'Table 3.0'!$M$23/12*Balances!BP15</f>
        <v>0</v>
      </c>
      <c r="BS84" s="345">
        <f>'Table 3.0'!$M$23/12*Balances!BQ15</f>
        <v>0</v>
      </c>
      <c r="BT84" s="345">
        <f>'Table 3.0'!$M$23/12*Balances!BR15</f>
        <v>0</v>
      </c>
      <c r="BU84" s="345">
        <f>'Table 3.0'!$M$23/12*Balances!BS15</f>
        <v>0</v>
      </c>
      <c r="BV84" s="345">
        <f>'Table 3.0'!$M$23/12*Balances!BT15</f>
        <v>0</v>
      </c>
      <c r="BW84" s="345">
        <f>'Table 3.0'!$M$23/12*Balances!BU15</f>
        <v>0</v>
      </c>
      <c r="BX84" s="345">
        <f>'Table 3.0'!$M$23/12*Balances!BV15</f>
        <v>0</v>
      </c>
      <c r="BY84" s="345">
        <f>'Table 3.0'!$M$23/12*Balances!BW15</f>
        <v>0</v>
      </c>
      <c r="BZ84" s="345">
        <f>'Table 3.0'!$M$23/12*Balances!BX15</f>
        <v>0</v>
      </c>
      <c r="CA84" s="345">
        <f>'Table 3.0'!$M$23/12*Balances!BY15</f>
        <v>0</v>
      </c>
      <c r="CB84" s="345">
        <f>'Table 3.0'!$M$23/12*Balances!BZ15</f>
        <v>0</v>
      </c>
      <c r="CC84" s="345">
        <f>'Table 3.0'!$M$23/12*Balances!CA15</f>
        <v>0</v>
      </c>
      <c r="CD84" s="566">
        <f>'Table 3.0'!$M$23/12*Balances!CB15</f>
        <v>0</v>
      </c>
      <c r="CE84" s="345">
        <f>'Table 3.0'!$M$23/12*Balances!CC15</f>
        <v>0</v>
      </c>
      <c r="CF84" s="345">
        <f>'Table 3.0'!$M$23/12*Balances!CD15</f>
        <v>0</v>
      </c>
      <c r="CG84" s="345">
        <f>'Table 3.0'!$M$23/12*Balances!CE15</f>
        <v>0</v>
      </c>
      <c r="CH84" s="345">
        <f>'Table 3.0'!$M$23/12*Balances!CF15</f>
        <v>0</v>
      </c>
      <c r="CI84" s="345">
        <f>'Table 3.0'!$M$23/12*Balances!CG15</f>
        <v>0</v>
      </c>
      <c r="CJ84" s="345">
        <f>'Table 3.0'!$M$23/12*Balances!CH15</f>
        <v>0</v>
      </c>
      <c r="CK84" s="345">
        <f>'Table 3.0'!$M$23/12*Balances!CI15</f>
        <v>0</v>
      </c>
      <c r="CL84" s="345">
        <f>'Table 3.0'!$M$23/12*Balances!CJ15</f>
        <v>0</v>
      </c>
      <c r="CM84" s="345">
        <f>'Table 3.0'!$M$23/12*Balances!CK15</f>
        <v>0</v>
      </c>
      <c r="CN84" s="345">
        <f>'Table 3.0'!$M$23/12*Balances!CL15</f>
        <v>0</v>
      </c>
      <c r="CO84" s="345">
        <f>'Table 3.0'!$M$23/12*Balances!CM15</f>
        <v>0</v>
      </c>
      <c r="CP84" s="566">
        <f>'Table 3.0'!$M$23/12*Balances!CN15</f>
        <v>0</v>
      </c>
      <c r="CQ84" s="345">
        <f>'Table 3.0'!$M$23/12*Balances!CO15</f>
        <v>0</v>
      </c>
      <c r="CR84" s="345">
        <f>'Table 3.0'!$M$23/12*Balances!CP15</f>
        <v>0</v>
      </c>
      <c r="CS84" s="345">
        <f>'Table 3.0'!$M$23/12*Balances!CQ15</f>
        <v>0</v>
      </c>
      <c r="CT84" s="345">
        <f>'Table 3.0'!$M$23/12*Balances!CR15</f>
        <v>0</v>
      </c>
      <c r="CU84" s="345">
        <f>'Table 3.0'!$M$23/12*Balances!CS15</f>
        <v>0</v>
      </c>
      <c r="CV84" s="345">
        <f>'Table 3.0'!$M$23/12*Balances!CT15</f>
        <v>0</v>
      </c>
      <c r="CW84" s="345">
        <f>'Table 3.0'!$M$23/12*Balances!CU15</f>
        <v>0</v>
      </c>
      <c r="CX84" s="345">
        <f>'Table 3.0'!$M$23/12*Balances!CV15</f>
        <v>0</v>
      </c>
      <c r="CY84" s="345">
        <f>'Table 3.0'!$M$23/12*Balances!CW15</f>
        <v>0</v>
      </c>
      <c r="CZ84" s="345">
        <f>'Table 3.0'!$M$23/12*Balances!CX15</f>
        <v>0</v>
      </c>
      <c r="DA84" s="345">
        <f>'Table 3.0'!$M$23/12*Balances!CY15</f>
        <v>0</v>
      </c>
      <c r="DB84" s="566">
        <f>'Table 3.0'!$M$23/12*Balances!CZ15</f>
        <v>0</v>
      </c>
      <c r="DC84" s="345">
        <f>'Table 3.0'!$M$23/12*Balances!DA15</f>
        <v>0</v>
      </c>
      <c r="DD84" s="345">
        <f>'Table 3.0'!$M$23/12*Balances!DB15</f>
        <v>0</v>
      </c>
      <c r="DE84" s="345">
        <f>'Table 3.0'!$M$23/12*Balances!DC15</f>
        <v>0</v>
      </c>
      <c r="DF84" s="345">
        <f>'Table 3.0'!$M$23/12*Balances!DD15</f>
        <v>0</v>
      </c>
      <c r="DG84" s="345">
        <f>'Table 3.0'!$M$23/12*Balances!DE15</f>
        <v>0</v>
      </c>
      <c r="DH84" s="345">
        <f>'Table 3.0'!$M$23/12*Balances!DF15</f>
        <v>0</v>
      </c>
      <c r="DI84" s="345">
        <f>'Table 3.0'!$M$23/12*Balances!DG15</f>
        <v>0</v>
      </c>
      <c r="DJ84" s="345">
        <f>'Table 3.0'!$M$23/12*Balances!DH15</f>
        <v>0</v>
      </c>
      <c r="DK84" s="345">
        <f>'Table 3.0'!$M$23/12*Balances!DI15</f>
        <v>0</v>
      </c>
      <c r="DL84" s="345">
        <f>'Table 3.0'!$M$23/12*Balances!DJ15</f>
        <v>0</v>
      </c>
      <c r="DM84" s="345">
        <f>'Table 3.0'!$M$23/12*Balances!DK15</f>
        <v>0</v>
      </c>
      <c r="DN84" s="345">
        <f>'Table 3.0'!$M$23/12*Balances!DL15</f>
        <v>0</v>
      </c>
      <c r="DP84" s="340">
        <f>SUM(J84:DJ84)</f>
        <v>0</v>
      </c>
    </row>
    <row r="85" spans="3:120" x14ac:dyDescent="0.3">
      <c r="E85" s="331" t="str">
        <f>'Table 3.0'!E113</f>
        <v>Construction Loan (Int. Rate)</v>
      </c>
      <c r="F85" s="331"/>
      <c r="G85" s="583">
        <f>'Table 3.0'!G113</f>
        <v>9.5000000000000001E-2</v>
      </c>
      <c r="J85" s="345"/>
      <c r="K85" s="345">
        <f>'Table 3.0'!$M$24/12*Balances!I22</f>
        <v>0</v>
      </c>
      <c r="L85" s="345">
        <f>'Table 3.0'!$M$24/12*Balances!J22</f>
        <v>0</v>
      </c>
      <c r="M85" s="345">
        <f>'Table 3.0'!$M$24/12*Balances!K22</f>
        <v>0</v>
      </c>
      <c r="N85" s="345">
        <f>'Table 3.0'!$M$24/12*Balances!L22</f>
        <v>0</v>
      </c>
      <c r="O85" s="345">
        <f>'Table 3.0'!$M$24/12*Balances!M22</f>
        <v>0</v>
      </c>
      <c r="P85" s="345">
        <f>'Table 3.0'!$M$24/12*Balances!N22</f>
        <v>641.46704861111016</v>
      </c>
      <c r="Q85" s="345">
        <f>'Table 3.0'!$M$24/12*Balances!O22</f>
        <v>3586.9582808015043</v>
      </c>
      <c r="R85" s="345">
        <f>'Table 3.0'!$M$24/12*Balances!P22</f>
        <v>6122.7579852467379</v>
      </c>
      <c r="S85" s="345">
        <f>'Table 3.0'!$M$24/12*Balances!Q22</f>
        <v>11495.835999852165</v>
      </c>
      <c r="T85" s="345">
        <f>'Table 3.0'!$M$24/12*Balances!R22</f>
        <v>12410.71702790655</v>
      </c>
      <c r="U85" s="345">
        <f>'Table 3.0'!$M$24/12*Balances!S22</f>
        <v>13669.354614099699</v>
      </c>
      <c r="V85" s="566">
        <f>'Table 3.0'!$M$24/12*Balances!T22</f>
        <v>14972.43349785021</v>
      </c>
      <c r="W85" s="345">
        <f>'Table 3.0'!$M$24/12*Balances!U22</f>
        <v>16118.25831859708</v>
      </c>
      <c r="X85" s="345">
        <f>'Table 3.0'!$M$24/12*Balances!V22</f>
        <v>16144.697399035973</v>
      </c>
      <c r="Y85" s="345">
        <f>'Table 3.0'!$M$24/12*Balances!W22</f>
        <v>16152.931147195008</v>
      </c>
      <c r="Z85" s="345">
        <f>'Table 3.0'!$M$24/12*Balances!X22</f>
        <v>16134.214770860301</v>
      </c>
      <c r="AA85" s="345">
        <f>'Table 3.0'!$M$24/12*Balances!Y22</f>
        <v>16115.350223212945</v>
      </c>
      <c r="AB85" s="345">
        <f>'Table 3.0'!$M$24/12*Balances!Z22</f>
        <v>16111.994152063382</v>
      </c>
      <c r="AC85" s="345">
        <f>'Table 3.0'!$M$24/12*Balances!AA22</f>
        <v>16115.668666183883</v>
      </c>
      <c r="AD85" s="345">
        <f>'Table 3.0'!$M$24/12*Balances!AB22</f>
        <v>16146.387578541173</v>
      </c>
      <c r="AE85" s="345">
        <f>'Table 3.0'!$M$24/12*Balances!AC22</f>
        <v>16195.764323954623</v>
      </c>
      <c r="AF85" s="345">
        <f>'Table 3.0'!$M$24/12*Balances!AD22</f>
        <v>16669.067776935932</v>
      </c>
      <c r="AG85" s="345">
        <f>'Table 3.0'!$M$24/12*Balances!AE22</f>
        <v>16758.19838225334</v>
      </c>
      <c r="AH85" s="566">
        <f>'Table 3.0'!$M$24/12*Balances!AF22</f>
        <v>16812.418629862848</v>
      </c>
      <c r="AI85" s="345">
        <f>'Table 3.0'!$M$24/12*Balances!AG22</f>
        <v>0</v>
      </c>
      <c r="AJ85" s="345">
        <f>'Table 3.0'!$M$24/12*Balances!AH22</f>
        <v>0</v>
      </c>
      <c r="AK85" s="345">
        <f>'Table 3.0'!$M$24/12*Balances!AI22</f>
        <v>0</v>
      </c>
      <c r="AL85" s="345">
        <f>'Table 3.0'!$M$24/12*Balances!AJ22</f>
        <v>0</v>
      </c>
      <c r="AM85" s="345">
        <f>'Table 3.0'!$M$24/12*Balances!AK22</f>
        <v>0</v>
      </c>
      <c r="AN85" s="345">
        <f>'Table 3.0'!$M$24/12*Balances!AL22</f>
        <v>0</v>
      </c>
      <c r="AO85" s="345">
        <f>'Table 3.0'!$M$24/12*Balances!AM22</f>
        <v>0</v>
      </c>
      <c r="AP85" s="345">
        <f>'Table 3.0'!$M$24/12*Balances!AN22</f>
        <v>0</v>
      </c>
      <c r="AQ85" s="345">
        <f>'Table 3.0'!$M$24/12*Balances!AO22</f>
        <v>14.513874777425798</v>
      </c>
      <c r="AR85" s="345">
        <f>'Table 3.0'!$M$24/12*Balances!AP22</f>
        <v>500.52196356350635</v>
      </c>
      <c r="AS85" s="345">
        <f>'Table 3.0'!$M$24/12*Balances!AQ22</f>
        <v>555.28236638580984</v>
      </c>
      <c r="AT85" s="566">
        <f>'Table 3.0'!$M$24/12*Balances!AR22</f>
        <v>574.19222656378997</v>
      </c>
      <c r="AU85" s="345">
        <f>'Table 3.0'!$M$24/12*Balances!AS22</f>
        <v>469.0187694213771</v>
      </c>
      <c r="AV85" s="345">
        <f>'Table 3.0'!$M$24/12*Balances!AT22</f>
        <v>459.72428032658678</v>
      </c>
      <c r="AW85" s="345">
        <f>'Table 3.0'!$M$24/12*Balances!AU22</f>
        <v>430.60539319312937</v>
      </c>
      <c r="AX85" s="345">
        <f>'Table 3.0'!$M$24/12*Balances!AV22</f>
        <v>372.90449820319873</v>
      </c>
      <c r="AY85" s="345">
        <f>'Table 3.0'!$M$24/12*Balances!AW22</f>
        <v>314.74680446126445</v>
      </c>
      <c r="AZ85" s="345">
        <f>'Table 3.0'!$M$24/12*Balances!AX22</f>
        <v>272.45460397720655</v>
      </c>
      <c r="BA85" s="345">
        <f>'Table 3.0'!$M$24/12*Balances!AY22</f>
        <v>237.55283190598323</v>
      </c>
      <c r="BB85" s="345">
        <f>'Table 3.0'!$M$24/12*Balances!AZ22</f>
        <v>230.72623747252939</v>
      </c>
      <c r="BC85" s="345">
        <f>'Table 3.0'!$M$24/12*Balances!BA22</f>
        <v>243.59641583314405</v>
      </c>
      <c r="BD85" s="345">
        <f>'Table 3.0'!$M$24/12*Balances!BB22</f>
        <v>781.36004143911384</v>
      </c>
      <c r="BE85" s="345">
        <f>'Table 3.0'!$M$24/12*Balances!BC22</f>
        <v>831.24122074779734</v>
      </c>
      <c r="BF85" s="566">
        <f>'Table 3.0'!$M$24/12*Balances!BD22</f>
        <v>848.86547605934118</v>
      </c>
      <c r="BG85" s="345">
        <f>'Table 3.0'!$M$24/12*Balances!BE22</f>
        <v>858.9040150587681</v>
      </c>
      <c r="BH85" s="345">
        <f>'Table 3.0'!$M$24/12*Balances!BF22</f>
        <v>847.86895437527392</v>
      </c>
      <c r="BI85" s="345">
        <f>'Table 3.0'!$M$24/12*Balances!BG22</f>
        <v>816.32762862803531</v>
      </c>
      <c r="BJ85" s="345">
        <f>'Table 3.0'!$M$24/12*Balances!BH22</f>
        <v>755.51702988529769</v>
      </c>
      <c r="BK85" s="345">
        <f>'Table 3.0'!$M$24/12*Balances!BI22</f>
        <v>694.22501390251352</v>
      </c>
      <c r="BL85" s="345">
        <f>'Table 3.0'!$M$24/12*Balances!BJ22</f>
        <v>649.10772154319898</v>
      </c>
      <c r="BM85" s="345">
        <f>'Table 3.0'!$M$24/12*Balances!BK22</f>
        <v>611.69253603603977</v>
      </c>
      <c r="BN85" s="345">
        <f>'Table 3.0'!$M$24/12*Balances!BL22</f>
        <v>603.00071781028214</v>
      </c>
      <c r="BO85" s="345">
        <f>'Table 3.0'!$M$24/12*Balances!BM22</f>
        <v>614.65899352357064</v>
      </c>
      <c r="BP85" s="345">
        <f>'Table 3.0'!$M$24/12*Balances!BN22</f>
        <v>1210.8411279195898</v>
      </c>
      <c r="BQ85" s="345">
        <f>'Table 3.0'!$M$24/12*Balances!BO22</f>
        <v>1264.9317110462434</v>
      </c>
      <c r="BR85" s="566">
        <f>'Table 3.0'!$M$24/12*Balances!BP22</f>
        <v>1281.8302737893168</v>
      </c>
      <c r="BS85" s="345">
        <f>'Table 3.0'!$M$24/12*Balances!BQ22</f>
        <v>1290.6156470492936</v>
      </c>
      <c r="BT85" s="345">
        <f>'Table 3.0'!$M$24/12*Balances!BR22</f>
        <v>1277.4692517957449</v>
      </c>
      <c r="BU85" s="345">
        <f>'Table 3.0'!$M$24/12*Balances!BS22</f>
        <v>1243.1317892464392</v>
      </c>
      <c r="BV85" s="345">
        <f>'Table 3.0'!$M$24/12*Balances!BT22</f>
        <v>1178.8348301186179</v>
      </c>
      <c r="BW85" s="345">
        <f>'Table 3.0'!$M$24/12*Balances!BU22</f>
        <v>1114.0288533977014</v>
      </c>
      <c r="BX85" s="345">
        <f>'Table 3.0'!$M$24/12*Balances!BV22</f>
        <v>1065.7038251944114</v>
      </c>
      <c r="BY85" s="345">
        <f>'Table 3.0'!$M$24/12*Balances!BW22</f>
        <v>1025.3895530178449</v>
      </c>
      <c r="BZ85" s="345">
        <f>'Table 3.0'!$M$24/12*Balances!BX22</f>
        <v>1014.443784519881</v>
      </c>
      <c r="CA85" s="345">
        <f>'Table 3.0'!$M$24/12*Balances!BY22</f>
        <v>1182.831687021308</v>
      </c>
      <c r="CB85" s="345">
        <f>'Table 3.0'!$M$24/12*Balances!BZ22</f>
        <v>1845.2558338475385</v>
      </c>
      <c r="CC85" s="345">
        <f>'Table 3.0'!$M$24/12*Balances!CA22</f>
        <v>1900.1759900728093</v>
      </c>
      <c r="CD85" s="566">
        <f>'Table 3.0'!$M$24/12*Balances!CB22</f>
        <v>1917.2426058681972</v>
      </c>
      <c r="CE85" s="345">
        <f>'Table 3.0'!$M$24/12*Balances!CC22</f>
        <v>1925.7521127325904</v>
      </c>
      <c r="CF85" s="345">
        <f>'Table 3.0'!$M$24/12*Balances!CD22</f>
        <v>1911.8835764137721</v>
      </c>
      <c r="CG85" s="345">
        <f>'Table 3.0'!$M$24/12*Balances!CE22</f>
        <v>1876.1501683490962</v>
      </c>
      <c r="CH85" s="345">
        <f>'Table 3.0'!$M$24/12*Balances!CF22</f>
        <v>1809.7781249705749</v>
      </c>
      <c r="CI85" s="345">
        <f>'Table 3.0'!$M$24/12*Balances!CG22</f>
        <v>1742.8806362486405</v>
      </c>
      <c r="CJ85" s="345">
        <f>'Table 3.0'!$M$24/12*Balances!CH22</f>
        <v>1692.7815819909906</v>
      </c>
      <c r="CK85" s="345">
        <f>'Table 3.0'!$M$24/12*Balances!CI22</f>
        <v>1651.0132831371345</v>
      </c>
      <c r="CL85" s="345">
        <f>'Table 3.0'!$M$24/12*Balances!CJ22</f>
        <v>1639.2700644173519</v>
      </c>
      <c r="CM85" s="345">
        <f>'Table 3.0'!$M$24/12*Balances!CK22</f>
        <v>1886.6889577160377</v>
      </c>
      <c r="CN85" s="345">
        <f>'Table 3.0'!$M$24/12*Balances!CL22</f>
        <v>2623.9975936866053</v>
      </c>
      <c r="CO85" s="345">
        <f>'Table 3.0'!$M$24/12*Balances!CM22</f>
        <v>2680.6686590920058</v>
      </c>
      <c r="CP85" s="566">
        <f>'Table 3.0'!$M$24/12*Balances!CN22</f>
        <v>2698.8319579318659</v>
      </c>
      <c r="CQ85" s="345">
        <f>'Table 3.0'!$M$24/12*Balances!CO22</f>
        <v>2707.8828009991225</v>
      </c>
      <c r="CR85" s="345">
        <f>'Table 3.0'!$M$24/12*Balances!CP22</f>
        <v>2693.7285359913963</v>
      </c>
      <c r="CS85" s="345">
        <f>'Table 3.0'!$M$24/12*Balances!CQ22</f>
        <v>2657.0390497190256</v>
      </c>
      <c r="CT85" s="345">
        <f>'Table 3.0'!$M$24/12*Balances!CR22</f>
        <v>2589.0352716803322</v>
      </c>
      <c r="CU85" s="345">
        <f>'Table 3.0'!$M$24/12*Balances!CS22</f>
        <v>2520.4931303988324</v>
      </c>
      <c r="CV85" s="345">
        <f>'Table 3.0'!$M$24/12*Balances!CT22</f>
        <v>2469.0704471655208</v>
      </c>
      <c r="CW85" s="345">
        <f>'Table 3.0'!$M$24/12*Balances!CU22</f>
        <v>2426.3020843566119</v>
      </c>
      <c r="CX85" s="345">
        <f>'Table 3.0'!$M$24/12*Balances!CV22</f>
        <v>2414.218972008799</v>
      </c>
      <c r="CY85" s="345">
        <f>'Table 3.0'!$M$24/12*Balances!CW22</f>
        <v>2820.296701688233</v>
      </c>
      <c r="CZ85" s="345">
        <f>'Table 3.0'!$M$24/12*Balances!CX22</f>
        <v>3642.2934140603884</v>
      </c>
      <c r="DA85" s="345">
        <f>'Table 3.0'!$M$24/12*Balances!CY22</f>
        <v>3701.8845664060641</v>
      </c>
      <c r="DB85" s="566">
        <f>'Table 3.0'!$M$24/12*Balances!CZ22</f>
        <v>3722.322982041143</v>
      </c>
      <c r="DC85" s="345">
        <f>'Table 3.0'!$M$24/12*Balances!DA22</f>
        <v>3733.1879904966781</v>
      </c>
      <c r="DD85" s="345">
        <f>'Table 3.0'!$M$24/12*Balances!DB22</f>
        <v>3720.4355666815773</v>
      </c>
      <c r="DE85" s="345">
        <f>'Table 3.0'!$M$24/12*Balances!DC22</f>
        <v>3684.4909320112729</v>
      </c>
      <c r="DF85" s="345">
        <f>'Table 3.0'!$M$24/12*Balances!DD22</f>
        <v>3616.5698148164961</v>
      </c>
      <c r="DG85" s="345">
        <f>'Table 3.0'!$M$24/12*Balances!DE22</f>
        <v>3548.11098877726</v>
      </c>
      <c r="DH85" s="345">
        <f>'Table 3.0'!$M$24/12*Balances!DF22</f>
        <v>3497.1063241152133</v>
      </c>
      <c r="DI85" s="345">
        <f>'Table 3.0'!$M$24/12*Balances!DG22</f>
        <v>3455.0933329412592</v>
      </c>
      <c r="DJ85" s="345">
        <f>'Table 3.0'!$M$24/12*Balances!DH22</f>
        <v>3444.4396597538444</v>
      </c>
      <c r="DK85" s="345">
        <f>'Table 3.0'!$M$24/12*Balances!DI22</f>
        <v>3931.792899153696</v>
      </c>
      <c r="DL85" s="345">
        <f>'Table 3.0'!$M$24/12*Balances!DJ22</f>
        <v>4680.2283090962728</v>
      </c>
      <c r="DM85" s="345">
        <f>'Table 3.0'!$M$24/12*Balances!DK22</f>
        <v>4567.6992615203408</v>
      </c>
      <c r="DN85" s="345">
        <f>'Table 3.0'!$M$24/12*Balances!DL22</f>
        <v>4415.0092433828131</v>
      </c>
      <c r="DP85" s="340">
        <f>SUM(J85:DJ85)</f>
        <v>378979.51148485951</v>
      </c>
    </row>
    <row r="86" spans="3:120" x14ac:dyDescent="0.3">
      <c r="C86" s="342"/>
      <c r="D86" s="342"/>
      <c r="E86" s="346" t="str">
        <f>'Table 3.0'!E114</f>
        <v>Permanent Loan (Int. Rate)</v>
      </c>
      <c r="F86" s="346"/>
      <c r="G86" s="745">
        <f>'Table 3.0'!G114</f>
        <v>0.06</v>
      </c>
      <c r="H86" s="342"/>
      <c r="I86" s="342"/>
      <c r="J86" s="347"/>
      <c r="K86" s="347">
        <f>'Table 3.0'!$M$28/12*Balances!I29</f>
        <v>0</v>
      </c>
      <c r="L86" s="347">
        <f>'Table 3.0'!$M$28/12*Balances!J29</f>
        <v>0</v>
      </c>
      <c r="M86" s="347">
        <f>'Table 3.0'!$M$28/12*Balances!K29</f>
        <v>0</v>
      </c>
      <c r="N86" s="347">
        <f>'Table 3.0'!$M$28/12*Balances!L29</f>
        <v>0</v>
      </c>
      <c r="O86" s="347">
        <f>'Table 3.0'!$M$28/12*Balances!M29</f>
        <v>0</v>
      </c>
      <c r="P86" s="347">
        <f>'Table 3.0'!$M$28/12*Balances!N29</f>
        <v>0</v>
      </c>
      <c r="Q86" s="347">
        <f>'Table 3.0'!$M$28/12*Balances!O29</f>
        <v>0</v>
      </c>
      <c r="R86" s="347">
        <f>'Table 3.0'!$M$28/12*Balances!P29</f>
        <v>0</v>
      </c>
      <c r="S86" s="347">
        <f>'Table 3.0'!$M$28/12*Balances!Q29</f>
        <v>0</v>
      </c>
      <c r="T86" s="347">
        <f>'Table 3.0'!$M$28/12*Balances!R29</f>
        <v>0</v>
      </c>
      <c r="U86" s="347">
        <f>'Table 3.0'!$M$28/12*Balances!S29</f>
        <v>0</v>
      </c>
      <c r="V86" s="567">
        <f>'Table 3.0'!$M$28/12*Balances!T29</f>
        <v>0</v>
      </c>
      <c r="W86" s="347">
        <f>'Table 3.0'!$M$28/12*Balances!U29</f>
        <v>0</v>
      </c>
      <c r="X86" s="347">
        <f>'Table 3.0'!$M$28/12*Balances!V29</f>
        <v>0</v>
      </c>
      <c r="Y86" s="347">
        <f>'Table 3.0'!$M$28/12*Balances!W29</f>
        <v>0</v>
      </c>
      <c r="Z86" s="347">
        <f>'Table 3.0'!$M$28/12*Balances!X29</f>
        <v>0</v>
      </c>
      <c r="AA86" s="347">
        <f>'Table 3.0'!$M$28/12*Balances!Y29</f>
        <v>0</v>
      </c>
      <c r="AB86" s="347">
        <f>'Table 3.0'!$M$28/12*Balances!Z29</f>
        <v>0</v>
      </c>
      <c r="AC86" s="347">
        <f>'Table 3.0'!$M$28/12*Balances!AA29</f>
        <v>0</v>
      </c>
      <c r="AD86" s="347">
        <f>'Table 3.0'!$M$28/12*Balances!AB29</f>
        <v>0</v>
      </c>
      <c r="AE86" s="347">
        <f>'Table 3.0'!$M$28/12*Balances!AC29</f>
        <v>0</v>
      </c>
      <c r="AF86" s="347">
        <f>'Table 3.0'!$M$28/12*Balances!AD29</f>
        <v>0</v>
      </c>
      <c r="AG86" s="347">
        <f>'Table 3.0'!$M$28/12*Balances!AE29</f>
        <v>0</v>
      </c>
      <c r="AH86" s="567">
        <f>'Table 3.0'!$M$28/12*Balances!AF29</f>
        <v>0</v>
      </c>
      <c r="AI86" s="347">
        <f>'Table 3.0'!$M$28/12*Balances!AG29</f>
        <v>11850</v>
      </c>
      <c r="AJ86" s="347">
        <f>'Table 3.0'!$M$28/12*Balances!AH29</f>
        <v>11838.203262769399</v>
      </c>
      <c r="AK86" s="347">
        <f>'Table 3.0'!$M$28/12*Balances!AI29</f>
        <v>11826.347541852645</v>
      </c>
      <c r="AL86" s="347">
        <f>'Table 3.0'!$M$28/12*Balances!AJ29</f>
        <v>11814.432542331308</v>
      </c>
      <c r="AM86" s="347">
        <f>'Table 3.0'!$M$28/12*Balances!AK29</f>
        <v>11802.457967812363</v>
      </c>
      <c r="AN86" s="347">
        <f>'Table 3.0'!$M$28/12*Balances!AL29</f>
        <v>11790.423520420825</v>
      </c>
      <c r="AO86" s="347">
        <f>'Table 3.0'!$M$28/12*Balances!AM29</f>
        <v>11778.328900792329</v>
      </c>
      <c r="AP86" s="347">
        <f>'Table 3.0'!$M$28/12*Balances!AN29</f>
        <v>11766.173808065691</v>
      </c>
      <c r="AQ86" s="347">
        <f>'Table 3.0'!$M$28/12*Balances!AO29</f>
        <v>11753.957939875418</v>
      </c>
      <c r="AR86" s="347">
        <f>'Table 3.0'!$M$28/12*Balances!AP29</f>
        <v>11741.680992344192</v>
      </c>
      <c r="AS86" s="347">
        <f>'Table 3.0'!$M$28/12*Balances!AQ29</f>
        <v>11729.342660075312</v>
      </c>
      <c r="AT86" s="567">
        <f>'Table 3.0'!$M$28/12*Balances!AR29</f>
        <v>11716.942636145088</v>
      </c>
      <c r="AU86" s="347">
        <f>'Table 3.0'!$M$28/12*Balances!AS29</f>
        <v>11804.375447335296</v>
      </c>
      <c r="AV86" s="347">
        <f>'Table 3.0'!$M$28/12*Balances!AT29</f>
        <v>11791.745422581458</v>
      </c>
      <c r="AW86" s="347">
        <f>'Table 3.0'!$M$28/12*Balances!AU29</f>
        <v>11779.052247703848</v>
      </c>
      <c r="AX86" s="347">
        <f>'Table 3.0'!$M$28/12*Balances!AV29</f>
        <v>11766.295606951851</v>
      </c>
      <c r="AY86" s="347">
        <f>'Table 3.0'!$M$28/12*Balances!AW29</f>
        <v>11753.475182996095</v>
      </c>
      <c r="AZ86" s="347">
        <f>'Table 3.0'!$M$28/12*Balances!AX29</f>
        <v>11740.59065692056</v>
      </c>
      <c r="BA86" s="347">
        <f>'Table 3.0'!$M$28/12*Balances!AY29</f>
        <v>11727.641708214647</v>
      </c>
      <c r="BB86" s="347">
        <f>'Table 3.0'!$M$28/12*Balances!AZ29</f>
        <v>11714.628014765205</v>
      </c>
      <c r="BC86" s="347">
        <f>'Table 3.0'!$M$28/12*Balances!BA29</f>
        <v>11701.549252848516</v>
      </c>
      <c r="BD86" s="347">
        <f>'Table 3.0'!$M$28/12*Balances!BB29</f>
        <v>11688.405097122244</v>
      </c>
      <c r="BE86" s="347">
        <f>'Table 3.0'!$M$28/12*Balances!BC29</f>
        <v>11675.195220617341</v>
      </c>
      <c r="BF86" s="567">
        <f>'Table 3.0'!$M$28/12*Balances!BD29</f>
        <v>11661.919294729911</v>
      </c>
      <c r="BG86" s="347">
        <f>'Table 3.0'!$M$28/12*Balances!BE29</f>
        <v>11648.576989213045</v>
      </c>
      <c r="BH86" s="347">
        <f>'Table 3.0'!$M$28/12*Balances!BF29</f>
        <v>11635.167972168594</v>
      </c>
      <c r="BI86" s="347">
        <f>'Table 3.0'!$M$28/12*Balances!BG29</f>
        <v>11621.69191003892</v>
      </c>
      <c r="BJ86" s="347">
        <f>'Table 3.0'!$M$28/12*Balances!BH29</f>
        <v>11608.148467598599</v>
      </c>
      <c r="BK86" s="347">
        <f>'Table 3.0'!$M$28/12*Balances!BI29</f>
        <v>11594.537307946077</v>
      </c>
      <c r="BL86" s="347">
        <f>'Table 3.0'!$M$28/12*Balances!BJ29</f>
        <v>11580.858092495291</v>
      </c>
      <c r="BM86" s="347">
        <f>'Table 3.0'!$M$28/12*Balances!BK29</f>
        <v>11567.110480967252</v>
      </c>
      <c r="BN86" s="347">
        <f>'Table 3.0'!$M$28/12*Balances!BL29</f>
        <v>11553.294131381572</v>
      </c>
      <c r="BO86" s="347">
        <f>'Table 3.0'!$M$28/12*Balances!BM29</f>
        <v>11539.408700047965</v>
      </c>
      <c r="BP86" s="347">
        <f>'Table 3.0'!$M$28/12*Balances!BN29</f>
        <v>11525.45384155769</v>
      </c>
      <c r="BQ86" s="347">
        <f>'Table 3.0'!$M$28/12*Balances!BO29</f>
        <v>11511.429208774962</v>
      </c>
      <c r="BR86" s="567">
        <f>'Table 3.0'!$M$28/12*Balances!BP29</f>
        <v>11497.334452828323</v>
      </c>
      <c r="BS86" s="347">
        <f>'Table 3.0'!$M$28/12*Balances!BQ29</f>
        <v>11383.287760589197</v>
      </c>
      <c r="BT86" s="347">
        <f>'Table 3.0'!$M$28/12*Balances!BR29</f>
        <v>11369.170834888877</v>
      </c>
      <c r="BU86" s="347">
        <f>'Table 3.0'!$M$28/12*Balances!BS29</f>
        <v>11354.983324560055</v>
      </c>
      <c r="BV86" s="347">
        <f>'Table 3.0'!$M$28/12*Balances!BT29</f>
        <v>11340.724876679589</v>
      </c>
      <c r="BW86" s="347">
        <f>'Table 3.0'!$M$28/12*Balances!BU29</f>
        <v>11326.395136559722</v>
      </c>
      <c r="BX86" s="347">
        <f>'Table 3.0'!$M$28/12*Balances!BV29</f>
        <v>11311.993747739254</v>
      </c>
      <c r="BY86" s="347">
        <f>'Table 3.0'!$M$28/12*Balances!BW29</f>
        <v>11297.520351974685</v>
      </c>
      <c r="BZ86" s="347">
        <f>'Table 3.0'!$M$28/12*Balances!BX29</f>
        <v>11282.974589231291</v>
      </c>
      <c r="CA86" s="347">
        <f>'Table 3.0'!$M$28/12*Balances!BY29</f>
        <v>11268.356097674181</v>
      </c>
      <c r="CB86" s="347">
        <f>'Table 3.0'!$M$28/12*Balances!BZ29</f>
        <v>11253.664513659287</v>
      </c>
      <c r="CC86" s="347">
        <f>'Table 3.0'!$M$28/12*Balances!CA29</f>
        <v>11238.899471724317</v>
      </c>
      <c r="CD86" s="567">
        <f>'Table 3.0'!$M$28/12*Balances!CB29</f>
        <v>11224.060604579672</v>
      </c>
      <c r="CE86" s="347">
        <f>'Table 3.0'!$M$28/12*Balances!CC29</f>
        <v>11059.336316029438</v>
      </c>
      <c r="CF86" s="347">
        <f>'Table 3.0'!$M$28/12*Balances!CD29</f>
        <v>11044.53840603645</v>
      </c>
      <c r="CG86" s="347">
        <f>'Table 3.0'!$M$28/12*Balances!CE29</f>
        <v>11029.666506493497</v>
      </c>
      <c r="CH86" s="347">
        <f>'Table 3.0'!$M$28/12*Balances!CF29</f>
        <v>11014.720247452829</v>
      </c>
      <c r="CI86" s="347">
        <f>'Table 3.0'!$M$28/12*Balances!CG29</f>
        <v>10999.699257116958</v>
      </c>
      <c r="CJ86" s="347">
        <f>'Table 3.0'!$M$28/12*Balances!CH29</f>
        <v>10984.603161829407</v>
      </c>
      <c r="CK86" s="347">
        <f>'Table 3.0'!$M$28/12*Balances!CI29</f>
        <v>10969.431586065421</v>
      </c>
      <c r="CL86" s="347">
        <f>'Table 3.0'!$M$28/12*Balances!CJ29</f>
        <v>10954.184152422613</v>
      </c>
      <c r="CM86" s="347">
        <f>'Table 3.0'!$M$28/12*Balances!CK29</f>
        <v>10938.860481611591</v>
      </c>
      <c r="CN86" s="347">
        <f>'Table 3.0'!$M$28/12*Balances!CL29</f>
        <v>10923.460192446513</v>
      </c>
      <c r="CO86" s="347">
        <f>'Table 3.0'!$M$28/12*Balances!CM29</f>
        <v>10907.982901835612</v>
      </c>
      <c r="CP86" s="567">
        <f>'Table 3.0'!$M$28/12*Balances!CN29</f>
        <v>10892.428224771656</v>
      </c>
      <c r="CQ86" s="347">
        <f>'Table 3.0'!$M$28/12*Balances!CO29</f>
        <v>10627.129801041381</v>
      </c>
      <c r="CR86" s="347">
        <f>'Table 3.0'!$M$28/12*Balances!CP29</f>
        <v>10611.754885192455</v>
      </c>
      <c r="CS86" s="347">
        <f>'Table 3.0'!$M$28/12*Balances!CQ29</f>
        <v>10596.303094764284</v>
      </c>
      <c r="CT86" s="347">
        <f>'Table 3.0'!$M$28/12*Balances!CR29</f>
        <v>10580.774045383972</v>
      </c>
      <c r="CU86" s="347">
        <f>'Table 3.0'!$M$28/12*Balances!CS29</f>
        <v>10565.167350756759</v>
      </c>
      <c r="CV86" s="347">
        <f>'Table 3.0'!$M$28/12*Balances!CT29</f>
        <v>10549.482622656411</v>
      </c>
      <c r="CW86" s="347">
        <f>'Table 3.0'!$M$28/12*Balances!CU29</f>
        <v>10533.719470915559</v>
      </c>
      <c r="CX86" s="347">
        <f>'Table 3.0'!$M$28/12*Balances!CV29</f>
        <v>10517.877503416004</v>
      </c>
      <c r="CY86" s="347">
        <f>'Table 3.0'!$M$28/12*Balances!CW29</f>
        <v>10501.956326078953</v>
      </c>
      <c r="CZ86" s="347">
        <f>'Table 3.0'!$M$28/12*Balances!CX29</f>
        <v>10485.955542855214</v>
      </c>
      <c r="DA86" s="347">
        <f>'Table 3.0'!$M$28/12*Balances!CY29</f>
        <v>10469.874755715358</v>
      </c>
      <c r="DB86" s="567">
        <f>'Table 3.0'!$M$28/12*Balances!CZ29</f>
        <v>10453.713564639802</v>
      </c>
      <c r="DC86" s="347">
        <f>'Table 3.0'!$M$28/12*Balances!DA29</f>
        <v>10137.897122116228</v>
      </c>
      <c r="DD86" s="347">
        <f>'Table 3.0'!$M$28/12*Balances!DB29</f>
        <v>10122.001597380038</v>
      </c>
      <c r="DE86" s="347">
        <f>'Table 3.0'!$M$28/12*Balances!DC29</f>
        <v>10106.026595020165</v>
      </c>
      <c r="DF86" s="347">
        <f>'Table 3.0'!$M$28/12*Balances!DD29</f>
        <v>10089.971717648494</v>
      </c>
      <c r="DG86" s="347">
        <f>'Table 3.0'!$M$28/12*Balances!DE29</f>
        <v>10073.836565889964</v>
      </c>
      <c r="DH86" s="347">
        <f>'Table 3.0'!$M$28/12*Balances!DF29</f>
        <v>10057.620738372641</v>
      </c>
      <c r="DI86" s="347">
        <f>'Table 3.0'!$M$28/12*Balances!DG29</f>
        <v>10041.323831717733</v>
      </c>
      <c r="DJ86" s="347">
        <f>'Table 3.0'!$M$28/12*Balances!DH29</f>
        <v>10024.945440529549</v>
      </c>
      <c r="DK86" s="347">
        <f>'Table 3.0'!$M$28/12*Balances!DI29</f>
        <v>10008.485157385425</v>
      </c>
      <c r="DL86" s="347">
        <f>'Table 3.0'!$M$28/12*Balances!DJ29</f>
        <v>9991.9425728255792</v>
      </c>
      <c r="DM86" s="347">
        <f>'Table 3.0'!$M$28/12*Balances!DK29</f>
        <v>9975.3172753429353</v>
      </c>
      <c r="DN86" s="347">
        <f>'Table 3.0'!$M$28/12*Balances!DL29</f>
        <v>9958.6088513728773</v>
      </c>
      <c r="DO86" s="342"/>
      <c r="DP86" s="344">
        <f>SUM(J86:DJ86)</f>
        <v>895614.45179635263</v>
      </c>
    </row>
    <row r="87" spans="3:120" x14ac:dyDescent="0.3">
      <c r="D87" s="331" t="str">
        <f>'Table 3.0'!D115</f>
        <v>Total Debt Service</v>
      </c>
      <c r="J87" s="345"/>
      <c r="K87" s="345">
        <f t="shared" ref="K87:BG87" si="209">SUM(K83:K86)</f>
        <v>9302.0833333333339</v>
      </c>
      <c r="L87" s="345">
        <f t="shared" si="209"/>
        <v>9302.0833333333339</v>
      </c>
      <c r="M87" s="345">
        <f t="shared" si="209"/>
        <v>9302.0833333333339</v>
      </c>
      <c r="N87" s="345">
        <f t="shared" si="209"/>
        <v>9302.0833333333339</v>
      </c>
      <c r="O87" s="345">
        <f t="shared" si="209"/>
        <v>9302.0833333333339</v>
      </c>
      <c r="P87" s="345">
        <f t="shared" si="209"/>
        <v>9943.5503819444439</v>
      </c>
      <c r="Q87" s="345">
        <f t="shared" si="209"/>
        <v>12889.041614134838</v>
      </c>
      <c r="R87" s="345">
        <f t="shared" si="209"/>
        <v>15424.841318580071</v>
      </c>
      <c r="S87" s="345">
        <f t="shared" si="209"/>
        <v>20797.919333185499</v>
      </c>
      <c r="T87" s="345">
        <f t="shared" si="209"/>
        <v>21712.800361239882</v>
      </c>
      <c r="U87" s="345">
        <f t="shared" si="209"/>
        <v>22971.437947433034</v>
      </c>
      <c r="V87" s="566">
        <f t="shared" si="209"/>
        <v>24274.516831183544</v>
      </c>
      <c r="W87" s="345">
        <f t="shared" si="209"/>
        <v>25420.341651930416</v>
      </c>
      <c r="X87" s="345">
        <f t="shared" si="209"/>
        <v>25446.780732369305</v>
      </c>
      <c r="Y87" s="345">
        <f t="shared" si="209"/>
        <v>25455.014480528342</v>
      </c>
      <c r="Z87" s="345">
        <f t="shared" si="209"/>
        <v>25436.298104193636</v>
      </c>
      <c r="AA87" s="345">
        <f t="shared" si="209"/>
        <v>25417.433556546279</v>
      </c>
      <c r="AB87" s="345">
        <f t="shared" si="209"/>
        <v>25414.077485396716</v>
      </c>
      <c r="AC87" s="345">
        <f t="shared" si="209"/>
        <v>25417.751999517219</v>
      </c>
      <c r="AD87" s="345">
        <f t="shared" si="209"/>
        <v>25448.470911874509</v>
      </c>
      <c r="AE87" s="345">
        <f t="shared" si="209"/>
        <v>25497.847657287959</v>
      </c>
      <c r="AF87" s="345">
        <f t="shared" si="209"/>
        <v>25971.151110269268</v>
      </c>
      <c r="AG87" s="345">
        <f t="shared" si="209"/>
        <v>26060.281715586672</v>
      </c>
      <c r="AH87" s="566">
        <f t="shared" si="209"/>
        <v>26114.501963196184</v>
      </c>
      <c r="AI87" s="345">
        <f t="shared" si="209"/>
        <v>19495.565133599259</v>
      </c>
      <c r="AJ87" s="345">
        <f t="shared" si="209"/>
        <v>19476.62308415255</v>
      </c>
      <c r="AK87" s="345">
        <f t="shared" si="209"/>
        <v>19438.482754797977</v>
      </c>
      <c r="AL87" s="345">
        <f t="shared" si="209"/>
        <v>19372.39166452202</v>
      </c>
      <c r="AM87" s="345">
        <f t="shared" si="209"/>
        <v>19305.812105196645</v>
      </c>
      <c r="AN87" s="345">
        <f t="shared" si="209"/>
        <v>19254.732248118962</v>
      </c>
      <c r="AO87" s="345">
        <f t="shared" si="209"/>
        <v>19210.67430722764</v>
      </c>
      <c r="AP87" s="345">
        <f t="shared" si="209"/>
        <v>19193.986246111512</v>
      </c>
      <c r="AQ87" s="345">
        <f t="shared" si="209"/>
        <v>19196.284252698664</v>
      </c>
      <c r="AR87" s="345">
        <f t="shared" si="209"/>
        <v>19670.015393953523</v>
      </c>
      <c r="AS87" s="345">
        <f t="shared" si="209"/>
        <v>19712.437464506944</v>
      </c>
      <c r="AT87" s="566">
        <f t="shared" si="209"/>
        <v>19718.947300754699</v>
      </c>
      <c r="AU87" s="345">
        <f t="shared" si="209"/>
        <v>19701.206654802496</v>
      </c>
      <c r="AV87" s="345">
        <f t="shared" si="209"/>
        <v>19679.282140953866</v>
      </c>
      <c r="AW87" s="345">
        <f t="shared" si="209"/>
        <v>19637.470078942799</v>
      </c>
      <c r="AX87" s="345">
        <f t="shared" si="209"/>
        <v>19567.012543200872</v>
      </c>
      <c r="AY87" s="345">
        <f t="shared" si="209"/>
        <v>19496.034425503181</v>
      </c>
      <c r="AZ87" s="345">
        <f t="shared" si="209"/>
        <v>19440.85769894359</v>
      </c>
      <c r="BA87" s="345">
        <f t="shared" si="209"/>
        <v>19393.006978166453</v>
      </c>
      <c r="BB87" s="345">
        <f t="shared" si="209"/>
        <v>19373.166690283557</v>
      </c>
      <c r="BC87" s="345">
        <f t="shared" si="209"/>
        <v>19372.958106727481</v>
      </c>
      <c r="BD87" s="345">
        <f t="shared" si="209"/>
        <v>19897.577576607182</v>
      </c>
      <c r="BE87" s="345">
        <f t="shared" si="209"/>
        <v>19934.248879410959</v>
      </c>
      <c r="BF87" s="566">
        <f t="shared" si="209"/>
        <v>19938.597208835075</v>
      </c>
      <c r="BG87" s="345">
        <f t="shared" si="209"/>
        <v>19935.293442317634</v>
      </c>
      <c r="BH87" s="345">
        <f t="shared" ref="BH87:CL87" si="210">SUM(BH83:BH86)</f>
        <v>19910.849364589689</v>
      </c>
      <c r="BI87" s="345">
        <f t="shared" si="210"/>
        <v>19865.831976712776</v>
      </c>
      <c r="BJ87" s="345">
        <f t="shared" si="210"/>
        <v>19791.477935529721</v>
      </c>
      <c r="BK87" s="345">
        <f t="shared" si="210"/>
        <v>19716.574759894414</v>
      </c>
      <c r="BL87" s="345">
        <f t="shared" si="210"/>
        <v>19657.77825208431</v>
      </c>
      <c r="BM87" s="345">
        <f t="shared" si="210"/>
        <v>19606.615455049116</v>
      </c>
      <c r="BN87" s="345">
        <f t="shared" si="210"/>
        <v>19584.107287237675</v>
      </c>
      <c r="BO87" s="345">
        <f t="shared" si="210"/>
        <v>19581.880131617356</v>
      </c>
      <c r="BP87" s="345">
        <f t="shared" si="210"/>
        <v>20164.107407523101</v>
      </c>
      <c r="BQ87" s="345">
        <f t="shared" si="210"/>
        <v>20204.173357867025</v>
      </c>
      <c r="BR87" s="566">
        <f t="shared" si="210"/>
        <v>20206.977164663462</v>
      </c>
      <c r="BS87" s="345">
        <f t="shared" si="210"/>
        <v>20101.715845684314</v>
      </c>
      <c r="BT87" s="345">
        <f t="shared" si="210"/>
        <v>20074.452524730445</v>
      </c>
      <c r="BU87" s="345">
        <f t="shared" si="210"/>
        <v>20025.927551852314</v>
      </c>
      <c r="BV87" s="345">
        <f t="shared" si="210"/>
        <v>19947.37214484403</v>
      </c>
      <c r="BW87" s="345">
        <f t="shared" si="210"/>
        <v>19868.236428003245</v>
      </c>
      <c r="BX87" s="345">
        <f t="shared" si="210"/>
        <v>19805.510010979488</v>
      </c>
      <c r="BY87" s="345">
        <f t="shared" si="210"/>
        <v>19750.722343038353</v>
      </c>
      <c r="BZ87" s="345">
        <f t="shared" si="210"/>
        <v>19725.230811796995</v>
      </c>
      <c r="CA87" s="345">
        <f t="shared" si="210"/>
        <v>19879.000222741313</v>
      </c>
      <c r="CB87" s="345">
        <f t="shared" si="210"/>
        <v>20526.732785552646</v>
      </c>
      <c r="CC87" s="345">
        <f t="shared" si="210"/>
        <v>20566.88789984295</v>
      </c>
      <c r="CD87" s="566">
        <f t="shared" si="210"/>
        <v>20569.115648493691</v>
      </c>
      <c r="CE87" s="345">
        <f t="shared" si="210"/>
        <v>20412.90086680785</v>
      </c>
      <c r="CF87" s="345">
        <f t="shared" si="210"/>
        <v>20384.234420496046</v>
      </c>
      <c r="CG87" s="345">
        <f t="shared" si="210"/>
        <v>20333.629112888415</v>
      </c>
      <c r="CH87" s="345">
        <f t="shared" si="210"/>
        <v>20252.310810469229</v>
      </c>
      <c r="CI87" s="345">
        <f t="shared" si="210"/>
        <v>20170.392331411422</v>
      </c>
      <c r="CJ87" s="345">
        <f t="shared" si="210"/>
        <v>20105.19718186622</v>
      </c>
      <c r="CK87" s="345">
        <f t="shared" si="210"/>
        <v>20048.257307248379</v>
      </c>
      <c r="CL87" s="345">
        <f t="shared" si="210"/>
        <v>20021.266654885789</v>
      </c>
      <c r="CM87" s="345">
        <f t="shared" ref="CM87:DJ87" si="211">SUM(CM83:CM86)</f>
        <v>20253.361877373449</v>
      </c>
      <c r="CN87" s="345">
        <f t="shared" si="211"/>
        <v>20975.270224178941</v>
      </c>
      <c r="CO87" s="345">
        <f t="shared" si="211"/>
        <v>21016.463998973442</v>
      </c>
      <c r="CP87" s="566">
        <f t="shared" si="211"/>
        <v>21019.072620749343</v>
      </c>
      <c r="CQ87" s="345">
        <f t="shared" si="211"/>
        <v>20762.825040086325</v>
      </c>
      <c r="CR87" s="345">
        <f t="shared" si="211"/>
        <v>20733.295859229671</v>
      </c>
      <c r="CS87" s="345">
        <f t="shared" si="211"/>
        <v>20681.154582529132</v>
      </c>
      <c r="CT87" s="345">
        <f t="shared" si="211"/>
        <v>20597.621755110129</v>
      </c>
      <c r="CU87" s="345">
        <f t="shared" si="211"/>
        <v>20513.472919201413</v>
      </c>
      <c r="CV87" s="345">
        <f t="shared" si="211"/>
        <v>20446.365507867755</v>
      </c>
      <c r="CW87" s="345">
        <f t="shared" si="211"/>
        <v>20387.833993317992</v>
      </c>
      <c r="CX87" s="345">
        <f t="shared" si="211"/>
        <v>20359.908913470623</v>
      </c>
      <c r="CY87" s="345">
        <f t="shared" si="211"/>
        <v>20750.065465813008</v>
      </c>
      <c r="CZ87" s="345">
        <f t="shared" si="211"/>
        <v>21556.061394961427</v>
      </c>
      <c r="DA87" s="345">
        <f t="shared" si="211"/>
        <v>21599.571760167244</v>
      </c>
      <c r="DB87" s="566">
        <f t="shared" si="211"/>
        <v>21603.848984726767</v>
      </c>
      <c r="DC87" s="345">
        <f t="shared" si="211"/>
        <v>21298.89755065873</v>
      </c>
      <c r="DD87" s="345">
        <f t="shared" si="211"/>
        <v>21270.24960210744</v>
      </c>
      <c r="DE87" s="345">
        <f t="shared" si="211"/>
        <v>21218.329965077261</v>
      </c>
      <c r="DF87" s="345">
        <f t="shared" si="211"/>
        <v>21134.353970510812</v>
      </c>
      <c r="DG87" s="345">
        <f t="shared" si="211"/>
        <v>21049.759992713047</v>
      </c>
      <c r="DH87" s="345">
        <f t="shared" si="211"/>
        <v>20982.539500533676</v>
      </c>
      <c r="DI87" s="345">
        <f t="shared" si="211"/>
        <v>20924.229602704814</v>
      </c>
      <c r="DJ87" s="345">
        <f t="shared" si="211"/>
        <v>20897.197538329216</v>
      </c>
      <c r="DK87" s="345"/>
      <c r="DL87" s="345"/>
      <c r="DM87" s="345"/>
      <c r="DN87" s="345"/>
      <c r="DP87" s="340">
        <f>SUM(J87:DJ87)</f>
        <v>2092928.3588201932</v>
      </c>
    </row>
    <row r="88" spans="3:120" x14ac:dyDescent="0.3">
      <c r="V88" s="561"/>
      <c r="AH88" s="561"/>
      <c r="AT88" s="561"/>
      <c r="BF88" s="561"/>
      <c r="BR88" s="561"/>
      <c r="CD88" s="561"/>
      <c r="CP88" s="561"/>
      <c r="DB88" s="561"/>
      <c r="DP88" s="340"/>
    </row>
    <row r="89" spans="3:120" x14ac:dyDescent="0.3">
      <c r="D89" s="331" t="str">
        <f>'Table 3.0'!D117</f>
        <v>Refinance Points &amp; Fees</v>
      </c>
      <c r="J89" s="340"/>
      <c r="K89" s="340">
        <f>IF(K119&gt;0,(('Table 3.0'!$Q$28*Monthly!K119)+'Table 3.0'!$R$28),0)</f>
        <v>0</v>
      </c>
      <c r="L89" s="340">
        <f>IF(L119&gt;0,(('Table 3.0'!$Q$28*Monthly!L119)+'Table 3.0'!$R$28),0)</f>
        <v>0</v>
      </c>
      <c r="M89" s="340">
        <f>IF(M119&gt;0,(('Table 3.0'!$Q$28*Monthly!M119)+'Table 3.0'!$R$28),0)</f>
        <v>0</v>
      </c>
      <c r="N89" s="340">
        <f>IF(N119&gt;0,(('Table 3.0'!$Q$28*Monthly!N119)+'Table 3.0'!$R$28),0)</f>
        <v>0</v>
      </c>
      <c r="O89" s="340">
        <f>IF(O119&gt;0,(('Table 3.0'!$Q$28*Monthly!O119)+'Table 3.0'!$R$28),0)</f>
        <v>0</v>
      </c>
      <c r="P89" s="340">
        <f>IF(P119&gt;0,(('Table 3.0'!$Q$28*Monthly!P119)+'Table 3.0'!$R$28),0)</f>
        <v>0</v>
      </c>
      <c r="Q89" s="340">
        <f>IF(Q119&gt;0,(('Table 3.0'!$Q$28*Monthly!Q119)+'Table 3.0'!$R$28),0)</f>
        <v>0</v>
      </c>
      <c r="R89" s="340">
        <f>IF(R119&gt;0,(('Table 3.0'!$Q$28*Monthly!R119)+'Table 3.0'!$R$28),0)</f>
        <v>0</v>
      </c>
      <c r="S89" s="340">
        <f>IF(S119&gt;0,(('Table 3.0'!$Q$28*Monthly!S119)+'Table 3.0'!$R$28),0)</f>
        <v>0</v>
      </c>
      <c r="T89" s="340">
        <f>IF(T119&gt;0,(('Table 3.0'!$Q$28*Monthly!T119)+'Table 3.0'!$R$28),0)</f>
        <v>0</v>
      </c>
      <c r="U89" s="340">
        <f>IF(U119&gt;0,(('Table 3.0'!$Q$28*Monthly!U119)+'Table 3.0'!$R$28),0)</f>
        <v>0</v>
      </c>
      <c r="V89" s="562">
        <f>IF(V119&gt;0,(('Table 3.0'!$Q$28*Monthly!V119)+'Table 3.0'!$R$28),0)</f>
        <v>0</v>
      </c>
      <c r="W89" s="340">
        <f>IF(W119&gt;0,(('Table 3.0'!$Q$28*Monthly!W119)+'Table 3.0'!$R$28),0)</f>
        <v>0</v>
      </c>
      <c r="X89" s="340">
        <f>IF(X119&gt;0,(('Table 3.0'!$Q$28*Monthly!X119)+'Table 3.0'!$R$28),0)</f>
        <v>0</v>
      </c>
      <c r="Y89" s="340">
        <f>IF(Y119&gt;0,(('Table 3.0'!$Q$28*Monthly!Y119)+'Table 3.0'!$R$28),0)</f>
        <v>0</v>
      </c>
      <c r="Z89" s="340">
        <f>IF(Z119&gt;0,(('Table 3.0'!$Q$28*Monthly!Z119)+'Table 3.0'!$R$28),0)</f>
        <v>0</v>
      </c>
      <c r="AA89" s="340">
        <f>IF(AA119&gt;0,(('Table 3.0'!$Q$28*Monthly!AA119)+'Table 3.0'!$R$28),0)</f>
        <v>0</v>
      </c>
      <c r="AB89" s="340">
        <f>IF(AB119&gt;0,(('Table 3.0'!$Q$28*Monthly!AB119)+'Table 3.0'!$R$28),0)</f>
        <v>0</v>
      </c>
      <c r="AC89" s="340">
        <f>IF(AC119&gt;0,(('Table 3.0'!$Q$28*Monthly!AC119)+'Table 3.0'!$R$28),0)</f>
        <v>0</v>
      </c>
      <c r="AD89" s="340">
        <f>IF(AD119&gt;0,(('Table 3.0'!$Q$28*Monthly!AD119)+'Table 3.0'!$R$28),0)</f>
        <v>0</v>
      </c>
      <c r="AE89" s="340">
        <f>IF(AE119&gt;0,(('Table 3.0'!$Q$28*Monthly!AE119)+'Table 3.0'!$R$28),0)</f>
        <v>0</v>
      </c>
      <c r="AF89" s="340">
        <f>IF(AF119&gt;0,(('Table 3.0'!$Q$28*Monthly!AF119)+'Table 3.0'!$R$28),0)</f>
        <v>0</v>
      </c>
      <c r="AG89" s="340">
        <f>IF(AG119&gt;0,(('Table 3.0'!$Q$28*Monthly!AG119)+'Table 3.0'!$R$28),0)</f>
        <v>0</v>
      </c>
      <c r="AH89" s="562">
        <f>IF(AH119&gt;0,(('Table 3.0'!$Q$28*Monthly!AH119)+'Table 3.0'!$R$28),0)</f>
        <v>31070</v>
      </c>
      <c r="AI89" s="340">
        <f>IF(AI119&gt;0,(('Table 3.0'!$Q$28*Monthly!AI119)+'Table 3.0'!$R$28),0)</f>
        <v>0</v>
      </c>
      <c r="AJ89" s="340">
        <f>IF(AJ119&gt;0,(('Table 3.0'!$Q$28*Monthly!AJ119)+'Table 3.0'!$R$28),0)</f>
        <v>0</v>
      </c>
      <c r="AK89" s="340">
        <f>IF(AK119&gt;0,(('Table 3.0'!$Q$28*Monthly!AK119)+'Table 3.0'!$R$28),0)</f>
        <v>0</v>
      </c>
      <c r="AL89" s="340">
        <f>IF(AL119&gt;0,(('Table 3.0'!$Q$28*Monthly!AL119)+'Table 3.0'!$R$28),0)</f>
        <v>0</v>
      </c>
      <c r="AM89" s="340">
        <f>IF(AM119&gt;0,(('Table 3.0'!$Q$28*Monthly!AM119)+'Table 3.0'!$R$28),0)</f>
        <v>0</v>
      </c>
      <c r="AN89" s="340">
        <f>IF(AN119&gt;0,(('Table 3.0'!$Q$28*Monthly!AN119)+'Table 3.0'!$R$28),0)</f>
        <v>0</v>
      </c>
      <c r="AO89" s="340">
        <f>IF(AO119&gt;0,(('Table 3.0'!$Q$28*Monthly!AO119)+'Table 3.0'!$R$28),0)</f>
        <v>0</v>
      </c>
      <c r="AP89" s="340">
        <f>IF(AP119&gt;0,(('Table 3.0'!$Q$28*Monthly!AP119)+'Table 3.0'!$R$28),0)</f>
        <v>0</v>
      </c>
      <c r="AQ89" s="340">
        <f>IF(AQ119&gt;0,(('Table 3.0'!$Q$28*Monthly!AQ119)+'Table 3.0'!$R$28),0)</f>
        <v>0</v>
      </c>
      <c r="AR89" s="340">
        <f>IF(AR119&gt;0,(('Table 3.0'!$Q$28*Monthly!AR119)+'Table 3.0'!$R$28),0)</f>
        <v>0</v>
      </c>
      <c r="AS89" s="340">
        <f>IF(AS119&gt;0,(('Table 3.0'!$Q$28*Monthly!AS119)+'Table 3.0'!$R$28),0)</f>
        <v>0</v>
      </c>
      <c r="AT89" s="562">
        <f>IF(AT119&gt;0,(('Table 3.0'!$Q$28*Monthly!AT119)+'Table 3.0'!$R$28),0)</f>
        <v>5220</v>
      </c>
      <c r="AU89" s="340">
        <f>IF(AU119&gt;0,(('Table 3.0'!$Q$28*Monthly!AU119)+'Table 3.0'!$R$28),0)</f>
        <v>0</v>
      </c>
      <c r="AV89" s="340">
        <f>IF(AV119&gt;0,(('Table 3.0'!$Q$28*Monthly!AV119)+'Table 3.0'!$R$28),0)</f>
        <v>0</v>
      </c>
      <c r="AW89" s="340">
        <f>IF(AW119&gt;0,(('Table 3.0'!$Q$28*Monthly!AW119)+'Table 3.0'!$R$28),0)</f>
        <v>0</v>
      </c>
      <c r="AX89" s="340">
        <f>IF(AX119&gt;0,(('Table 3.0'!$Q$28*Monthly!AX119)+'Table 3.0'!$R$28),0)</f>
        <v>0</v>
      </c>
      <c r="AY89" s="340">
        <f>IF(AY119&gt;0,(('Table 3.0'!$Q$28*Monthly!AY119)+'Table 3.0'!$R$28),0)</f>
        <v>0</v>
      </c>
      <c r="AZ89" s="340">
        <f>IF(AZ119&gt;0,(('Table 3.0'!$Q$28*Monthly!AZ119)+'Table 3.0'!$R$28),0)</f>
        <v>0</v>
      </c>
      <c r="BA89" s="340">
        <f>IF(BA119&gt;0,(('Table 3.0'!$Q$28*Monthly!BA119)+'Table 3.0'!$R$28),0)</f>
        <v>0</v>
      </c>
      <c r="BB89" s="340">
        <f>IF(BB119&gt;0,(('Table 3.0'!$Q$28*Monthly!BB119)+'Table 3.0'!$R$28),0)</f>
        <v>0</v>
      </c>
      <c r="BC89" s="340">
        <f>IF(BC119&gt;0,(('Table 3.0'!$Q$28*Monthly!BC119)+'Table 3.0'!$R$28),0)</f>
        <v>0</v>
      </c>
      <c r="BD89" s="340">
        <f>IF(BD119&gt;0,(('Table 3.0'!$Q$28*Monthly!BD119)+'Table 3.0'!$R$28),0)</f>
        <v>0</v>
      </c>
      <c r="BE89" s="340">
        <f>IF(BE119&gt;0,(('Table 3.0'!$Q$28*Monthly!BE119)+'Table 3.0'!$R$28),0)</f>
        <v>0</v>
      </c>
      <c r="BF89" s="562">
        <f>IF(BF119&gt;0,(('Table 3.0'!$Q$28*Monthly!BF119)+'Table 3.0'!$R$28),0)</f>
        <v>0</v>
      </c>
      <c r="BG89" s="340">
        <f>IF(BG119&gt;0,(('Table 3.0'!$Q$28*Monthly!BG119)+'Table 3.0'!$R$28),0)</f>
        <v>0</v>
      </c>
      <c r="BH89" s="340">
        <f>IF(BH119&gt;0,(('Table 3.0'!$Q$28*Monthly!BH119)+'Table 3.0'!$R$28),0)</f>
        <v>0</v>
      </c>
      <c r="BI89" s="340">
        <f>IF(BI119&gt;0,(('Table 3.0'!$Q$28*Monthly!BI119)+'Table 3.0'!$R$28),0)</f>
        <v>0</v>
      </c>
      <c r="BJ89" s="340">
        <f>IF(BJ119&gt;0,(('Table 3.0'!$Q$28*Monthly!BJ119)+'Table 3.0'!$R$28),0)</f>
        <v>0</v>
      </c>
      <c r="BK89" s="340">
        <f>IF(BK119&gt;0,(('Table 3.0'!$Q$28*Monthly!BK119)+'Table 3.0'!$R$28),0)</f>
        <v>0</v>
      </c>
      <c r="BL89" s="340">
        <f>IF(BL119&gt;0,(('Table 3.0'!$Q$28*Monthly!BL119)+'Table 3.0'!$R$28),0)</f>
        <v>0</v>
      </c>
      <c r="BM89" s="340">
        <f>IF(BM119&gt;0,(('Table 3.0'!$Q$28*Monthly!BM119)+'Table 3.0'!$R$28),0)</f>
        <v>0</v>
      </c>
      <c r="BN89" s="340">
        <f>IF(BN119&gt;0,(('Table 3.0'!$Q$28*Monthly!BN119)+'Table 3.0'!$R$28),0)</f>
        <v>0</v>
      </c>
      <c r="BO89" s="340">
        <f>IF(BO119&gt;0,(('Table 3.0'!$Q$28*Monthly!BO119)+'Table 3.0'!$R$28),0)</f>
        <v>0</v>
      </c>
      <c r="BP89" s="340">
        <f>IF(BP119&gt;0,(('Table 3.0'!$Q$28*Monthly!BP119)+'Table 3.0'!$R$28),0)</f>
        <v>0</v>
      </c>
      <c r="BQ89" s="340">
        <f>IF(BQ119&gt;0,(('Table 3.0'!$Q$28*Monthly!BQ119)+'Table 3.0'!$R$28),0)</f>
        <v>0</v>
      </c>
      <c r="BR89" s="562">
        <f>IF(BR119&gt;0,(('Table 3.0'!$Q$28*Monthly!BR119)+'Table 3.0'!$R$28),0)</f>
        <v>0</v>
      </c>
      <c r="BS89" s="340">
        <f>IF(BS119&gt;0,(('Table 3.0'!$Q$28*Monthly!BS119)+'Table 3.0'!$R$28),0)</f>
        <v>0</v>
      </c>
      <c r="BT89" s="340">
        <f>IF(BT119&gt;0,(('Table 3.0'!$Q$28*Monthly!BT119)+'Table 3.0'!$R$28),0)</f>
        <v>0</v>
      </c>
      <c r="BU89" s="340">
        <f>IF(BU119&gt;0,(('Table 3.0'!$Q$28*Monthly!BU119)+'Table 3.0'!$R$28),0)</f>
        <v>0</v>
      </c>
      <c r="BV89" s="340">
        <f>IF(BV119&gt;0,(('Table 3.0'!$Q$28*Monthly!BV119)+'Table 3.0'!$R$28),0)</f>
        <v>0</v>
      </c>
      <c r="BW89" s="340">
        <f>IF(BW119&gt;0,(('Table 3.0'!$Q$28*Monthly!BW119)+'Table 3.0'!$R$28),0)</f>
        <v>0</v>
      </c>
      <c r="BX89" s="340">
        <f>IF(BX119&gt;0,(('Table 3.0'!$Q$28*Monthly!BX119)+'Table 3.0'!$R$28),0)</f>
        <v>0</v>
      </c>
      <c r="BY89" s="340">
        <f>IF(BY119&gt;0,(('Table 3.0'!$Q$28*Monthly!BY119)+'Table 3.0'!$R$28),0)</f>
        <v>0</v>
      </c>
      <c r="BZ89" s="340">
        <f>IF(BZ119&gt;0,(('Table 3.0'!$Q$28*Monthly!BZ119)+'Table 3.0'!$R$28),0)</f>
        <v>0</v>
      </c>
      <c r="CA89" s="340">
        <f>IF(CA119&gt;0,(('Table 3.0'!$Q$28*Monthly!CA119)+'Table 3.0'!$R$28),0)</f>
        <v>0</v>
      </c>
      <c r="CB89" s="340">
        <f>IF(CB119&gt;0,(('Table 3.0'!$Q$28*Monthly!CB119)+'Table 3.0'!$R$28),0)</f>
        <v>0</v>
      </c>
      <c r="CC89" s="340">
        <f>IF(CC119&gt;0,(('Table 3.0'!$Q$28*Monthly!CC119)+'Table 3.0'!$R$28),0)</f>
        <v>0</v>
      </c>
      <c r="CD89" s="562">
        <f>IF(CD119&gt;0,(('Table 3.0'!$Q$28*Monthly!CD119)+'Table 3.0'!$R$28),0)</f>
        <v>0</v>
      </c>
      <c r="CE89" s="340">
        <f>IF(CE119&gt;0,(('Table 3.0'!$Q$28*Monthly!CE119)+'Table 3.0'!$R$28),0)</f>
        <v>0</v>
      </c>
      <c r="CF89" s="340">
        <f>IF(CF119&gt;0,(('Table 3.0'!$Q$28*Monthly!CF119)+'Table 3.0'!$R$28),0)</f>
        <v>0</v>
      </c>
      <c r="CG89" s="340">
        <f>IF(CG119&gt;0,(('Table 3.0'!$Q$28*Monthly!CG119)+'Table 3.0'!$R$28),0)</f>
        <v>0</v>
      </c>
      <c r="CH89" s="340">
        <f>IF(CH119&gt;0,(('Table 3.0'!$Q$28*Monthly!CH119)+'Table 3.0'!$R$28),0)</f>
        <v>0</v>
      </c>
      <c r="CI89" s="340">
        <f>IF(CI119&gt;0,(('Table 3.0'!$Q$28*Monthly!CI119)+'Table 3.0'!$R$28),0)</f>
        <v>0</v>
      </c>
      <c r="CJ89" s="340">
        <f>IF(CJ119&gt;0,(('Table 3.0'!$Q$28*Monthly!CJ119)+'Table 3.0'!$R$28),0)</f>
        <v>0</v>
      </c>
      <c r="CK89" s="340">
        <f>IF(CK119&gt;0,(('Table 3.0'!$Q$28*Monthly!CK119)+'Table 3.0'!$R$28),0)</f>
        <v>0</v>
      </c>
      <c r="CL89" s="340">
        <f>IF(CL119&gt;0,(('Table 3.0'!$Q$28*Monthly!CL119)+'Table 3.0'!$R$28),0)</f>
        <v>0</v>
      </c>
      <c r="CM89" s="340">
        <f>IF(CM119&gt;0,(('Table 3.0'!$Q$28*Monthly!CM119)+'Table 3.0'!$R$28),0)</f>
        <v>0</v>
      </c>
      <c r="CN89" s="340">
        <f>IF(CN119&gt;0,(('Table 3.0'!$Q$28*Monthly!CN119)+'Table 3.0'!$R$28),0)</f>
        <v>0</v>
      </c>
      <c r="CO89" s="340">
        <f>IF(CO119&gt;0,(('Table 3.0'!$Q$28*Monthly!CO119)+'Table 3.0'!$R$28),0)</f>
        <v>0</v>
      </c>
      <c r="CP89" s="562">
        <f>IF(CP119&gt;0,(('Table 3.0'!$Q$28*Monthly!CP119)+'Table 3.0'!$R$28),0)</f>
        <v>0</v>
      </c>
      <c r="CQ89" s="340">
        <f>IF(CQ119&gt;0,(('Table 3.0'!$Q$28*Monthly!CQ119)+'Table 3.0'!$R$28),0)</f>
        <v>0</v>
      </c>
      <c r="CR89" s="340">
        <f>IF(CR119&gt;0,(('Table 3.0'!$Q$28*Monthly!CR119)+'Table 3.0'!$R$28),0)</f>
        <v>0</v>
      </c>
      <c r="CS89" s="340">
        <f>IF(CS119&gt;0,(('Table 3.0'!$Q$28*Monthly!CS119)+'Table 3.0'!$R$28),0)</f>
        <v>0</v>
      </c>
      <c r="CT89" s="340">
        <f>IF(CT119&gt;0,(('Table 3.0'!$Q$28*Monthly!CT119)+'Table 3.0'!$R$28),0)</f>
        <v>0</v>
      </c>
      <c r="CU89" s="340">
        <f>IF(CU119&gt;0,(('Table 3.0'!$Q$28*Monthly!CU119)+'Table 3.0'!$R$28),0)</f>
        <v>0</v>
      </c>
      <c r="CV89" s="340">
        <f>IF(CV119&gt;0,(('Table 3.0'!$Q$28*Monthly!CV119)+'Table 3.0'!$R$28),0)</f>
        <v>0</v>
      </c>
      <c r="CW89" s="340">
        <f>IF(CW119&gt;0,(('Table 3.0'!$Q$28*Monthly!CW119)+'Table 3.0'!$R$28),0)</f>
        <v>0</v>
      </c>
      <c r="CX89" s="340">
        <f>IF(CX119&gt;0,(('Table 3.0'!$Q$28*Monthly!CX119)+'Table 3.0'!$R$28),0)</f>
        <v>0</v>
      </c>
      <c r="CY89" s="340">
        <f>IF(CY119&gt;0,(('Table 3.0'!$Q$28*Monthly!CY119)+'Table 3.0'!$R$28),0)</f>
        <v>0</v>
      </c>
      <c r="CZ89" s="340">
        <f>IF(CZ119&gt;0,(('Table 3.0'!$Q$28*Monthly!CZ119)+'Table 3.0'!$R$28),0)</f>
        <v>0</v>
      </c>
      <c r="DA89" s="340">
        <f>IF(DA119&gt;0,(('Table 3.0'!$Q$28*Monthly!DA119)+'Table 3.0'!$R$28),0)</f>
        <v>0</v>
      </c>
      <c r="DB89" s="562">
        <f>IF(DB119&gt;0,(('Table 3.0'!$Q$28*Monthly!DB119)+'Table 3.0'!$R$28),0)</f>
        <v>0</v>
      </c>
      <c r="DC89" s="340">
        <f>IF(DC119&gt;0,(('Table 3.0'!$Q$28*Monthly!DC119)+'Table 3.0'!$R$28),0)</f>
        <v>0</v>
      </c>
      <c r="DD89" s="340">
        <f>IF(DD119&gt;0,(('Table 3.0'!$Q$28*Monthly!DD119)+'Table 3.0'!$R$28),0)</f>
        <v>0</v>
      </c>
      <c r="DE89" s="340">
        <f>IF(DE119&gt;0,(('Table 3.0'!$Q$28*Monthly!DE119)+'Table 3.0'!$R$28),0)</f>
        <v>0</v>
      </c>
      <c r="DF89" s="340">
        <f>IF(DF119&gt;0,(('Table 3.0'!$Q$28*Monthly!DF119)+'Table 3.0'!$R$28),0)</f>
        <v>0</v>
      </c>
      <c r="DG89" s="340">
        <f>IF(DG119&gt;0,(('Table 3.0'!$Q$28*Monthly!DG119)+'Table 3.0'!$R$28),0)</f>
        <v>0</v>
      </c>
      <c r="DH89" s="340">
        <f>IF(DH119&gt;0,(('Table 3.0'!$Q$28*Monthly!DH119)+'Table 3.0'!$R$28),0)</f>
        <v>0</v>
      </c>
      <c r="DI89" s="340">
        <f>IF(DI119&gt;0,(('Table 3.0'!$Q$28*Monthly!DI119)+'Table 3.0'!$R$28),0)</f>
        <v>0</v>
      </c>
      <c r="DJ89" s="340">
        <f>IF(DJ119&gt;0,(('Table 3.0'!$Q$28*Monthly!DJ119)+'Table 3.0'!$R$28),0)</f>
        <v>0</v>
      </c>
      <c r="DK89" s="340">
        <f>IF(DK119&gt;0,(('Table 3.0'!$Q$28*Monthly!DK119)+'Table 3.0'!$R$28),0)</f>
        <v>0</v>
      </c>
      <c r="DL89" s="340">
        <f>IF(DL119&gt;0,(('Table 3.0'!$Q$28*Monthly!DL119)+'Table 3.0'!$R$28),0)</f>
        <v>0</v>
      </c>
      <c r="DM89" s="340">
        <f>IF(DM119&gt;0,(('Table 3.0'!$Q$28*Monthly!DM119)+'Table 3.0'!$R$28),0)</f>
        <v>0</v>
      </c>
      <c r="DN89" s="340">
        <f>IF(DN119&gt;0,(('Table 3.0'!$Q$28*Monthly!DN119)+'Table 3.0'!$R$28),0)</f>
        <v>0</v>
      </c>
      <c r="DP89" s="340">
        <f>SUM(J89:DJ89)</f>
        <v>36290</v>
      </c>
    </row>
    <row r="90" spans="3:120" ht="14.4" thickBot="1" x14ac:dyDescent="0.35">
      <c r="C90" s="327"/>
      <c r="D90" s="328" t="str">
        <f>'Table 3.0'!D118</f>
        <v>Other</v>
      </c>
      <c r="E90" s="327"/>
      <c r="F90" s="327"/>
      <c r="G90" s="327"/>
      <c r="H90" s="327"/>
      <c r="I90" s="327"/>
      <c r="J90" s="349"/>
      <c r="K90" s="349">
        <f t="shared" ref="K90:O90" si="212">J90</f>
        <v>0</v>
      </c>
      <c r="L90" s="349">
        <f t="shared" si="212"/>
        <v>0</v>
      </c>
      <c r="M90" s="349">
        <f t="shared" si="212"/>
        <v>0</v>
      </c>
      <c r="N90" s="349">
        <f t="shared" si="212"/>
        <v>0</v>
      </c>
      <c r="O90" s="349">
        <f t="shared" si="212"/>
        <v>0</v>
      </c>
      <c r="P90" s="349">
        <f>O90</f>
        <v>0</v>
      </c>
      <c r="Q90" s="349">
        <f>P90</f>
        <v>0</v>
      </c>
      <c r="R90" s="349">
        <f t="shared" ref="R90:AA90" si="213">Q90</f>
        <v>0</v>
      </c>
      <c r="S90" s="349">
        <f t="shared" si="213"/>
        <v>0</v>
      </c>
      <c r="T90" s="349">
        <f t="shared" si="213"/>
        <v>0</v>
      </c>
      <c r="U90" s="349">
        <f t="shared" si="213"/>
        <v>0</v>
      </c>
      <c r="V90" s="568">
        <f t="shared" si="213"/>
        <v>0</v>
      </c>
      <c r="W90" s="349">
        <f t="shared" si="213"/>
        <v>0</v>
      </c>
      <c r="X90" s="349">
        <f t="shared" si="213"/>
        <v>0</v>
      </c>
      <c r="Y90" s="349">
        <f t="shared" si="213"/>
        <v>0</v>
      </c>
      <c r="Z90" s="349">
        <f t="shared" si="213"/>
        <v>0</v>
      </c>
      <c r="AA90" s="349">
        <f t="shared" si="213"/>
        <v>0</v>
      </c>
      <c r="AB90" s="349">
        <f>AA90</f>
        <v>0</v>
      </c>
      <c r="AC90" s="349">
        <f>AB90</f>
        <v>0</v>
      </c>
      <c r="AD90" s="349">
        <f t="shared" ref="AD90:AL90" si="214">AC90</f>
        <v>0</v>
      </c>
      <c r="AE90" s="349">
        <f t="shared" si="214"/>
        <v>0</v>
      </c>
      <c r="AF90" s="349">
        <f t="shared" si="214"/>
        <v>0</v>
      </c>
      <c r="AG90" s="349">
        <f t="shared" si="214"/>
        <v>0</v>
      </c>
      <c r="AH90" s="568">
        <f t="shared" si="214"/>
        <v>0</v>
      </c>
      <c r="AI90" s="349">
        <f t="shared" si="214"/>
        <v>0</v>
      </c>
      <c r="AJ90" s="349">
        <f t="shared" si="214"/>
        <v>0</v>
      </c>
      <c r="AK90" s="349">
        <f t="shared" si="214"/>
        <v>0</v>
      </c>
      <c r="AL90" s="349">
        <f t="shared" si="214"/>
        <v>0</v>
      </c>
      <c r="AM90" s="349">
        <f>AL90</f>
        <v>0</v>
      </c>
      <c r="AN90" s="349">
        <f t="shared" ref="AN90:AP90" si="215">AM90</f>
        <v>0</v>
      </c>
      <c r="AO90" s="349">
        <f t="shared" si="215"/>
        <v>0</v>
      </c>
      <c r="AP90" s="349">
        <f t="shared" si="215"/>
        <v>0</v>
      </c>
      <c r="AQ90" s="349">
        <f t="shared" ref="AQ90" si="216">AP90</f>
        <v>0</v>
      </c>
      <c r="AR90" s="349">
        <f t="shared" ref="AR90" si="217">AQ90</f>
        <v>0</v>
      </c>
      <c r="AS90" s="349">
        <f t="shared" ref="AS90" si="218">AR90</f>
        <v>0</v>
      </c>
      <c r="AT90" s="568">
        <f t="shared" ref="AT90" si="219">AS90</f>
        <v>0</v>
      </c>
      <c r="AU90" s="349">
        <f t="shared" ref="AU90" si="220">AT90</f>
        <v>0</v>
      </c>
      <c r="AV90" s="349">
        <f t="shared" ref="AV90" si="221">AU90</f>
        <v>0</v>
      </c>
      <c r="AW90" s="349">
        <f t="shared" ref="AW90" si="222">AV90</f>
        <v>0</v>
      </c>
      <c r="AX90" s="349">
        <f t="shared" ref="AX90" si="223">AW90</f>
        <v>0</v>
      </c>
      <c r="AY90" s="349">
        <f t="shared" ref="AY90" si="224">AX90</f>
        <v>0</v>
      </c>
      <c r="AZ90" s="349">
        <f t="shared" ref="AZ90" si="225">AY90</f>
        <v>0</v>
      </c>
      <c r="BA90" s="349">
        <f t="shared" ref="BA90" si="226">AZ90</f>
        <v>0</v>
      </c>
      <c r="BB90" s="349">
        <f t="shared" ref="BB90" si="227">BA90</f>
        <v>0</v>
      </c>
      <c r="BC90" s="349">
        <f t="shared" ref="BC90" si="228">BB90</f>
        <v>0</v>
      </c>
      <c r="BD90" s="349">
        <f t="shared" ref="BD90" si="229">BC90</f>
        <v>0</v>
      </c>
      <c r="BE90" s="349">
        <f t="shared" ref="BE90" si="230">BD90</f>
        <v>0</v>
      </c>
      <c r="BF90" s="568">
        <f t="shared" ref="BF90" si="231">BE90</f>
        <v>0</v>
      </c>
      <c r="BG90" s="349">
        <f t="shared" ref="BG90" si="232">BF90</f>
        <v>0</v>
      </c>
      <c r="BH90" s="349">
        <f t="shared" ref="BH90" si="233">BG90</f>
        <v>0</v>
      </c>
      <c r="BI90" s="349">
        <f t="shared" ref="BI90" si="234">BH90</f>
        <v>0</v>
      </c>
      <c r="BJ90" s="349">
        <f t="shared" ref="BJ90" si="235">BI90</f>
        <v>0</v>
      </c>
      <c r="BK90" s="349">
        <f t="shared" ref="BK90" si="236">BJ90</f>
        <v>0</v>
      </c>
      <c r="BL90" s="349">
        <f t="shared" ref="BL90" si="237">BK90</f>
        <v>0</v>
      </c>
      <c r="BM90" s="349">
        <f t="shared" ref="BM90" si="238">BL90</f>
        <v>0</v>
      </c>
      <c r="BN90" s="349">
        <f t="shared" ref="BN90" si="239">BM90</f>
        <v>0</v>
      </c>
      <c r="BO90" s="349">
        <f t="shared" ref="BO90" si="240">BN90</f>
        <v>0</v>
      </c>
      <c r="BP90" s="349">
        <f t="shared" ref="BP90" si="241">BO90</f>
        <v>0</v>
      </c>
      <c r="BQ90" s="349">
        <f t="shared" ref="BQ90" si="242">BP90</f>
        <v>0</v>
      </c>
      <c r="BR90" s="568">
        <f t="shared" ref="BR90" si="243">BQ90</f>
        <v>0</v>
      </c>
      <c r="BS90" s="349">
        <f t="shared" ref="BS90" si="244">BR90</f>
        <v>0</v>
      </c>
      <c r="BT90" s="349">
        <f t="shared" ref="BT90" si="245">BS90</f>
        <v>0</v>
      </c>
      <c r="BU90" s="349">
        <f t="shared" ref="BU90" si="246">BT90</f>
        <v>0</v>
      </c>
      <c r="BV90" s="349">
        <f t="shared" ref="BV90" si="247">BU90</f>
        <v>0</v>
      </c>
      <c r="BW90" s="349">
        <f t="shared" ref="BW90" si="248">BV90</f>
        <v>0</v>
      </c>
      <c r="BX90" s="349">
        <f t="shared" ref="BX90" si="249">BW90</f>
        <v>0</v>
      </c>
      <c r="BY90" s="349">
        <f t="shared" ref="BY90" si="250">BX90</f>
        <v>0</v>
      </c>
      <c r="BZ90" s="349">
        <f t="shared" ref="BZ90" si="251">BY90</f>
        <v>0</v>
      </c>
      <c r="CA90" s="349">
        <f t="shared" ref="CA90" si="252">BZ90</f>
        <v>0</v>
      </c>
      <c r="CB90" s="349">
        <f t="shared" ref="CB90" si="253">CA90</f>
        <v>0</v>
      </c>
      <c r="CC90" s="349">
        <f t="shared" ref="CC90" si="254">CB90</f>
        <v>0</v>
      </c>
      <c r="CD90" s="568">
        <f t="shared" ref="CD90" si="255">CC90</f>
        <v>0</v>
      </c>
      <c r="CE90" s="349">
        <f t="shared" ref="CE90" si="256">CD90</f>
        <v>0</v>
      </c>
      <c r="CF90" s="349">
        <f t="shared" ref="CF90" si="257">CE90</f>
        <v>0</v>
      </c>
      <c r="CG90" s="349">
        <f t="shared" ref="CG90" si="258">CF90</f>
        <v>0</v>
      </c>
      <c r="CH90" s="349">
        <f t="shared" ref="CH90" si="259">CG90</f>
        <v>0</v>
      </c>
      <c r="CI90" s="349">
        <f t="shared" ref="CI90" si="260">CH90</f>
        <v>0</v>
      </c>
      <c r="CJ90" s="349">
        <f t="shared" ref="CJ90" si="261">CI90</f>
        <v>0</v>
      </c>
      <c r="CK90" s="349">
        <f t="shared" ref="CK90" si="262">CJ90</f>
        <v>0</v>
      </c>
      <c r="CL90" s="349">
        <f t="shared" ref="CL90" si="263">CK90</f>
        <v>0</v>
      </c>
      <c r="CM90" s="349">
        <f t="shared" ref="CM90" si="264">CL90</f>
        <v>0</v>
      </c>
      <c r="CN90" s="349">
        <f t="shared" ref="CN90" si="265">CM90</f>
        <v>0</v>
      </c>
      <c r="CO90" s="349">
        <f t="shared" ref="CO90" si="266">CN90</f>
        <v>0</v>
      </c>
      <c r="CP90" s="568">
        <f t="shared" ref="CP90" si="267">CO90</f>
        <v>0</v>
      </c>
      <c r="CQ90" s="349">
        <f t="shared" ref="CQ90" si="268">CP90</f>
        <v>0</v>
      </c>
      <c r="CR90" s="349">
        <f t="shared" ref="CR90" si="269">CQ90</f>
        <v>0</v>
      </c>
      <c r="CS90" s="349">
        <f t="shared" ref="CS90" si="270">CR90</f>
        <v>0</v>
      </c>
      <c r="CT90" s="349">
        <f t="shared" ref="CT90" si="271">CS90</f>
        <v>0</v>
      </c>
      <c r="CU90" s="349">
        <f t="shared" ref="CU90" si="272">CT90</f>
        <v>0</v>
      </c>
      <c r="CV90" s="349">
        <f t="shared" ref="CV90" si="273">CU90</f>
        <v>0</v>
      </c>
      <c r="CW90" s="349">
        <f t="shared" ref="CW90" si="274">CV90</f>
        <v>0</v>
      </c>
      <c r="CX90" s="349">
        <f t="shared" ref="CX90" si="275">CW90</f>
        <v>0</v>
      </c>
      <c r="CY90" s="349">
        <f t="shared" ref="CY90" si="276">CX90</f>
        <v>0</v>
      </c>
      <c r="CZ90" s="349">
        <f t="shared" ref="CZ90" si="277">CY90</f>
        <v>0</v>
      </c>
      <c r="DA90" s="349">
        <f t="shared" ref="DA90" si="278">CZ90</f>
        <v>0</v>
      </c>
      <c r="DB90" s="568">
        <f t="shared" ref="DB90" si="279">DA90</f>
        <v>0</v>
      </c>
      <c r="DC90" s="349">
        <f t="shared" ref="DC90" si="280">DB90</f>
        <v>0</v>
      </c>
      <c r="DD90" s="349">
        <f t="shared" ref="DD90" si="281">DC90</f>
        <v>0</v>
      </c>
      <c r="DE90" s="349">
        <f t="shared" ref="DE90" si="282">DD90</f>
        <v>0</v>
      </c>
      <c r="DF90" s="349">
        <f t="shared" ref="DF90" si="283">DE90</f>
        <v>0</v>
      </c>
      <c r="DG90" s="349">
        <f t="shared" ref="DG90" si="284">DF90</f>
        <v>0</v>
      </c>
      <c r="DH90" s="349">
        <f t="shared" ref="DH90" si="285">DG90</f>
        <v>0</v>
      </c>
      <c r="DI90" s="349">
        <f t="shared" ref="DI90" si="286">DH90</f>
        <v>0</v>
      </c>
      <c r="DJ90" s="349">
        <f t="shared" ref="DJ90" si="287">DI90</f>
        <v>0</v>
      </c>
      <c r="DK90" s="349">
        <f t="shared" ref="DK90" si="288">DJ90</f>
        <v>0</v>
      </c>
      <c r="DL90" s="349">
        <f t="shared" ref="DL90" si="289">DK90</f>
        <v>0</v>
      </c>
      <c r="DM90" s="349">
        <f t="shared" ref="DM90" si="290">DL90</f>
        <v>0</v>
      </c>
      <c r="DN90" s="349">
        <f t="shared" ref="DN90" si="291">DM90</f>
        <v>0</v>
      </c>
      <c r="DO90" s="327"/>
      <c r="DP90" s="458">
        <f>SUM(J90:DJ90)</f>
        <v>0</v>
      </c>
    </row>
    <row r="91" spans="3:120" x14ac:dyDescent="0.3">
      <c r="C91" s="331" t="str">
        <f>'Table 3.0'!C119</f>
        <v>TOTAL NON-OPERATING EXPENSE</v>
      </c>
      <c r="J91" s="345"/>
      <c r="K91" s="345">
        <f t="shared" ref="K91:AP91" si="292">SUM(K87:K90)</f>
        <v>9302.0833333333339</v>
      </c>
      <c r="L91" s="345">
        <f t="shared" si="292"/>
        <v>9302.0833333333339</v>
      </c>
      <c r="M91" s="345">
        <f t="shared" si="292"/>
        <v>9302.0833333333339</v>
      </c>
      <c r="N91" s="345">
        <f t="shared" si="292"/>
        <v>9302.0833333333339</v>
      </c>
      <c r="O91" s="345">
        <f t="shared" si="292"/>
        <v>9302.0833333333339</v>
      </c>
      <c r="P91" s="345">
        <f t="shared" si="292"/>
        <v>9943.5503819444439</v>
      </c>
      <c r="Q91" s="345">
        <f t="shared" si="292"/>
        <v>12889.041614134838</v>
      </c>
      <c r="R91" s="345">
        <f t="shared" si="292"/>
        <v>15424.841318580071</v>
      </c>
      <c r="S91" s="345">
        <f t="shared" si="292"/>
        <v>20797.919333185499</v>
      </c>
      <c r="T91" s="345">
        <f t="shared" si="292"/>
        <v>21712.800361239882</v>
      </c>
      <c r="U91" s="345">
        <f t="shared" si="292"/>
        <v>22971.437947433034</v>
      </c>
      <c r="V91" s="566">
        <f t="shared" si="292"/>
        <v>24274.516831183544</v>
      </c>
      <c r="W91" s="345">
        <f t="shared" si="292"/>
        <v>25420.341651930416</v>
      </c>
      <c r="X91" s="345">
        <f t="shared" si="292"/>
        <v>25446.780732369305</v>
      </c>
      <c r="Y91" s="345">
        <f t="shared" si="292"/>
        <v>25455.014480528342</v>
      </c>
      <c r="Z91" s="345">
        <f t="shared" si="292"/>
        <v>25436.298104193636</v>
      </c>
      <c r="AA91" s="345">
        <f t="shared" si="292"/>
        <v>25417.433556546279</v>
      </c>
      <c r="AB91" s="345">
        <f t="shared" si="292"/>
        <v>25414.077485396716</v>
      </c>
      <c r="AC91" s="345">
        <f t="shared" si="292"/>
        <v>25417.751999517219</v>
      </c>
      <c r="AD91" s="345">
        <f t="shared" si="292"/>
        <v>25448.470911874509</v>
      </c>
      <c r="AE91" s="345">
        <f t="shared" si="292"/>
        <v>25497.847657287959</v>
      </c>
      <c r="AF91" s="345">
        <f t="shared" si="292"/>
        <v>25971.151110269268</v>
      </c>
      <c r="AG91" s="345">
        <f t="shared" si="292"/>
        <v>26060.281715586672</v>
      </c>
      <c r="AH91" s="566">
        <f t="shared" si="292"/>
        <v>57184.501963196184</v>
      </c>
      <c r="AI91" s="345">
        <f t="shared" si="292"/>
        <v>19495.565133599259</v>
      </c>
      <c r="AJ91" s="345">
        <f t="shared" si="292"/>
        <v>19476.62308415255</v>
      </c>
      <c r="AK91" s="345">
        <f t="shared" si="292"/>
        <v>19438.482754797977</v>
      </c>
      <c r="AL91" s="345">
        <f t="shared" si="292"/>
        <v>19372.39166452202</v>
      </c>
      <c r="AM91" s="345">
        <f t="shared" si="292"/>
        <v>19305.812105196645</v>
      </c>
      <c r="AN91" s="345">
        <f t="shared" si="292"/>
        <v>19254.732248118962</v>
      </c>
      <c r="AO91" s="345">
        <f t="shared" si="292"/>
        <v>19210.67430722764</v>
      </c>
      <c r="AP91" s="345">
        <f t="shared" si="292"/>
        <v>19193.986246111512</v>
      </c>
      <c r="AQ91" s="345">
        <f t="shared" ref="AQ91:BV91" si="293">SUM(AQ87:AQ90)</f>
        <v>19196.284252698664</v>
      </c>
      <c r="AR91" s="345">
        <f t="shared" si="293"/>
        <v>19670.015393953523</v>
      </c>
      <c r="AS91" s="345">
        <f t="shared" si="293"/>
        <v>19712.437464506944</v>
      </c>
      <c r="AT91" s="566">
        <f t="shared" si="293"/>
        <v>24938.947300754699</v>
      </c>
      <c r="AU91" s="345">
        <f t="shared" si="293"/>
        <v>19701.206654802496</v>
      </c>
      <c r="AV91" s="345">
        <f t="shared" si="293"/>
        <v>19679.282140953866</v>
      </c>
      <c r="AW91" s="345">
        <f t="shared" si="293"/>
        <v>19637.470078942799</v>
      </c>
      <c r="AX91" s="345">
        <f t="shared" si="293"/>
        <v>19567.012543200872</v>
      </c>
      <c r="AY91" s="345">
        <f t="shared" si="293"/>
        <v>19496.034425503181</v>
      </c>
      <c r="AZ91" s="345">
        <f t="shared" si="293"/>
        <v>19440.85769894359</v>
      </c>
      <c r="BA91" s="345">
        <f t="shared" si="293"/>
        <v>19393.006978166453</v>
      </c>
      <c r="BB91" s="345">
        <f t="shared" si="293"/>
        <v>19373.166690283557</v>
      </c>
      <c r="BC91" s="345">
        <f t="shared" si="293"/>
        <v>19372.958106727481</v>
      </c>
      <c r="BD91" s="345">
        <f t="shared" si="293"/>
        <v>19897.577576607182</v>
      </c>
      <c r="BE91" s="345">
        <f t="shared" si="293"/>
        <v>19934.248879410959</v>
      </c>
      <c r="BF91" s="566">
        <f t="shared" si="293"/>
        <v>19938.597208835075</v>
      </c>
      <c r="BG91" s="345">
        <f t="shared" si="293"/>
        <v>19935.293442317634</v>
      </c>
      <c r="BH91" s="345">
        <f t="shared" si="293"/>
        <v>19910.849364589689</v>
      </c>
      <c r="BI91" s="345">
        <f t="shared" si="293"/>
        <v>19865.831976712776</v>
      </c>
      <c r="BJ91" s="345">
        <f t="shared" si="293"/>
        <v>19791.477935529721</v>
      </c>
      <c r="BK91" s="345">
        <f t="shared" si="293"/>
        <v>19716.574759894414</v>
      </c>
      <c r="BL91" s="345">
        <f t="shared" si="293"/>
        <v>19657.77825208431</v>
      </c>
      <c r="BM91" s="345">
        <f t="shared" si="293"/>
        <v>19606.615455049116</v>
      </c>
      <c r="BN91" s="345">
        <f t="shared" si="293"/>
        <v>19584.107287237675</v>
      </c>
      <c r="BO91" s="345">
        <f t="shared" si="293"/>
        <v>19581.880131617356</v>
      </c>
      <c r="BP91" s="345">
        <f t="shared" si="293"/>
        <v>20164.107407523101</v>
      </c>
      <c r="BQ91" s="345">
        <f t="shared" si="293"/>
        <v>20204.173357867025</v>
      </c>
      <c r="BR91" s="566">
        <f t="shared" si="293"/>
        <v>20206.977164663462</v>
      </c>
      <c r="BS91" s="345">
        <f t="shared" si="293"/>
        <v>20101.715845684314</v>
      </c>
      <c r="BT91" s="345">
        <f t="shared" si="293"/>
        <v>20074.452524730445</v>
      </c>
      <c r="BU91" s="345">
        <f t="shared" si="293"/>
        <v>20025.927551852314</v>
      </c>
      <c r="BV91" s="345">
        <f t="shared" si="293"/>
        <v>19947.37214484403</v>
      </c>
      <c r="BW91" s="345">
        <f t="shared" ref="BW91:DB91" si="294">SUM(BW87:BW90)</f>
        <v>19868.236428003245</v>
      </c>
      <c r="BX91" s="345">
        <f t="shared" si="294"/>
        <v>19805.510010979488</v>
      </c>
      <c r="BY91" s="345">
        <f t="shared" si="294"/>
        <v>19750.722343038353</v>
      </c>
      <c r="BZ91" s="345">
        <f t="shared" si="294"/>
        <v>19725.230811796995</v>
      </c>
      <c r="CA91" s="345">
        <f t="shared" si="294"/>
        <v>19879.000222741313</v>
      </c>
      <c r="CB91" s="345">
        <f t="shared" si="294"/>
        <v>20526.732785552646</v>
      </c>
      <c r="CC91" s="345">
        <f t="shared" si="294"/>
        <v>20566.88789984295</v>
      </c>
      <c r="CD91" s="566">
        <f t="shared" si="294"/>
        <v>20569.115648493691</v>
      </c>
      <c r="CE91" s="345">
        <f t="shared" si="294"/>
        <v>20412.90086680785</v>
      </c>
      <c r="CF91" s="345">
        <f t="shared" si="294"/>
        <v>20384.234420496046</v>
      </c>
      <c r="CG91" s="345">
        <f t="shared" si="294"/>
        <v>20333.629112888415</v>
      </c>
      <c r="CH91" s="345">
        <f t="shared" si="294"/>
        <v>20252.310810469229</v>
      </c>
      <c r="CI91" s="345">
        <f t="shared" si="294"/>
        <v>20170.392331411422</v>
      </c>
      <c r="CJ91" s="345">
        <f t="shared" si="294"/>
        <v>20105.19718186622</v>
      </c>
      <c r="CK91" s="345">
        <f t="shared" si="294"/>
        <v>20048.257307248379</v>
      </c>
      <c r="CL91" s="345">
        <f t="shared" si="294"/>
        <v>20021.266654885789</v>
      </c>
      <c r="CM91" s="345">
        <f t="shared" si="294"/>
        <v>20253.361877373449</v>
      </c>
      <c r="CN91" s="345">
        <f t="shared" si="294"/>
        <v>20975.270224178941</v>
      </c>
      <c r="CO91" s="345">
        <f t="shared" si="294"/>
        <v>21016.463998973442</v>
      </c>
      <c r="CP91" s="566">
        <f t="shared" si="294"/>
        <v>21019.072620749343</v>
      </c>
      <c r="CQ91" s="345">
        <f t="shared" si="294"/>
        <v>20762.825040086325</v>
      </c>
      <c r="CR91" s="345">
        <f t="shared" si="294"/>
        <v>20733.295859229671</v>
      </c>
      <c r="CS91" s="345">
        <f t="shared" si="294"/>
        <v>20681.154582529132</v>
      </c>
      <c r="CT91" s="345">
        <f t="shared" si="294"/>
        <v>20597.621755110129</v>
      </c>
      <c r="CU91" s="345">
        <f t="shared" si="294"/>
        <v>20513.472919201413</v>
      </c>
      <c r="CV91" s="345">
        <f t="shared" si="294"/>
        <v>20446.365507867755</v>
      </c>
      <c r="CW91" s="345">
        <f t="shared" si="294"/>
        <v>20387.833993317992</v>
      </c>
      <c r="CX91" s="345">
        <f t="shared" si="294"/>
        <v>20359.908913470623</v>
      </c>
      <c r="CY91" s="345">
        <f t="shared" si="294"/>
        <v>20750.065465813008</v>
      </c>
      <c r="CZ91" s="345">
        <f t="shared" si="294"/>
        <v>21556.061394961427</v>
      </c>
      <c r="DA91" s="345">
        <f t="shared" si="294"/>
        <v>21599.571760167244</v>
      </c>
      <c r="DB91" s="566">
        <f t="shared" si="294"/>
        <v>21603.848984726767</v>
      </c>
      <c r="DC91" s="345">
        <f t="shared" ref="DC91:DJ91" si="295">SUM(DC87:DC90)</f>
        <v>21298.89755065873</v>
      </c>
      <c r="DD91" s="345">
        <f t="shared" si="295"/>
        <v>21270.24960210744</v>
      </c>
      <c r="DE91" s="345">
        <f t="shared" si="295"/>
        <v>21218.329965077261</v>
      </c>
      <c r="DF91" s="345">
        <f t="shared" si="295"/>
        <v>21134.353970510812</v>
      </c>
      <c r="DG91" s="345">
        <f t="shared" si="295"/>
        <v>21049.759992713047</v>
      </c>
      <c r="DH91" s="345">
        <f t="shared" si="295"/>
        <v>20982.539500533676</v>
      </c>
      <c r="DI91" s="345">
        <f t="shared" si="295"/>
        <v>20924.229602704814</v>
      </c>
      <c r="DJ91" s="345">
        <f t="shared" si="295"/>
        <v>20897.197538329216</v>
      </c>
      <c r="DK91" s="345">
        <f t="shared" ref="DK91:DN91" si="296">SUM(DK87:DK90)</f>
        <v>0</v>
      </c>
      <c r="DL91" s="345">
        <f t="shared" si="296"/>
        <v>0</v>
      </c>
      <c r="DM91" s="345">
        <f t="shared" si="296"/>
        <v>0</v>
      </c>
      <c r="DN91" s="345">
        <f t="shared" si="296"/>
        <v>0</v>
      </c>
      <c r="DO91" s="345"/>
      <c r="DP91" s="340">
        <f>SUM(J91:DJ91)</f>
        <v>2129218.3588201934</v>
      </c>
    </row>
    <row r="92" spans="3:120" x14ac:dyDescent="0.3">
      <c r="V92" s="561"/>
      <c r="AH92" s="561"/>
      <c r="AT92" s="561"/>
      <c r="BF92" s="561"/>
      <c r="BR92" s="561"/>
      <c r="CD92" s="561"/>
      <c r="CP92" s="561"/>
      <c r="DB92" s="561"/>
      <c r="DP92" s="340"/>
    </row>
    <row r="93" spans="3:120" x14ac:dyDescent="0.3">
      <c r="C93" s="747" t="str">
        <f>'Table 3.0'!C121</f>
        <v>NET INCOME</v>
      </c>
      <c r="D93" s="747"/>
      <c r="E93" s="747"/>
      <c r="F93" s="747"/>
      <c r="G93" s="747"/>
      <c r="H93" s="747"/>
      <c r="I93" s="747"/>
      <c r="J93" s="748"/>
      <c r="K93" s="748">
        <f t="shared" ref="K93:AP93" si="297">K79-K91</f>
        <v>-9302.0833333333339</v>
      </c>
      <c r="L93" s="748">
        <f t="shared" si="297"/>
        <v>-9302.0833333333339</v>
      </c>
      <c r="M93" s="748">
        <f t="shared" si="297"/>
        <v>-9302.0833333333339</v>
      </c>
      <c r="N93" s="748">
        <f t="shared" si="297"/>
        <v>-9302.0833333333339</v>
      </c>
      <c r="O93" s="748">
        <f t="shared" si="297"/>
        <v>-9302.0833333333339</v>
      </c>
      <c r="P93" s="748">
        <f t="shared" si="297"/>
        <v>-9943.5503819444439</v>
      </c>
      <c r="Q93" s="748">
        <f t="shared" si="297"/>
        <v>-12889.041614134838</v>
      </c>
      <c r="R93" s="748">
        <f t="shared" si="297"/>
        <v>-15424.841318580071</v>
      </c>
      <c r="S93" s="748">
        <f t="shared" si="297"/>
        <v>-20797.919333185499</v>
      </c>
      <c r="T93" s="748">
        <f t="shared" si="297"/>
        <v>-75012.800361239875</v>
      </c>
      <c r="U93" s="748">
        <f t="shared" si="297"/>
        <v>-23221.437947433034</v>
      </c>
      <c r="V93" s="749">
        <f t="shared" si="297"/>
        <v>-24524.516831183544</v>
      </c>
      <c r="W93" s="748">
        <f t="shared" si="297"/>
        <v>-3339.6733185970879</v>
      </c>
      <c r="X93" s="748">
        <f t="shared" si="297"/>
        <v>-1040.0523990359725</v>
      </c>
      <c r="Y93" s="748">
        <f t="shared" si="297"/>
        <v>2364.1738528049827</v>
      </c>
      <c r="Z93" s="748">
        <f t="shared" si="297"/>
        <v>2382.890229139688</v>
      </c>
      <c r="AA93" s="748">
        <f t="shared" si="297"/>
        <v>423.92477678705109</v>
      </c>
      <c r="AB93" s="748">
        <f t="shared" si="297"/>
        <v>-464.14915206338628</v>
      </c>
      <c r="AC93" s="748">
        <f t="shared" si="297"/>
        <v>-3880.2836661838883</v>
      </c>
      <c r="AD93" s="748">
        <f t="shared" si="297"/>
        <v>-6237.062578541183</v>
      </c>
      <c r="AE93" s="748">
        <f t="shared" si="297"/>
        <v>-59785.699323954643</v>
      </c>
      <c r="AF93" s="748">
        <f t="shared" si="297"/>
        <v>-11258.602776935943</v>
      </c>
      <c r="AG93" s="748">
        <f t="shared" si="297"/>
        <v>-6848.8733822533468</v>
      </c>
      <c r="AH93" s="749">
        <f t="shared" si="297"/>
        <v>-37081.663629862851</v>
      </c>
      <c r="AI93" s="748">
        <f t="shared" si="297"/>
        <v>3261.9131997340737</v>
      </c>
      <c r="AJ93" s="748">
        <f t="shared" si="297"/>
        <v>5691.3052491807794</v>
      </c>
      <c r="AK93" s="748">
        <f t="shared" si="297"/>
        <v>9226.2955785353515</v>
      </c>
      <c r="AL93" s="748">
        <f t="shared" si="297"/>
        <v>9292.3866688113085</v>
      </c>
      <c r="AM93" s="748">
        <f t="shared" si="297"/>
        <v>7338.9412281366822</v>
      </c>
      <c r="AN93" s="748">
        <f t="shared" si="297"/>
        <v>6456.3960852143646</v>
      </c>
      <c r="AO93" s="748">
        <f t="shared" si="297"/>
        <v>3003.6040261056878</v>
      </c>
      <c r="AP93" s="748">
        <f t="shared" si="297"/>
        <v>609.84208722181211</v>
      </c>
      <c r="AQ93" s="748">
        <f t="shared" ref="AQ93:BV93" si="298">AQ79-AQ91</f>
        <v>-58935.105919365349</v>
      </c>
      <c r="AR93" s="748">
        <f t="shared" si="298"/>
        <v>-4449.4370606201992</v>
      </c>
      <c r="AS93" s="748">
        <f t="shared" si="298"/>
        <v>91.390868826380029</v>
      </c>
      <c r="AT93" s="749">
        <f t="shared" si="298"/>
        <v>-4201.4939674213747</v>
      </c>
      <c r="AU93" s="748">
        <f t="shared" si="298"/>
        <v>3700.0456785308343</v>
      </c>
      <c r="AV93" s="748">
        <f t="shared" si="298"/>
        <v>6216.8101923794675</v>
      </c>
      <c r="AW93" s="748">
        <f t="shared" si="298"/>
        <v>9839.8622543905331</v>
      </c>
      <c r="AX93" s="748">
        <f t="shared" si="298"/>
        <v>9910.3197901324602</v>
      </c>
      <c r="AY93" s="748">
        <f t="shared" si="298"/>
        <v>7919.0779078301493</v>
      </c>
      <c r="AZ93" s="748">
        <f t="shared" si="298"/>
        <v>6998.4346343897414</v>
      </c>
      <c r="BA93" s="748">
        <f t="shared" si="298"/>
        <v>3465.0453551668797</v>
      </c>
      <c r="BB93" s="748">
        <f t="shared" si="298"/>
        <v>990.04564304977248</v>
      </c>
      <c r="BC93" s="748">
        <f t="shared" si="298"/>
        <v>-65299.205773394177</v>
      </c>
      <c r="BD93" s="748">
        <f t="shared" si="298"/>
        <v>-3658.8052432738477</v>
      </c>
      <c r="BE93" s="748">
        <f t="shared" si="298"/>
        <v>428.96345392236981</v>
      </c>
      <c r="BF93" s="749">
        <f t="shared" si="298"/>
        <v>1400.4351244982608</v>
      </c>
      <c r="BG93" s="748">
        <f t="shared" si="298"/>
        <v>4075.7058110156941</v>
      </c>
      <c r="BH93" s="748">
        <f t="shared" si="298"/>
        <v>6679.3798887436424</v>
      </c>
      <c r="BI93" s="748">
        <f t="shared" si="298"/>
        <v>10390.027276620553</v>
      </c>
      <c r="BJ93" s="748">
        <f t="shared" si="298"/>
        <v>10464.381317803607</v>
      </c>
      <c r="BK93" s="748">
        <f t="shared" si="298"/>
        <v>8434.8694934389132</v>
      </c>
      <c r="BL93" s="748">
        <f t="shared" si="298"/>
        <v>7475.651001249018</v>
      </c>
      <c r="BM93" s="748">
        <f t="shared" si="298"/>
        <v>3861.1837982842153</v>
      </c>
      <c r="BN93" s="748">
        <f t="shared" si="298"/>
        <v>1304.4619660956523</v>
      </c>
      <c r="BO93" s="748">
        <f t="shared" si="298"/>
        <v>-72516.24527828407</v>
      </c>
      <c r="BP93" s="748">
        <f t="shared" si="298"/>
        <v>-4027.568154189772</v>
      </c>
      <c r="BQ93" s="748">
        <f t="shared" si="298"/>
        <v>684.39589546630305</v>
      </c>
      <c r="BR93" s="749">
        <f t="shared" si="298"/>
        <v>1699.6070886698726</v>
      </c>
      <c r="BS93" s="748">
        <f t="shared" si="298"/>
        <v>4483.9824352490286</v>
      </c>
      <c r="BT93" s="748">
        <f t="shared" si="298"/>
        <v>7174.865756202893</v>
      </c>
      <c r="BU93" s="748">
        <f t="shared" si="298"/>
        <v>10973.410729081028</v>
      </c>
      <c r="BV93" s="748">
        <f t="shared" si="298"/>
        <v>11051.966136089311</v>
      </c>
      <c r="BW93" s="748">
        <f t="shared" ref="BW93:DB93" si="299">BW79-BW91</f>
        <v>8984.4918529300958</v>
      </c>
      <c r="BX93" s="748">
        <f t="shared" si="299"/>
        <v>7987.008269953847</v>
      </c>
      <c r="BY93" s="748">
        <f t="shared" si="299"/>
        <v>4291.775937894985</v>
      </c>
      <c r="BZ93" s="748">
        <f t="shared" si="299"/>
        <v>1653.6474691363401</v>
      </c>
      <c r="CA93" s="748">
        <f t="shared" si="299"/>
        <v>-80736.312269808026</v>
      </c>
      <c r="CB93" s="748">
        <f t="shared" si="299"/>
        <v>-3984.2745046193086</v>
      </c>
      <c r="CC93" s="748">
        <f t="shared" si="299"/>
        <v>811.9903810903852</v>
      </c>
      <c r="CD93" s="749">
        <f t="shared" si="299"/>
        <v>1869.9726324396506</v>
      </c>
      <c r="CE93" s="748">
        <f t="shared" si="299"/>
        <v>4711.3971125534845</v>
      </c>
      <c r="CF93" s="748">
        <f t="shared" si="299"/>
        <v>7488.0735588652824</v>
      </c>
      <c r="CG93" s="748">
        <f t="shared" si="299"/>
        <v>11373.088866472917</v>
      </c>
      <c r="CH93" s="748">
        <f t="shared" si="299"/>
        <v>11454.407168892103</v>
      </c>
      <c r="CI93" s="748">
        <f t="shared" si="299"/>
        <v>9347.5206479499102</v>
      </c>
      <c r="CJ93" s="748">
        <f t="shared" si="299"/>
        <v>8310.3107974951126</v>
      </c>
      <c r="CK93" s="748">
        <f t="shared" si="299"/>
        <v>4532.8406721129504</v>
      </c>
      <c r="CL93" s="748">
        <f t="shared" si="299"/>
        <v>1811.8213244755389</v>
      </c>
      <c r="CM93" s="748">
        <f t="shared" si="299"/>
        <v>-90053.664605372149</v>
      </c>
      <c r="CN93" s="748">
        <f t="shared" si="299"/>
        <v>-4062.9922448176112</v>
      </c>
      <c r="CO93" s="748">
        <f t="shared" si="299"/>
        <v>816.62398038788524</v>
      </c>
      <c r="CP93" s="749">
        <f t="shared" si="299"/>
        <v>1916.4203586119838</v>
      </c>
      <c r="CQ93" s="748">
        <f t="shared" si="299"/>
        <v>4862.8903286558561</v>
      </c>
      <c r="CR93" s="748">
        <f t="shared" si="299"/>
        <v>7724.8195095125047</v>
      </c>
      <c r="CS93" s="748">
        <f t="shared" si="299"/>
        <v>11695.760786213046</v>
      </c>
      <c r="CT93" s="748">
        <f t="shared" si="299"/>
        <v>11779.29361363205</v>
      </c>
      <c r="CU93" s="748">
        <f t="shared" si="299"/>
        <v>9632.4424495407657</v>
      </c>
      <c r="CV93" s="748">
        <f t="shared" si="299"/>
        <v>8554.9498608744179</v>
      </c>
      <c r="CW93" s="748">
        <f t="shared" si="299"/>
        <v>4694.6813754241848</v>
      </c>
      <c r="CX93" s="748">
        <f t="shared" si="299"/>
        <v>1890.2064552715528</v>
      </c>
      <c r="CY93" s="748">
        <f t="shared" si="299"/>
        <v>-100631.0070233141</v>
      </c>
      <c r="CZ93" s="748">
        <f t="shared" si="299"/>
        <v>-4311.1460262192486</v>
      </c>
      <c r="DA93" s="748">
        <f t="shared" si="299"/>
        <v>650.54360857493157</v>
      </c>
      <c r="DB93" s="749">
        <f t="shared" si="299"/>
        <v>1790.866384015415</v>
      </c>
      <c r="DC93" s="748">
        <f t="shared" ref="DC93:DJ93" si="300">DC79-DC91</f>
        <v>4789.9374291457061</v>
      </c>
      <c r="DD93" s="748">
        <f t="shared" si="300"/>
        <v>7735.375377696997</v>
      </c>
      <c r="DE93" s="748">
        <f t="shared" si="300"/>
        <v>11790.485014727172</v>
      </c>
      <c r="DF93" s="748">
        <f t="shared" si="300"/>
        <v>11874.46100929362</v>
      </c>
      <c r="DG93" s="748">
        <f t="shared" si="300"/>
        <v>9685.8599870913931</v>
      </c>
      <c r="DH93" s="748">
        <f t="shared" si="300"/>
        <v>8566.2854792707585</v>
      </c>
      <c r="DI93" s="748">
        <f t="shared" si="300"/>
        <v>4621.4053770996252</v>
      </c>
      <c r="DJ93" s="748">
        <f t="shared" si="300"/>
        <v>1731.6474414752156</v>
      </c>
      <c r="DK93" s="748">
        <f t="shared" ref="DK93:DN93" si="301">DK79-DK91</f>
        <v>-91230.692764988024</v>
      </c>
      <c r="DL93" s="748">
        <f t="shared" si="301"/>
        <v>17539.254979804435</v>
      </c>
      <c r="DM93" s="748">
        <f t="shared" si="301"/>
        <v>22628.844979804431</v>
      </c>
      <c r="DN93" s="748">
        <f t="shared" si="301"/>
        <v>23815.639979804437</v>
      </c>
      <c r="DO93" s="747"/>
      <c r="DP93" s="748">
        <f>SUM(J93:DJ93)</f>
        <v>-453928.54775491962</v>
      </c>
    </row>
    <row r="94" spans="3:120" x14ac:dyDescent="0.3">
      <c r="V94" s="561"/>
      <c r="AH94" s="561"/>
      <c r="AT94" s="561"/>
      <c r="BF94" s="561"/>
      <c r="BR94" s="561"/>
      <c r="CD94" s="561"/>
      <c r="CP94" s="561"/>
      <c r="DB94" s="561"/>
      <c r="DP94" s="340"/>
    </row>
    <row r="95" spans="3:120" x14ac:dyDescent="0.3">
      <c r="C95" s="331" t="str">
        <f>'Table 3.0'!C123</f>
        <v>DEVELOPMENT COSTS</v>
      </c>
      <c r="V95" s="561"/>
      <c r="AH95" s="561"/>
      <c r="AT95" s="561"/>
      <c r="BF95" s="561"/>
      <c r="BR95" s="561"/>
      <c r="CD95" s="561"/>
      <c r="CP95" s="561"/>
      <c r="DB95" s="561"/>
      <c r="DP95" s="340"/>
    </row>
    <row r="96" spans="3:120" x14ac:dyDescent="0.3">
      <c r="D96" s="331" t="str">
        <f>'Table 3.0'!D124</f>
        <v>Hard Costs</v>
      </c>
      <c r="V96" s="561"/>
      <c r="AH96" s="561"/>
      <c r="AT96" s="561"/>
      <c r="BF96" s="561"/>
      <c r="BR96" s="561"/>
      <c r="CD96" s="561"/>
      <c r="CP96" s="561"/>
      <c r="DB96" s="561"/>
      <c r="DP96" s="340"/>
    </row>
    <row r="97" spans="3:121" x14ac:dyDescent="0.3">
      <c r="D97" s="331"/>
      <c r="E97" s="331" t="str">
        <f>'Table 3.0'!E125</f>
        <v>Unit Construction</v>
      </c>
      <c r="J97" s="340"/>
      <c r="K97" s="340">
        <f>'Cost Curves'!K11</f>
        <v>0</v>
      </c>
      <c r="L97" s="340">
        <f>'Cost Curves'!L11</f>
        <v>0</v>
      </c>
      <c r="M97" s="340">
        <f>'Cost Curves'!M11</f>
        <v>0</v>
      </c>
      <c r="N97" s="340">
        <f>'Cost Curves'!N11</f>
        <v>0</v>
      </c>
      <c r="O97" s="340">
        <f>'Cost Curves'!O11</f>
        <v>0</v>
      </c>
      <c r="P97" s="340">
        <f>'Cost Curves'!P11</f>
        <v>0</v>
      </c>
      <c r="Q97" s="340">
        <f>'Cost Curves'!Q11</f>
        <v>0</v>
      </c>
      <c r="R97" s="340">
        <f>'Cost Curves'!R11</f>
        <v>0</v>
      </c>
      <c r="S97" s="340">
        <f>'Cost Curves'!S11</f>
        <v>0</v>
      </c>
      <c r="T97" s="340">
        <f>'Cost Curves'!T11</f>
        <v>0</v>
      </c>
      <c r="U97" s="340">
        <f>'Cost Curves'!U11</f>
        <v>0</v>
      </c>
      <c r="V97" s="340">
        <f>'Cost Curves'!V11</f>
        <v>0</v>
      </c>
      <c r="W97" s="340">
        <f>'Cost Curves'!W11</f>
        <v>0</v>
      </c>
      <c r="X97" s="340">
        <f>'Cost Curves'!X11</f>
        <v>0</v>
      </c>
      <c r="Y97" s="340">
        <f>'Cost Curves'!Y11</f>
        <v>0</v>
      </c>
      <c r="Z97" s="340">
        <f>'Cost Curves'!Z11</f>
        <v>0</v>
      </c>
      <c r="AA97" s="340">
        <f>'Cost Curves'!AA11</f>
        <v>0</v>
      </c>
      <c r="AB97" s="340">
        <f>'Cost Curves'!AB11</f>
        <v>0</v>
      </c>
      <c r="AC97" s="340">
        <f>'Cost Curves'!AC11</f>
        <v>0</v>
      </c>
      <c r="AD97" s="340">
        <f>'Cost Curves'!AD11</f>
        <v>0</v>
      </c>
      <c r="AE97" s="340">
        <f>'Cost Curves'!AE11</f>
        <v>0</v>
      </c>
      <c r="AF97" s="340">
        <f>'Cost Curves'!AF11</f>
        <v>0</v>
      </c>
      <c r="AG97" s="340">
        <f>'Cost Curves'!AG11</f>
        <v>0</v>
      </c>
      <c r="AH97" s="340">
        <f>'Cost Curves'!AH11</f>
        <v>0</v>
      </c>
      <c r="AI97" s="340">
        <f>'Cost Curves'!AI11</f>
        <v>0</v>
      </c>
      <c r="AJ97" s="340">
        <f>'Cost Curves'!AJ11</f>
        <v>0</v>
      </c>
      <c r="AK97" s="340">
        <f>'Cost Curves'!AK11</f>
        <v>0</v>
      </c>
      <c r="AL97" s="340">
        <f>'Cost Curves'!AL11</f>
        <v>0</v>
      </c>
      <c r="AM97" s="340">
        <f>'Cost Curves'!AM11</f>
        <v>0</v>
      </c>
      <c r="AN97" s="340">
        <f>'Cost Curves'!AN11</f>
        <v>0</v>
      </c>
      <c r="AO97" s="340">
        <f>'Cost Curves'!AO11</f>
        <v>0</v>
      </c>
      <c r="AP97" s="340">
        <f>'Cost Curves'!AP11</f>
        <v>0</v>
      </c>
      <c r="AQ97" s="340">
        <f>'Cost Curves'!AQ11</f>
        <v>0</v>
      </c>
      <c r="AR97" s="340">
        <f>'Cost Curves'!AR11</f>
        <v>0</v>
      </c>
      <c r="AS97" s="340">
        <f>'Cost Curves'!AS11</f>
        <v>0</v>
      </c>
      <c r="AT97" s="340">
        <f>'Cost Curves'!AT11</f>
        <v>0</v>
      </c>
      <c r="AU97" s="340">
        <f>'Cost Curves'!AU11</f>
        <v>0</v>
      </c>
      <c r="AV97" s="340">
        <f>'Cost Curves'!AV11</f>
        <v>0</v>
      </c>
      <c r="AW97" s="340">
        <f>'Cost Curves'!AW11</f>
        <v>0</v>
      </c>
      <c r="AX97" s="340">
        <f>'Cost Curves'!AX11</f>
        <v>0</v>
      </c>
      <c r="AY97" s="340">
        <f>'Cost Curves'!AY11</f>
        <v>0</v>
      </c>
      <c r="AZ97" s="340">
        <f>'Cost Curves'!AZ11</f>
        <v>0</v>
      </c>
      <c r="BA97" s="340">
        <f>'Cost Curves'!BA11</f>
        <v>0</v>
      </c>
      <c r="BB97" s="340">
        <f>'Cost Curves'!BB11</f>
        <v>0</v>
      </c>
      <c r="BC97" s="340">
        <f>'Cost Curves'!BC11</f>
        <v>0</v>
      </c>
      <c r="BD97" s="340">
        <f>'Cost Curves'!BD11</f>
        <v>0</v>
      </c>
      <c r="BE97" s="340">
        <f>'Cost Curves'!BE11</f>
        <v>0</v>
      </c>
      <c r="BF97" s="340">
        <f>'Cost Curves'!BF11</f>
        <v>0</v>
      </c>
      <c r="BG97" s="340">
        <f>'Cost Curves'!BG11</f>
        <v>0</v>
      </c>
      <c r="BH97" s="340">
        <f>'Cost Curves'!BH11</f>
        <v>0</v>
      </c>
      <c r="BI97" s="340">
        <f>'Cost Curves'!BI11</f>
        <v>0</v>
      </c>
      <c r="BJ97" s="340">
        <f>'Cost Curves'!BJ11</f>
        <v>0</v>
      </c>
      <c r="BK97" s="340">
        <f>'Cost Curves'!BK11</f>
        <v>0</v>
      </c>
      <c r="BL97" s="340">
        <f>'Cost Curves'!BL11</f>
        <v>0</v>
      </c>
      <c r="BM97" s="340">
        <f>'Cost Curves'!BM11</f>
        <v>0</v>
      </c>
      <c r="BN97" s="340">
        <f>'Cost Curves'!BN11</f>
        <v>0</v>
      </c>
      <c r="BO97" s="340">
        <f>'Cost Curves'!BO11</f>
        <v>0</v>
      </c>
      <c r="BP97" s="340">
        <f>'Cost Curves'!BP11</f>
        <v>0</v>
      </c>
      <c r="BQ97" s="340">
        <f>'Cost Curves'!BQ11</f>
        <v>0</v>
      </c>
      <c r="BR97" s="340">
        <f>'Cost Curves'!BR11</f>
        <v>0</v>
      </c>
      <c r="BS97" s="340">
        <f>'Cost Curves'!BS11</f>
        <v>0</v>
      </c>
      <c r="BT97" s="340">
        <f>'Cost Curves'!BT11</f>
        <v>0</v>
      </c>
      <c r="BU97" s="340">
        <f>'Cost Curves'!BU11</f>
        <v>0</v>
      </c>
      <c r="BV97" s="340">
        <f>'Cost Curves'!BV11</f>
        <v>0</v>
      </c>
      <c r="BW97" s="340">
        <f>'Cost Curves'!BW11</f>
        <v>0</v>
      </c>
      <c r="BX97" s="340">
        <f>'Cost Curves'!BX11</f>
        <v>0</v>
      </c>
      <c r="BY97" s="340">
        <f>'Cost Curves'!BY11</f>
        <v>0</v>
      </c>
      <c r="BZ97" s="340">
        <f>'Cost Curves'!BZ11</f>
        <v>0</v>
      </c>
      <c r="CA97" s="340">
        <f>'Cost Curves'!CA11</f>
        <v>0</v>
      </c>
      <c r="CB97" s="340">
        <f>'Cost Curves'!CB11</f>
        <v>0</v>
      </c>
      <c r="CC97" s="340">
        <f>'Cost Curves'!CC11</f>
        <v>0</v>
      </c>
      <c r="CD97" s="340">
        <f>'Cost Curves'!CD11</f>
        <v>0</v>
      </c>
      <c r="CE97" s="340">
        <f>'Cost Curves'!CE11</f>
        <v>0</v>
      </c>
      <c r="CF97" s="340">
        <f>'Cost Curves'!CF11</f>
        <v>0</v>
      </c>
      <c r="CG97" s="340">
        <f>'Cost Curves'!CG11</f>
        <v>0</v>
      </c>
      <c r="CH97" s="340">
        <f>'Cost Curves'!CH11</f>
        <v>0</v>
      </c>
      <c r="CI97" s="340">
        <f>'Cost Curves'!CI11</f>
        <v>0</v>
      </c>
      <c r="CJ97" s="340">
        <f>'Cost Curves'!CJ11</f>
        <v>0</v>
      </c>
      <c r="CK97" s="340">
        <f>'Cost Curves'!CK11</f>
        <v>0</v>
      </c>
      <c r="CL97" s="340">
        <f>'Cost Curves'!CL11</f>
        <v>0</v>
      </c>
      <c r="CM97" s="340">
        <f>'Cost Curves'!CM11</f>
        <v>0</v>
      </c>
      <c r="CN97" s="340">
        <f>'Cost Curves'!CN11</f>
        <v>0</v>
      </c>
      <c r="CO97" s="340">
        <f>'Cost Curves'!CO11</f>
        <v>0</v>
      </c>
      <c r="CP97" s="340">
        <f>'Cost Curves'!CP11</f>
        <v>0</v>
      </c>
      <c r="CQ97" s="340">
        <f>'Cost Curves'!CQ11</f>
        <v>0</v>
      </c>
      <c r="CR97" s="340">
        <f>'Cost Curves'!CR11</f>
        <v>0</v>
      </c>
      <c r="CS97" s="340">
        <f>'Cost Curves'!CS11</f>
        <v>0</v>
      </c>
      <c r="CT97" s="340">
        <f>'Cost Curves'!CT11</f>
        <v>0</v>
      </c>
      <c r="CU97" s="340">
        <f>'Cost Curves'!CU11</f>
        <v>0</v>
      </c>
      <c r="CV97" s="340">
        <f>'Cost Curves'!CV11</f>
        <v>0</v>
      </c>
      <c r="CW97" s="340">
        <f>'Cost Curves'!CW11</f>
        <v>0</v>
      </c>
      <c r="CX97" s="340">
        <f>'Cost Curves'!CX11</f>
        <v>0</v>
      </c>
      <c r="CY97" s="340">
        <f>'Cost Curves'!CY11</f>
        <v>0</v>
      </c>
      <c r="CZ97" s="340">
        <f>'Cost Curves'!CZ11</f>
        <v>0</v>
      </c>
      <c r="DA97" s="340">
        <f>'Cost Curves'!DA11</f>
        <v>0</v>
      </c>
      <c r="DB97" s="340">
        <f>'Cost Curves'!DB11</f>
        <v>0</v>
      </c>
      <c r="DC97" s="340">
        <f>'Cost Curves'!DC11</f>
        <v>0</v>
      </c>
      <c r="DD97" s="340">
        <f>'Cost Curves'!DD11</f>
        <v>0</v>
      </c>
      <c r="DE97" s="340">
        <f>'Cost Curves'!DE11</f>
        <v>0</v>
      </c>
      <c r="DF97" s="340">
        <f>'Cost Curves'!DF11</f>
        <v>0</v>
      </c>
      <c r="DG97" s="340">
        <f>'Cost Curves'!DG11</f>
        <v>0</v>
      </c>
      <c r="DH97" s="340">
        <f>'Cost Curves'!DH11</f>
        <v>0</v>
      </c>
      <c r="DI97" s="340">
        <f>'Cost Curves'!DI11</f>
        <v>0</v>
      </c>
      <c r="DJ97" s="340">
        <f>'Cost Curves'!DJ11</f>
        <v>0</v>
      </c>
      <c r="DK97" s="340">
        <f>'Cost Curves'!DK11</f>
        <v>0</v>
      </c>
      <c r="DL97" s="340">
        <f>'Cost Curves'!DL11</f>
        <v>0</v>
      </c>
      <c r="DM97" s="340">
        <f>'Cost Curves'!DM11</f>
        <v>0</v>
      </c>
      <c r="DN97" s="340">
        <f>'Cost Curves'!DN11</f>
        <v>0</v>
      </c>
      <c r="DO97" s="340"/>
      <c r="DP97" s="340">
        <f t="shared" ref="DP97:DP102" si="302">SUM(J97:DN97)</f>
        <v>0</v>
      </c>
      <c r="DQ97" s="340"/>
    </row>
    <row r="98" spans="3:121" x14ac:dyDescent="0.3">
      <c r="D98" s="331"/>
      <c r="E98" s="331" t="str">
        <f>'Table 3.0'!E126</f>
        <v>Site Work</v>
      </c>
      <c r="J98" s="340"/>
      <c r="K98" s="340">
        <f>'Cost Curves'!K17</f>
        <v>68450</v>
      </c>
      <c r="L98" s="340">
        <f>'Cost Curves'!L17</f>
        <v>136900</v>
      </c>
      <c r="M98" s="340">
        <f>'Cost Curves'!M17</f>
        <v>136900</v>
      </c>
      <c r="N98" s="340">
        <f>'Cost Curves'!N17</f>
        <v>205350</v>
      </c>
      <c r="O98" s="340">
        <f>'Cost Curves'!O17</f>
        <v>136900</v>
      </c>
      <c r="P98" s="340">
        <f>'Cost Curves'!P17</f>
        <v>273800</v>
      </c>
      <c r="Q98" s="340">
        <f>'Cost Curves'!Q17</f>
        <v>205350</v>
      </c>
      <c r="R98" s="340">
        <f>'Cost Curves'!R17</f>
        <v>205350</v>
      </c>
      <c r="S98" s="340">
        <f>'Cost Curves'!S17</f>
        <v>0</v>
      </c>
      <c r="T98" s="340">
        <f>'Cost Curves'!T17</f>
        <v>0</v>
      </c>
      <c r="U98" s="340">
        <f>'Cost Curves'!U17</f>
        <v>0</v>
      </c>
      <c r="V98" s="562">
        <f>'Cost Curves'!V17</f>
        <v>0</v>
      </c>
      <c r="W98" s="340">
        <f>'Cost Curves'!W17</f>
        <v>0</v>
      </c>
      <c r="X98" s="340">
        <f>'Cost Curves'!X17</f>
        <v>0</v>
      </c>
      <c r="Y98" s="340">
        <f>'Cost Curves'!Y17</f>
        <v>0</v>
      </c>
      <c r="Z98" s="340">
        <f>'Cost Curves'!Z17</f>
        <v>0</v>
      </c>
      <c r="AA98" s="340">
        <f>'Cost Curves'!AA17</f>
        <v>0</v>
      </c>
      <c r="AB98" s="340">
        <f>'Cost Curves'!AB17</f>
        <v>0</v>
      </c>
      <c r="AC98" s="340">
        <f>'Cost Curves'!AC17</f>
        <v>0</v>
      </c>
      <c r="AD98" s="340">
        <f>'Cost Curves'!AD17</f>
        <v>0</v>
      </c>
      <c r="AE98" s="340">
        <f>'Cost Curves'!AE17</f>
        <v>0</v>
      </c>
      <c r="AF98" s="340">
        <f>'Cost Curves'!AF17</f>
        <v>0</v>
      </c>
      <c r="AG98" s="340">
        <f>'Cost Curves'!AG17</f>
        <v>0</v>
      </c>
      <c r="AH98" s="562">
        <f>'Cost Curves'!AH17</f>
        <v>0</v>
      </c>
      <c r="AI98" s="340">
        <f>'Cost Curves'!AI17</f>
        <v>0</v>
      </c>
      <c r="AJ98" s="340">
        <f>'Cost Curves'!AJ17</f>
        <v>0</v>
      </c>
      <c r="AK98" s="340">
        <f>'Cost Curves'!AK17</f>
        <v>0</v>
      </c>
      <c r="AL98" s="340">
        <f>'Cost Curves'!AL17</f>
        <v>0</v>
      </c>
      <c r="AM98" s="340">
        <f>'Cost Curves'!AM17</f>
        <v>0</v>
      </c>
      <c r="AN98" s="340">
        <f>'Cost Curves'!AN17</f>
        <v>0</v>
      </c>
      <c r="AO98" s="340">
        <f>'Cost Curves'!AO17</f>
        <v>0</v>
      </c>
      <c r="AP98" s="340">
        <f>'Cost Curves'!AP17</f>
        <v>0</v>
      </c>
      <c r="AQ98" s="340">
        <f>'Cost Curves'!AQ17</f>
        <v>0</v>
      </c>
      <c r="AR98" s="340">
        <f>'Cost Curves'!AR17</f>
        <v>0</v>
      </c>
      <c r="AS98" s="340">
        <f>'Cost Curves'!AS17</f>
        <v>0</v>
      </c>
      <c r="AT98" s="562">
        <f>'Cost Curves'!AT17</f>
        <v>0</v>
      </c>
      <c r="AU98" s="340">
        <f>'Cost Curves'!AU17</f>
        <v>0</v>
      </c>
      <c r="AV98" s="340">
        <f>'Cost Curves'!AV17</f>
        <v>0</v>
      </c>
      <c r="AW98" s="340">
        <f>'Cost Curves'!AW17</f>
        <v>0</v>
      </c>
      <c r="AX98" s="340">
        <f>'Cost Curves'!AX17</f>
        <v>0</v>
      </c>
      <c r="AY98" s="340">
        <f>'Cost Curves'!AY17</f>
        <v>0</v>
      </c>
      <c r="AZ98" s="340">
        <f>'Cost Curves'!AZ17</f>
        <v>0</v>
      </c>
      <c r="BA98" s="340">
        <f>'Cost Curves'!BA17</f>
        <v>0</v>
      </c>
      <c r="BB98" s="340">
        <f>'Cost Curves'!BB17</f>
        <v>0</v>
      </c>
      <c r="BC98" s="340">
        <f>'Cost Curves'!BC17</f>
        <v>0</v>
      </c>
      <c r="BD98" s="340">
        <f>'Cost Curves'!BD17</f>
        <v>0</v>
      </c>
      <c r="BE98" s="340">
        <f>'Cost Curves'!BE17</f>
        <v>0</v>
      </c>
      <c r="BF98" s="562">
        <f>'Cost Curves'!BF17</f>
        <v>0</v>
      </c>
      <c r="BG98" s="340">
        <f>'Cost Curves'!BG17</f>
        <v>0</v>
      </c>
      <c r="BH98" s="340">
        <f>'Cost Curves'!BH17</f>
        <v>0</v>
      </c>
      <c r="BI98" s="340">
        <f>'Cost Curves'!BI17</f>
        <v>0</v>
      </c>
      <c r="BJ98" s="340">
        <f>'Cost Curves'!BJ17</f>
        <v>0</v>
      </c>
      <c r="BK98" s="340">
        <f>'Cost Curves'!BK17</f>
        <v>0</v>
      </c>
      <c r="BL98" s="340">
        <f>'Cost Curves'!BL17</f>
        <v>0</v>
      </c>
      <c r="BM98" s="340">
        <f>'Cost Curves'!BM17</f>
        <v>0</v>
      </c>
      <c r="BN98" s="340">
        <f>'Cost Curves'!BN17</f>
        <v>0</v>
      </c>
      <c r="BO98" s="340">
        <f>'Cost Curves'!BO17</f>
        <v>0</v>
      </c>
      <c r="BP98" s="340">
        <f>'Cost Curves'!BP17</f>
        <v>0</v>
      </c>
      <c r="BQ98" s="340">
        <f>'Cost Curves'!BQ17</f>
        <v>0</v>
      </c>
      <c r="BR98" s="562">
        <f>'Cost Curves'!BR17</f>
        <v>0</v>
      </c>
      <c r="BS98" s="340">
        <f>'Cost Curves'!BS17</f>
        <v>0</v>
      </c>
      <c r="BT98" s="340">
        <f>'Cost Curves'!BT17</f>
        <v>0</v>
      </c>
      <c r="BU98" s="340">
        <f>'Cost Curves'!BU17</f>
        <v>0</v>
      </c>
      <c r="BV98" s="340">
        <f>'Cost Curves'!BV17</f>
        <v>0</v>
      </c>
      <c r="BW98" s="340">
        <f>'Cost Curves'!BW17</f>
        <v>0</v>
      </c>
      <c r="BX98" s="340">
        <f>'Cost Curves'!BX17</f>
        <v>0</v>
      </c>
      <c r="BY98" s="340">
        <f>'Cost Curves'!BY17</f>
        <v>0</v>
      </c>
      <c r="BZ98" s="340">
        <f>'Cost Curves'!BZ17</f>
        <v>0</v>
      </c>
      <c r="CA98" s="340">
        <f>'Cost Curves'!CA17</f>
        <v>0</v>
      </c>
      <c r="CB98" s="340">
        <f>'Cost Curves'!CB17</f>
        <v>0</v>
      </c>
      <c r="CC98" s="340">
        <f>'Cost Curves'!CC17</f>
        <v>0</v>
      </c>
      <c r="CD98" s="562">
        <f>'Cost Curves'!CD17</f>
        <v>0</v>
      </c>
      <c r="CE98" s="340">
        <f>'Cost Curves'!CE17</f>
        <v>0</v>
      </c>
      <c r="CF98" s="340">
        <f>'Cost Curves'!CF17</f>
        <v>0</v>
      </c>
      <c r="CG98" s="340">
        <f>'Cost Curves'!CG17</f>
        <v>0</v>
      </c>
      <c r="CH98" s="340">
        <f>'Cost Curves'!CH17</f>
        <v>0</v>
      </c>
      <c r="CI98" s="340">
        <f>'Cost Curves'!CI17</f>
        <v>0</v>
      </c>
      <c r="CJ98" s="340">
        <f>'Cost Curves'!CJ17</f>
        <v>0</v>
      </c>
      <c r="CK98" s="340">
        <f>'Cost Curves'!CK17</f>
        <v>0</v>
      </c>
      <c r="CL98" s="340">
        <f>'Cost Curves'!CL17</f>
        <v>0</v>
      </c>
      <c r="CM98" s="340">
        <f>'Cost Curves'!CM17</f>
        <v>0</v>
      </c>
      <c r="CN98" s="340">
        <f>'Cost Curves'!CN17</f>
        <v>0</v>
      </c>
      <c r="CO98" s="340">
        <f>'Cost Curves'!CO17</f>
        <v>0</v>
      </c>
      <c r="CP98" s="562">
        <f>'Cost Curves'!CP17</f>
        <v>0</v>
      </c>
      <c r="CQ98" s="340">
        <f>'Cost Curves'!CQ17</f>
        <v>0</v>
      </c>
      <c r="CR98" s="340">
        <f>'Cost Curves'!CR17</f>
        <v>0</v>
      </c>
      <c r="CS98" s="340">
        <f>'Cost Curves'!CS17</f>
        <v>0</v>
      </c>
      <c r="CT98" s="340">
        <f>'Cost Curves'!CT17</f>
        <v>0</v>
      </c>
      <c r="CU98" s="340">
        <f>'Cost Curves'!CU17</f>
        <v>0</v>
      </c>
      <c r="CV98" s="340">
        <f>'Cost Curves'!CV17</f>
        <v>0</v>
      </c>
      <c r="CW98" s="340">
        <f>'Cost Curves'!CW17</f>
        <v>0</v>
      </c>
      <c r="CX98" s="340">
        <f>'Cost Curves'!CX17</f>
        <v>0</v>
      </c>
      <c r="CY98" s="340">
        <f>'Cost Curves'!CY17</f>
        <v>0</v>
      </c>
      <c r="CZ98" s="340">
        <f>'Cost Curves'!CZ17</f>
        <v>0</v>
      </c>
      <c r="DA98" s="340">
        <f>'Cost Curves'!DA17</f>
        <v>0</v>
      </c>
      <c r="DB98" s="562">
        <f>'Cost Curves'!DB17</f>
        <v>0</v>
      </c>
      <c r="DC98" s="340">
        <f>'Cost Curves'!DC17</f>
        <v>0</v>
      </c>
      <c r="DD98" s="340">
        <f>'Cost Curves'!DD17</f>
        <v>0</v>
      </c>
      <c r="DE98" s="340">
        <f>'Cost Curves'!DE17</f>
        <v>0</v>
      </c>
      <c r="DF98" s="340">
        <f>'Cost Curves'!DF17</f>
        <v>0</v>
      </c>
      <c r="DG98" s="340">
        <f>'Cost Curves'!DG17</f>
        <v>0</v>
      </c>
      <c r="DH98" s="340">
        <f>'Cost Curves'!DH17</f>
        <v>0</v>
      </c>
      <c r="DI98" s="340">
        <f>'Cost Curves'!DI17</f>
        <v>0</v>
      </c>
      <c r="DJ98" s="340">
        <f>'Cost Curves'!DJ17</f>
        <v>0</v>
      </c>
      <c r="DK98" s="340">
        <f>'Cost Curves'!DK17</f>
        <v>0</v>
      </c>
      <c r="DL98" s="340">
        <f>'Cost Curves'!DL17</f>
        <v>0</v>
      </c>
      <c r="DM98" s="340">
        <f>'Cost Curves'!DM17</f>
        <v>0</v>
      </c>
      <c r="DN98" s="340">
        <f>'Cost Curves'!DN17</f>
        <v>0</v>
      </c>
      <c r="DO98" s="340"/>
      <c r="DP98" s="340">
        <f t="shared" si="302"/>
        <v>1369000</v>
      </c>
      <c r="DQ98" s="340"/>
    </row>
    <row r="99" spans="3:121" x14ac:dyDescent="0.3">
      <c r="D99" s="331"/>
      <c r="E99" s="331" t="str">
        <f>'Table 3.0'!E127</f>
        <v>Contractor Fee &amp; Overhead (% of HC, $ Amt. (Mo.))</v>
      </c>
      <c r="G99" s="528"/>
      <c r="H99" s="705"/>
      <c r="J99" s="340"/>
      <c r="K99" s="925">
        <v>10000</v>
      </c>
      <c r="L99" s="925">
        <v>10000</v>
      </c>
      <c r="M99" s="925">
        <v>10000</v>
      </c>
      <c r="N99" s="925">
        <v>10000</v>
      </c>
      <c r="O99" s="925">
        <v>10000</v>
      </c>
      <c r="P99" s="925">
        <v>10000</v>
      </c>
      <c r="Q99" s="925">
        <v>10000</v>
      </c>
      <c r="R99" s="925">
        <v>10000</v>
      </c>
      <c r="S99" s="925">
        <v>10000</v>
      </c>
      <c r="T99" s="925">
        <v>10000</v>
      </c>
      <c r="U99" s="925">
        <v>10000</v>
      </c>
      <c r="V99" s="939">
        <v>10000</v>
      </c>
      <c r="W99" s="925">
        <v>0</v>
      </c>
      <c r="X99" s="925">
        <f>W99</f>
        <v>0</v>
      </c>
      <c r="Y99" s="925">
        <f t="shared" ref="Y99:AK99" si="303">X99</f>
        <v>0</v>
      </c>
      <c r="Z99" s="925">
        <f t="shared" si="303"/>
        <v>0</v>
      </c>
      <c r="AA99" s="925">
        <f t="shared" si="303"/>
        <v>0</v>
      </c>
      <c r="AB99" s="925">
        <f t="shared" si="303"/>
        <v>0</v>
      </c>
      <c r="AC99" s="925">
        <f t="shared" si="303"/>
        <v>0</v>
      </c>
      <c r="AD99" s="925">
        <f t="shared" si="303"/>
        <v>0</v>
      </c>
      <c r="AE99" s="925">
        <f t="shared" si="303"/>
        <v>0</v>
      </c>
      <c r="AF99" s="925">
        <f t="shared" si="303"/>
        <v>0</v>
      </c>
      <c r="AG99" s="925">
        <f t="shared" si="303"/>
        <v>0</v>
      </c>
      <c r="AH99" s="925">
        <f t="shared" si="303"/>
        <v>0</v>
      </c>
      <c r="AI99" s="925">
        <f t="shared" si="303"/>
        <v>0</v>
      </c>
      <c r="AJ99" s="925">
        <f t="shared" si="303"/>
        <v>0</v>
      </c>
      <c r="AK99" s="925">
        <f t="shared" si="303"/>
        <v>0</v>
      </c>
      <c r="AL99" s="340">
        <v>0</v>
      </c>
      <c r="AM99" s="340">
        <v>0</v>
      </c>
      <c r="AN99" s="340">
        <v>0</v>
      </c>
      <c r="AO99" s="340">
        <v>0</v>
      </c>
      <c r="AP99" s="340">
        <v>0</v>
      </c>
      <c r="AQ99" s="340">
        <v>0</v>
      </c>
      <c r="AR99" s="340">
        <v>0</v>
      </c>
      <c r="AS99" s="340">
        <v>0</v>
      </c>
      <c r="AT99" s="562">
        <v>0</v>
      </c>
      <c r="AU99" s="340">
        <v>0</v>
      </c>
      <c r="AV99" s="340">
        <v>0</v>
      </c>
      <c r="AW99" s="340">
        <v>0</v>
      </c>
      <c r="AX99" s="340">
        <v>0</v>
      </c>
      <c r="AY99" s="340">
        <v>0</v>
      </c>
      <c r="AZ99" s="340">
        <v>0</v>
      </c>
      <c r="BA99" s="340">
        <v>0</v>
      </c>
      <c r="BB99" s="340">
        <v>0</v>
      </c>
      <c r="BC99" s="340">
        <v>0</v>
      </c>
      <c r="BD99" s="340">
        <v>0</v>
      </c>
      <c r="BE99" s="340">
        <v>0</v>
      </c>
      <c r="BF99" s="562">
        <v>0</v>
      </c>
      <c r="BG99" s="340">
        <v>0</v>
      </c>
      <c r="BH99" s="340">
        <v>0</v>
      </c>
      <c r="BI99" s="340">
        <v>0</v>
      </c>
      <c r="BJ99" s="340">
        <v>0</v>
      </c>
      <c r="BK99" s="340">
        <v>0</v>
      </c>
      <c r="BL99" s="340">
        <v>0</v>
      </c>
      <c r="BM99" s="340">
        <v>0</v>
      </c>
      <c r="BN99" s="340">
        <v>0</v>
      </c>
      <c r="BO99" s="340">
        <v>0</v>
      </c>
      <c r="BP99" s="340">
        <v>0</v>
      </c>
      <c r="BQ99" s="340">
        <v>0</v>
      </c>
      <c r="BR99" s="562">
        <v>0</v>
      </c>
      <c r="BS99" s="340">
        <v>0</v>
      </c>
      <c r="BT99" s="340">
        <v>0</v>
      </c>
      <c r="BU99" s="340">
        <v>0</v>
      </c>
      <c r="BV99" s="340">
        <v>0</v>
      </c>
      <c r="BW99" s="340">
        <v>0</v>
      </c>
      <c r="BX99" s="340">
        <v>0</v>
      </c>
      <c r="BY99" s="340">
        <v>0</v>
      </c>
      <c r="BZ99" s="340">
        <v>0</v>
      </c>
      <c r="CA99" s="340">
        <v>0</v>
      </c>
      <c r="CB99" s="340">
        <v>0</v>
      </c>
      <c r="CC99" s="340">
        <v>0</v>
      </c>
      <c r="CD99" s="562">
        <v>0</v>
      </c>
      <c r="CE99" s="340">
        <v>0</v>
      </c>
      <c r="CF99" s="340">
        <v>0</v>
      </c>
      <c r="CG99" s="340">
        <v>0</v>
      </c>
      <c r="CH99" s="340">
        <v>0</v>
      </c>
      <c r="CI99" s="340">
        <v>0</v>
      </c>
      <c r="CJ99" s="340">
        <v>0</v>
      </c>
      <c r="CK99" s="340">
        <v>0</v>
      </c>
      <c r="CL99" s="340">
        <v>0</v>
      </c>
      <c r="CM99" s="340">
        <v>0</v>
      </c>
      <c r="CN99" s="340">
        <v>0</v>
      </c>
      <c r="CO99" s="340">
        <v>0</v>
      </c>
      <c r="CP99" s="562">
        <v>0</v>
      </c>
      <c r="CQ99" s="340">
        <v>0</v>
      </c>
      <c r="CR99" s="340">
        <v>0</v>
      </c>
      <c r="CS99" s="340">
        <v>0</v>
      </c>
      <c r="CT99" s="340">
        <v>0</v>
      </c>
      <c r="CU99" s="340">
        <v>0</v>
      </c>
      <c r="CV99" s="340">
        <v>0</v>
      </c>
      <c r="CW99" s="340">
        <v>0</v>
      </c>
      <c r="CX99" s="340">
        <v>0</v>
      </c>
      <c r="CY99" s="340">
        <v>0</v>
      </c>
      <c r="CZ99" s="340">
        <v>0</v>
      </c>
      <c r="DA99" s="340">
        <v>0</v>
      </c>
      <c r="DB99" s="562">
        <v>0</v>
      </c>
      <c r="DC99" s="340">
        <v>0</v>
      </c>
      <c r="DD99" s="340">
        <v>0</v>
      </c>
      <c r="DE99" s="340">
        <v>0</v>
      </c>
      <c r="DF99" s="340">
        <v>0</v>
      </c>
      <c r="DG99" s="340">
        <v>0</v>
      </c>
      <c r="DH99" s="340">
        <v>0</v>
      </c>
      <c r="DI99" s="340">
        <v>0</v>
      </c>
      <c r="DJ99" s="340">
        <v>0</v>
      </c>
      <c r="DK99" s="340">
        <v>0</v>
      </c>
      <c r="DL99" s="340">
        <v>0</v>
      </c>
      <c r="DM99" s="340">
        <v>0</v>
      </c>
      <c r="DN99" s="340">
        <v>0</v>
      </c>
      <c r="DO99" s="340"/>
      <c r="DP99" s="340">
        <f t="shared" si="302"/>
        <v>120000</v>
      </c>
      <c r="DQ99" s="340"/>
    </row>
    <row r="100" spans="3:121" x14ac:dyDescent="0.3">
      <c r="D100" s="331"/>
      <c r="E100" s="331" t="s">
        <v>680</v>
      </c>
      <c r="G100" s="338"/>
      <c r="H100" s="705">
        <f>'Table 3.0'!H128</f>
        <v>0</v>
      </c>
      <c r="J100" s="340"/>
      <c r="K100" s="340">
        <f>Worksheet!U43</f>
        <v>0</v>
      </c>
      <c r="L100" s="340">
        <f>Worksheet!V43</f>
        <v>0</v>
      </c>
      <c r="M100" s="340">
        <f>Worksheet!W43</f>
        <v>0</v>
      </c>
      <c r="N100" s="340">
        <f>Worksheet!X43</f>
        <v>0</v>
      </c>
      <c r="O100" s="340">
        <f>Worksheet!Y43</f>
        <v>0</v>
      </c>
      <c r="P100" s="340">
        <f>Worksheet!Z43</f>
        <v>0</v>
      </c>
      <c r="Q100" s="340">
        <f>Worksheet!AA43</f>
        <v>0</v>
      </c>
      <c r="R100" s="340">
        <f>Worksheet!AB43</f>
        <v>0</v>
      </c>
      <c r="S100" s="340">
        <f>Worksheet!AC43</f>
        <v>0</v>
      </c>
      <c r="T100" s="340">
        <f>Worksheet!AD43</f>
        <v>0</v>
      </c>
      <c r="U100" s="340">
        <f>Worksheet!AE43</f>
        <v>0</v>
      </c>
      <c r="V100" s="562">
        <f>Worksheet!AF43</f>
        <v>0</v>
      </c>
      <c r="W100" s="340">
        <f>Worksheet!AG43</f>
        <v>0</v>
      </c>
      <c r="X100" s="340">
        <f>Worksheet!AH43</f>
        <v>0</v>
      </c>
      <c r="Y100" s="340">
        <f>Worksheet!AI43</f>
        <v>0</v>
      </c>
      <c r="Z100" s="340">
        <f>Worksheet!AJ43</f>
        <v>0</v>
      </c>
      <c r="AA100" s="340">
        <f>Worksheet!AK43</f>
        <v>0</v>
      </c>
      <c r="AB100" s="340">
        <f>Worksheet!AL43</f>
        <v>0</v>
      </c>
      <c r="AC100" s="340">
        <f>Worksheet!AM43</f>
        <v>0</v>
      </c>
      <c r="AD100" s="340">
        <f>Worksheet!AN43</f>
        <v>0</v>
      </c>
      <c r="AE100" s="340">
        <f>Worksheet!AO43</f>
        <v>0</v>
      </c>
      <c r="AF100" s="340">
        <f>Worksheet!AP43</f>
        <v>0</v>
      </c>
      <c r="AG100" s="340">
        <f>Worksheet!AQ43</f>
        <v>0</v>
      </c>
      <c r="AH100" s="562">
        <f>Worksheet!AR43</f>
        <v>0</v>
      </c>
      <c r="AI100" s="340">
        <f>Worksheet!AS43</f>
        <v>0</v>
      </c>
      <c r="AJ100" s="340">
        <f>Worksheet!AT43</f>
        <v>0</v>
      </c>
      <c r="AK100" s="340">
        <f>Worksheet!AU43</f>
        <v>0</v>
      </c>
      <c r="AL100" s="340">
        <f>Worksheet!AV43</f>
        <v>0</v>
      </c>
      <c r="AM100" s="340">
        <f>Worksheet!AW43</f>
        <v>0</v>
      </c>
      <c r="AN100" s="340">
        <f>Worksheet!AX43</f>
        <v>0</v>
      </c>
      <c r="AO100" s="340">
        <f>Worksheet!AY43</f>
        <v>0</v>
      </c>
      <c r="AP100" s="340">
        <f>Worksheet!AZ43</f>
        <v>0</v>
      </c>
      <c r="AQ100" s="340">
        <f>Worksheet!BA43</f>
        <v>0</v>
      </c>
      <c r="AR100" s="340">
        <f>Worksheet!BB43</f>
        <v>0</v>
      </c>
      <c r="AS100" s="340">
        <f>Worksheet!BC43</f>
        <v>0</v>
      </c>
      <c r="AT100" s="562">
        <f>Worksheet!BD43</f>
        <v>0</v>
      </c>
      <c r="AU100" s="340">
        <f>Worksheet!BE43</f>
        <v>0</v>
      </c>
      <c r="AV100" s="340">
        <f>Worksheet!BF43</f>
        <v>0</v>
      </c>
      <c r="AW100" s="340">
        <f>Worksheet!BG43</f>
        <v>0</v>
      </c>
      <c r="AX100" s="340">
        <f>Worksheet!BH43</f>
        <v>0</v>
      </c>
      <c r="AY100" s="340">
        <f>Worksheet!BI43</f>
        <v>0</v>
      </c>
      <c r="AZ100" s="340">
        <f>Worksheet!BJ43</f>
        <v>0</v>
      </c>
      <c r="BA100" s="340">
        <f>Worksheet!BK43</f>
        <v>0</v>
      </c>
      <c r="BB100" s="340">
        <f>Worksheet!BL43</f>
        <v>0</v>
      </c>
      <c r="BC100" s="340">
        <f>Worksheet!BM43</f>
        <v>0</v>
      </c>
      <c r="BD100" s="340">
        <f>Worksheet!BN43</f>
        <v>0</v>
      </c>
      <c r="BE100" s="340">
        <f>Worksheet!BO43</f>
        <v>0</v>
      </c>
      <c r="BF100" s="562">
        <f>Worksheet!BP43</f>
        <v>0</v>
      </c>
      <c r="BG100" s="340">
        <f>Worksheet!BQ43</f>
        <v>0</v>
      </c>
      <c r="BH100" s="340">
        <f>Worksheet!BR43</f>
        <v>0</v>
      </c>
      <c r="BI100" s="340">
        <f>Worksheet!BS43</f>
        <v>0</v>
      </c>
      <c r="BJ100" s="340">
        <f>Worksheet!BT43</f>
        <v>0</v>
      </c>
      <c r="BK100" s="340">
        <f>Worksheet!BU43</f>
        <v>0</v>
      </c>
      <c r="BL100" s="340">
        <f>Worksheet!BV43</f>
        <v>0</v>
      </c>
      <c r="BM100" s="340">
        <f>Worksheet!BW43</f>
        <v>0</v>
      </c>
      <c r="BN100" s="340">
        <f>Worksheet!BX43</f>
        <v>0</v>
      </c>
      <c r="BO100" s="340">
        <f>Worksheet!BY43</f>
        <v>0</v>
      </c>
      <c r="BP100" s="340">
        <f>Worksheet!BZ43</f>
        <v>0</v>
      </c>
      <c r="BQ100" s="340">
        <f>Worksheet!CA43</f>
        <v>0</v>
      </c>
      <c r="BR100" s="562">
        <f>Worksheet!CB43</f>
        <v>0</v>
      </c>
      <c r="BS100" s="340">
        <f>Worksheet!CC43</f>
        <v>0</v>
      </c>
      <c r="BT100" s="340">
        <f>Worksheet!CD43</f>
        <v>0</v>
      </c>
      <c r="BU100" s="340">
        <f>Worksheet!CE43</f>
        <v>0</v>
      </c>
      <c r="BV100" s="340">
        <f>Worksheet!CF43</f>
        <v>0</v>
      </c>
      <c r="BW100" s="340">
        <f>Worksheet!CG43</f>
        <v>0</v>
      </c>
      <c r="BX100" s="340">
        <f>Worksheet!CH43</f>
        <v>0</v>
      </c>
      <c r="BY100" s="340">
        <f>Worksheet!CI43</f>
        <v>0</v>
      </c>
      <c r="BZ100" s="340">
        <f>Worksheet!CJ43</f>
        <v>0</v>
      </c>
      <c r="CA100" s="340">
        <f>Worksheet!CK43</f>
        <v>0</v>
      </c>
      <c r="CB100" s="340">
        <f>Worksheet!CL43</f>
        <v>0</v>
      </c>
      <c r="CC100" s="340">
        <f>Worksheet!CM43</f>
        <v>0</v>
      </c>
      <c r="CD100" s="562">
        <f>Worksheet!CN43</f>
        <v>0</v>
      </c>
      <c r="CE100" s="340">
        <f>Worksheet!CO43</f>
        <v>0</v>
      </c>
      <c r="CF100" s="340">
        <f>Worksheet!CP43</f>
        <v>0</v>
      </c>
      <c r="CG100" s="340">
        <f>Worksheet!CQ43</f>
        <v>0</v>
      </c>
      <c r="CH100" s="340">
        <f>Worksheet!CR43</f>
        <v>0</v>
      </c>
      <c r="CI100" s="340">
        <f>Worksheet!CS43</f>
        <v>0</v>
      </c>
      <c r="CJ100" s="340">
        <f>Worksheet!CT43</f>
        <v>0</v>
      </c>
      <c r="CK100" s="340">
        <f>Worksheet!CU43</f>
        <v>0</v>
      </c>
      <c r="CL100" s="340">
        <f>Worksheet!CV43</f>
        <v>0</v>
      </c>
      <c r="CM100" s="340">
        <f>Worksheet!DI43</f>
        <v>0</v>
      </c>
      <c r="CN100" s="340">
        <f>Worksheet!DJ43</f>
        <v>0</v>
      </c>
      <c r="CO100" s="340">
        <f>Worksheet!DK43</f>
        <v>0</v>
      </c>
      <c r="CP100" s="562">
        <f>Worksheet!DL43</f>
        <v>0</v>
      </c>
      <c r="CQ100" s="340">
        <f>Worksheet!DM43</f>
        <v>0</v>
      </c>
      <c r="CR100" s="340">
        <f>Worksheet!DN43</f>
        <v>0</v>
      </c>
      <c r="CS100" s="340">
        <f>Worksheet!DO43</f>
        <v>0</v>
      </c>
      <c r="CT100" s="340">
        <f>Worksheet!DP43</f>
        <v>0</v>
      </c>
      <c r="CU100" s="340">
        <f>Worksheet!DQ43</f>
        <v>0</v>
      </c>
      <c r="CV100" s="340">
        <f>Worksheet!DR43</f>
        <v>0</v>
      </c>
      <c r="CW100" s="340">
        <f>Worksheet!DS43</f>
        <v>0</v>
      </c>
      <c r="CX100" s="340">
        <f>Worksheet!DT43</f>
        <v>0</v>
      </c>
      <c r="CY100" s="340">
        <f>Worksheet!DU43</f>
        <v>0</v>
      </c>
      <c r="CZ100" s="340">
        <f>Worksheet!DV43</f>
        <v>0</v>
      </c>
      <c r="DA100" s="340">
        <f>Worksheet!DW43</f>
        <v>0</v>
      </c>
      <c r="DB100" s="562">
        <f>Worksheet!DX43</f>
        <v>0</v>
      </c>
      <c r="DC100" s="340">
        <f>Worksheet!DY43</f>
        <v>0</v>
      </c>
      <c r="DD100" s="340">
        <f>Worksheet!DZ43</f>
        <v>0</v>
      </c>
      <c r="DE100" s="340">
        <f>Worksheet!EA43</f>
        <v>0</v>
      </c>
      <c r="DF100" s="340">
        <f>Worksheet!EB43</f>
        <v>0</v>
      </c>
      <c r="DG100" s="340">
        <f>Worksheet!EC43</f>
        <v>0</v>
      </c>
      <c r="DH100" s="340">
        <f>Worksheet!ED43</f>
        <v>0</v>
      </c>
      <c r="DI100" s="340">
        <f>Worksheet!EE43</f>
        <v>0</v>
      </c>
      <c r="DJ100" s="340">
        <f>Worksheet!EF43</f>
        <v>0</v>
      </c>
      <c r="DK100" s="340">
        <f>Worksheet!EG43</f>
        <v>0</v>
      </c>
      <c r="DL100" s="340">
        <f>Worksheet!EH43</f>
        <v>0</v>
      </c>
      <c r="DM100" s="340">
        <f>Worksheet!EI43</f>
        <v>0</v>
      </c>
      <c r="DN100" s="340">
        <f>Worksheet!EJ43</f>
        <v>0</v>
      </c>
      <c r="DO100" s="340"/>
      <c r="DP100" s="340">
        <f t="shared" si="302"/>
        <v>0</v>
      </c>
      <c r="DQ100" s="340"/>
    </row>
    <row r="101" spans="3:121" x14ac:dyDescent="0.3">
      <c r="D101" s="331"/>
      <c r="E101" s="331" t="str">
        <f>'Table 3.0'!E129</f>
        <v>Amenities</v>
      </c>
      <c r="J101" s="340"/>
      <c r="K101" s="340">
        <f>'Cost Curves'!K26</f>
        <v>125500</v>
      </c>
      <c r="L101" s="340">
        <f>'Cost Curves'!L26</f>
        <v>42670</v>
      </c>
      <c r="M101" s="340">
        <f>'Cost Curves'!M26</f>
        <v>30120</v>
      </c>
      <c r="N101" s="340">
        <f>'Cost Curves'!N26</f>
        <v>25100</v>
      </c>
      <c r="O101" s="340">
        <f>'Cost Curves'!O26</f>
        <v>47690</v>
      </c>
      <c r="P101" s="340">
        <f>'Cost Curves'!P26</f>
        <v>20080</v>
      </c>
      <c r="Q101" s="340">
        <f>'Cost Curves'!Q26</f>
        <v>37650</v>
      </c>
      <c r="R101" s="340">
        <f>'Cost Curves'!R26</f>
        <v>20080</v>
      </c>
      <c r="S101" s="340">
        <f>'Cost Curves'!S26</f>
        <v>45180</v>
      </c>
      <c r="T101" s="340">
        <f>'Cost Curves'!T26</f>
        <v>35140</v>
      </c>
      <c r="U101" s="340">
        <f>'Cost Curves'!U26</f>
        <v>99640</v>
      </c>
      <c r="V101" s="562">
        <f>'Cost Curves'!V26</f>
        <v>102150</v>
      </c>
      <c r="W101" s="340">
        <f>'Cost Curves'!W26</f>
        <v>0</v>
      </c>
      <c r="X101" s="340">
        <f>'Cost Curves'!X26</f>
        <v>0</v>
      </c>
      <c r="Y101" s="340">
        <f>'Cost Curves'!Y26</f>
        <v>0</v>
      </c>
      <c r="Z101" s="340">
        <f>'Cost Curves'!Z26</f>
        <v>0</v>
      </c>
      <c r="AA101" s="340">
        <f>'Cost Curves'!AA26</f>
        <v>0</v>
      </c>
      <c r="AB101" s="340">
        <f>'Cost Curves'!AB26</f>
        <v>0</v>
      </c>
      <c r="AC101" s="340">
        <f>'Cost Curves'!AC26</f>
        <v>0</v>
      </c>
      <c r="AD101" s="340">
        <f>'Cost Curves'!AD26</f>
        <v>0</v>
      </c>
      <c r="AE101" s="340">
        <f>'Cost Curves'!AE26</f>
        <v>0</v>
      </c>
      <c r="AF101" s="340">
        <f>'Cost Curves'!AF26</f>
        <v>0</v>
      </c>
      <c r="AG101" s="340">
        <f>'Cost Curves'!AG26</f>
        <v>0</v>
      </c>
      <c r="AH101" s="562">
        <f>'Cost Curves'!AH26</f>
        <v>0</v>
      </c>
      <c r="AI101" s="340">
        <f>'Cost Curves'!AI26</f>
        <v>0</v>
      </c>
      <c r="AJ101" s="340">
        <f>'Cost Curves'!AJ26</f>
        <v>0</v>
      </c>
      <c r="AK101" s="340">
        <f>'Cost Curves'!AK26</f>
        <v>0</v>
      </c>
      <c r="AL101" s="340">
        <f>'Cost Curves'!AL26</f>
        <v>0</v>
      </c>
      <c r="AM101" s="340">
        <f>'Cost Curves'!AM26</f>
        <v>0</v>
      </c>
      <c r="AN101" s="340">
        <f>'Cost Curves'!AN26</f>
        <v>0</v>
      </c>
      <c r="AO101" s="340">
        <f>'Cost Curves'!AO26</f>
        <v>0</v>
      </c>
      <c r="AP101" s="340">
        <f>'Cost Curves'!AP26</f>
        <v>0</v>
      </c>
      <c r="AQ101" s="340">
        <f>'Cost Curves'!AQ26</f>
        <v>0</v>
      </c>
      <c r="AR101" s="340">
        <f>'Cost Curves'!AR26</f>
        <v>0</v>
      </c>
      <c r="AS101" s="340">
        <f>'Cost Curves'!AS26</f>
        <v>0</v>
      </c>
      <c r="AT101" s="562">
        <f>'Cost Curves'!AT26</f>
        <v>0</v>
      </c>
      <c r="AU101" s="340">
        <f>'Cost Curves'!AU26</f>
        <v>0</v>
      </c>
      <c r="AV101" s="340">
        <f>'Cost Curves'!AV26</f>
        <v>0</v>
      </c>
      <c r="AW101" s="340">
        <f>'Cost Curves'!AW26</f>
        <v>0</v>
      </c>
      <c r="AX101" s="340">
        <f>'Cost Curves'!AX26</f>
        <v>0</v>
      </c>
      <c r="AY101" s="340">
        <f>'Cost Curves'!AY26</f>
        <v>0</v>
      </c>
      <c r="AZ101" s="340">
        <f>'Cost Curves'!AZ26</f>
        <v>0</v>
      </c>
      <c r="BA101" s="340">
        <f>'Cost Curves'!BA26</f>
        <v>0</v>
      </c>
      <c r="BB101" s="340">
        <f>'Cost Curves'!BB26</f>
        <v>0</v>
      </c>
      <c r="BC101" s="340">
        <f>'Cost Curves'!BC26</f>
        <v>0</v>
      </c>
      <c r="BD101" s="340">
        <f>'Cost Curves'!BD26</f>
        <v>0</v>
      </c>
      <c r="BE101" s="340">
        <f>'Cost Curves'!BE26</f>
        <v>0</v>
      </c>
      <c r="BF101" s="562">
        <f>'Cost Curves'!BF26</f>
        <v>0</v>
      </c>
      <c r="BG101" s="340">
        <f>'Cost Curves'!BG26</f>
        <v>0</v>
      </c>
      <c r="BH101" s="340">
        <f>'Cost Curves'!BH26</f>
        <v>0</v>
      </c>
      <c r="BI101" s="340">
        <f>'Cost Curves'!BI26</f>
        <v>0</v>
      </c>
      <c r="BJ101" s="340">
        <f>'Cost Curves'!BJ26</f>
        <v>0</v>
      </c>
      <c r="BK101" s="340">
        <f>'Cost Curves'!BK26</f>
        <v>0</v>
      </c>
      <c r="BL101" s="340">
        <f>'Cost Curves'!BL26</f>
        <v>0</v>
      </c>
      <c r="BM101" s="340">
        <f>'Cost Curves'!BM26</f>
        <v>0</v>
      </c>
      <c r="BN101" s="340">
        <f>'Cost Curves'!BN26</f>
        <v>0</v>
      </c>
      <c r="BO101" s="340">
        <f>'Cost Curves'!BO26</f>
        <v>0</v>
      </c>
      <c r="BP101" s="340">
        <f>'Cost Curves'!BP26</f>
        <v>0</v>
      </c>
      <c r="BQ101" s="340">
        <f>'Cost Curves'!BQ26</f>
        <v>0</v>
      </c>
      <c r="BR101" s="562">
        <f>'Cost Curves'!BR26</f>
        <v>0</v>
      </c>
      <c r="BS101" s="340">
        <f>'Cost Curves'!BS26</f>
        <v>0</v>
      </c>
      <c r="BT101" s="340">
        <f>'Cost Curves'!BT26</f>
        <v>0</v>
      </c>
      <c r="BU101" s="340">
        <f>'Cost Curves'!BU26</f>
        <v>0</v>
      </c>
      <c r="BV101" s="340">
        <f>'Cost Curves'!BV26</f>
        <v>0</v>
      </c>
      <c r="BW101" s="340">
        <f>'Cost Curves'!BW26</f>
        <v>0</v>
      </c>
      <c r="BX101" s="340">
        <f>'Cost Curves'!BX26</f>
        <v>0</v>
      </c>
      <c r="BY101" s="340">
        <f>'Cost Curves'!BY26</f>
        <v>0</v>
      </c>
      <c r="BZ101" s="340">
        <f>'Cost Curves'!BZ26</f>
        <v>0</v>
      </c>
      <c r="CA101" s="340">
        <f>'Cost Curves'!CA26</f>
        <v>0</v>
      </c>
      <c r="CB101" s="340">
        <f>'Cost Curves'!CB26</f>
        <v>0</v>
      </c>
      <c r="CC101" s="340">
        <f>'Cost Curves'!CC26</f>
        <v>0</v>
      </c>
      <c r="CD101" s="562">
        <f>'Cost Curves'!CD26</f>
        <v>0</v>
      </c>
      <c r="CE101" s="340">
        <f>'Cost Curves'!CE26</f>
        <v>0</v>
      </c>
      <c r="CF101" s="340">
        <f>'Cost Curves'!CF26</f>
        <v>0</v>
      </c>
      <c r="CG101" s="340">
        <f>'Cost Curves'!CG26</f>
        <v>0</v>
      </c>
      <c r="CH101" s="340">
        <f>'Cost Curves'!CH26</f>
        <v>0</v>
      </c>
      <c r="CI101" s="340">
        <f>'Cost Curves'!CI26</f>
        <v>0</v>
      </c>
      <c r="CJ101" s="340">
        <f>'Cost Curves'!CJ26</f>
        <v>0</v>
      </c>
      <c r="CK101" s="340">
        <f>'Cost Curves'!CK26</f>
        <v>0</v>
      </c>
      <c r="CL101" s="340">
        <f>'Cost Curves'!CL26</f>
        <v>0</v>
      </c>
      <c r="CM101" s="340">
        <f>'Cost Curves'!CM26</f>
        <v>0</v>
      </c>
      <c r="CN101" s="340">
        <f>'Cost Curves'!CN26</f>
        <v>0</v>
      </c>
      <c r="CO101" s="340">
        <f>'Cost Curves'!CO26</f>
        <v>0</v>
      </c>
      <c r="CP101" s="562">
        <f>'Cost Curves'!CP26</f>
        <v>0</v>
      </c>
      <c r="CQ101" s="340">
        <f>'Cost Curves'!CQ26</f>
        <v>0</v>
      </c>
      <c r="CR101" s="340">
        <f>'Cost Curves'!CR26</f>
        <v>0</v>
      </c>
      <c r="CS101" s="340">
        <f>'Cost Curves'!CS26</f>
        <v>0</v>
      </c>
      <c r="CT101" s="340">
        <f>'Cost Curves'!CT26</f>
        <v>0</v>
      </c>
      <c r="CU101" s="340">
        <f>'Cost Curves'!CU26</f>
        <v>0</v>
      </c>
      <c r="CV101" s="340">
        <f>'Cost Curves'!CV26</f>
        <v>0</v>
      </c>
      <c r="CW101" s="340">
        <f>'Cost Curves'!CW26</f>
        <v>0</v>
      </c>
      <c r="CX101" s="340">
        <f>'Cost Curves'!CX26</f>
        <v>0</v>
      </c>
      <c r="CY101" s="340">
        <f>'Cost Curves'!CY26</f>
        <v>0</v>
      </c>
      <c r="CZ101" s="340">
        <f>'Cost Curves'!CZ26</f>
        <v>0</v>
      </c>
      <c r="DA101" s="340">
        <f>'Cost Curves'!DA26</f>
        <v>0</v>
      </c>
      <c r="DB101" s="562">
        <f>'Cost Curves'!DB26</f>
        <v>0</v>
      </c>
      <c r="DC101" s="340">
        <f>'Cost Curves'!DC26</f>
        <v>0</v>
      </c>
      <c r="DD101" s="340">
        <f>'Cost Curves'!DD26</f>
        <v>0</v>
      </c>
      <c r="DE101" s="340">
        <f>'Cost Curves'!DE26</f>
        <v>0</v>
      </c>
      <c r="DF101" s="340">
        <f>'Cost Curves'!DF26</f>
        <v>0</v>
      </c>
      <c r="DG101" s="340">
        <f>'Cost Curves'!DG26</f>
        <v>0</v>
      </c>
      <c r="DH101" s="340">
        <f>'Cost Curves'!DH26</f>
        <v>0</v>
      </c>
      <c r="DI101" s="340">
        <f>'Cost Curves'!DI26</f>
        <v>0</v>
      </c>
      <c r="DJ101" s="340">
        <f>'Cost Curves'!DJ26</f>
        <v>0</v>
      </c>
      <c r="DK101" s="340">
        <f>'Cost Curves'!DK26</f>
        <v>0</v>
      </c>
      <c r="DL101" s="340">
        <f>'Cost Curves'!DL26</f>
        <v>0</v>
      </c>
      <c r="DM101" s="340">
        <f>'Cost Curves'!DM26</f>
        <v>0</v>
      </c>
      <c r="DN101" s="340">
        <f>'Cost Curves'!DN26</f>
        <v>0</v>
      </c>
      <c r="DO101" s="340"/>
      <c r="DP101" s="340">
        <f t="shared" si="302"/>
        <v>631000</v>
      </c>
      <c r="DQ101" s="340"/>
    </row>
    <row r="102" spans="3:121" x14ac:dyDescent="0.3">
      <c r="D102" s="331"/>
      <c r="E102" s="331" t="str">
        <f>'Table 3.0'!E130</f>
        <v>FF&amp;E</v>
      </c>
      <c r="J102" s="340"/>
      <c r="K102" s="340">
        <f>'Cost Curves'!K32</f>
        <v>0</v>
      </c>
      <c r="L102" s="340">
        <f>'Cost Curves'!L32</f>
        <v>0</v>
      </c>
      <c r="M102" s="340">
        <f>'Cost Curves'!M32</f>
        <v>0</v>
      </c>
      <c r="N102" s="340">
        <f>'Cost Curves'!N32</f>
        <v>0</v>
      </c>
      <c r="O102" s="340">
        <f>'Cost Curves'!O32</f>
        <v>33300</v>
      </c>
      <c r="P102" s="340">
        <f>'Cost Curves'!P32</f>
        <v>33300</v>
      </c>
      <c r="Q102" s="340">
        <f>'Cost Curves'!Q32</f>
        <v>33300</v>
      </c>
      <c r="R102" s="340">
        <f>'Cost Curves'!R32</f>
        <v>33300</v>
      </c>
      <c r="S102" s="340">
        <f>'Cost Curves'!S32</f>
        <v>33300</v>
      </c>
      <c r="T102" s="340">
        <f>'Cost Curves'!T32</f>
        <v>33300</v>
      </c>
      <c r="U102" s="340">
        <f>'Cost Curves'!U32</f>
        <v>22200</v>
      </c>
      <c r="V102" s="340">
        <f>'Cost Curves'!V32</f>
        <v>0</v>
      </c>
      <c r="W102" s="340">
        <f>'Cost Curves'!W32</f>
        <v>0</v>
      </c>
      <c r="X102" s="340">
        <f>'Cost Curves'!X32</f>
        <v>0</v>
      </c>
      <c r="Y102" s="340">
        <f>'Cost Curves'!Y32</f>
        <v>0</v>
      </c>
      <c r="Z102" s="340">
        <f>'Cost Curves'!Z32</f>
        <v>0</v>
      </c>
      <c r="AA102" s="340">
        <f>'Cost Curves'!AA32</f>
        <v>0</v>
      </c>
      <c r="AB102" s="340">
        <f>'Cost Curves'!AB32</f>
        <v>0</v>
      </c>
      <c r="AC102" s="340">
        <f>'Cost Curves'!AC32</f>
        <v>0</v>
      </c>
      <c r="AD102" s="340">
        <f>'Cost Curves'!AD32</f>
        <v>0</v>
      </c>
      <c r="AE102" s="340">
        <f>'Cost Curves'!AE32</f>
        <v>0</v>
      </c>
      <c r="AF102" s="340">
        <f>'Cost Curves'!AF32</f>
        <v>0</v>
      </c>
      <c r="AG102" s="340">
        <f>'Cost Curves'!AG32</f>
        <v>0</v>
      </c>
      <c r="AH102" s="340">
        <f>'Cost Curves'!AH32</f>
        <v>0</v>
      </c>
      <c r="AI102" s="340">
        <f>'Cost Curves'!AI32</f>
        <v>0</v>
      </c>
      <c r="AJ102" s="340">
        <f>'Cost Curves'!AJ32</f>
        <v>0</v>
      </c>
      <c r="AK102" s="340">
        <f>'Cost Curves'!AK32</f>
        <v>0</v>
      </c>
      <c r="AL102" s="340">
        <f>'Cost Curves'!AL32</f>
        <v>0</v>
      </c>
      <c r="AM102" s="340">
        <f>'Cost Curves'!AM32</f>
        <v>0</v>
      </c>
      <c r="AN102" s="340">
        <f>'Cost Curves'!AN32</f>
        <v>0</v>
      </c>
      <c r="AO102" s="340">
        <f>'Cost Curves'!AO32</f>
        <v>0</v>
      </c>
      <c r="AP102" s="340">
        <f>'Cost Curves'!AP32</f>
        <v>0</v>
      </c>
      <c r="AQ102" s="340">
        <f>'Cost Curves'!AQ32</f>
        <v>0</v>
      </c>
      <c r="AR102" s="340">
        <f>'Cost Curves'!AR32</f>
        <v>0</v>
      </c>
      <c r="AS102" s="340">
        <f>'Cost Curves'!AS32</f>
        <v>0</v>
      </c>
      <c r="AT102" s="340">
        <f>'Cost Curves'!AT32</f>
        <v>0</v>
      </c>
      <c r="AU102" s="340">
        <f>'Cost Curves'!AU32</f>
        <v>0</v>
      </c>
      <c r="AV102" s="340">
        <f>'Cost Curves'!AV32</f>
        <v>0</v>
      </c>
      <c r="AW102" s="340">
        <f>'Cost Curves'!AW32</f>
        <v>0</v>
      </c>
      <c r="AX102" s="340">
        <f>'Cost Curves'!AX32</f>
        <v>0</v>
      </c>
      <c r="AY102" s="340">
        <f>'Cost Curves'!AY32</f>
        <v>0</v>
      </c>
      <c r="AZ102" s="340">
        <f>'Cost Curves'!AZ32</f>
        <v>0</v>
      </c>
      <c r="BA102" s="340">
        <f>'Cost Curves'!BA32</f>
        <v>0</v>
      </c>
      <c r="BB102" s="340">
        <f>'Cost Curves'!BB32</f>
        <v>0</v>
      </c>
      <c r="BC102" s="340">
        <f>'Cost Curves'!BC32</f>
        <v>0</v>
      </c>
      <c r="BD102" s="340">
        <f>'Cost Curves'!BD32</f>
        <v>0</v>
      </c>
      <c r="BE102" s="340">
        <f>'Cost Curves'!BE32</f>
        <v>0</v>
      </c>
      <c r="BF102" s="340">
        <f>'Cost Curves'!BF32</f>
        <v>0</v>
      </c>
      <c r="BG102" s="340">
        <f>'Cost Curves'!BG32</f>
        <v>0</v>
      </c>
      <c r="BH102" s="340">
        <f>'Cost Curves'!BH32</f>
        <v>0</v>
      </c>
      <c r="BI102" s="340">
        <f>'Cost Curves'!BI32</f>
        <v>0</v>
      </c>
      <c r="BJ102" s="340">
        <f>'Cost Curves'!BJ32</f>
        <v>0</v>
      </c>
      <c r="BK102" s="340">
        <f>'Cost Curves'!BK32</f>
        <v>0</v>
      </c>
      <c r="BL102" s="340">
        <f>'Cost Curves'!BL32</f>
        <v>0</v>
      </c>
      <c r="BM102" s="340">
        <f>'Cost Curves'!BM32</f>
        <v>0</v>
      </c>
      <c r="BN102" s="340">
        <f>'Cost Curves'!BN32</f>
        <v>0</v>
      </c>
      <c r="BO102" s="340">
        <f>'Cost Curves'!BO32</f>
        <v>0</v>
      </c>
      <c r="BP102" s="340">
        <f>'Cost Curves'!BP32</f>
        <v>0</v>
      </c>
      <c r="BQ102" s="340">
        <f>'Cost Curves'!BQ32</f>
        <v>0</v>
      </c>
      <c r="BR102" s="340">
        <f>'Cost Curves'!BR32</f>
        <v>0</v>
      </c>
      <c r="BS102" s="340">
        <f>'Cost Curves'!BS32</f>
        <v>0</v>
      </c>
      <c r="BT102" s="340">
        <f>'Cost Curves'!BT32</f>
        <v>0</v>
      </c>
      <c r="BU102" s="340">
        <f>'Cost Curves'!BU32</f>
        <v>0</v>
      </c>
      <c r="BV102" s="340">
        <f>'Cost Curves'!BV32</f>
        <v>0</v>
      </c>
      <c r="BW102" s="340">
        <f>'Cost Curves'!BW32</f>
        <v>0</v>
      </c>
      <c r="BX102" s="340">
        <f>'Cost Curves'!BX32</f>
        <v>0</v>
      </c>
      <c r="BY102" s="340">
        <f>'Cost Curves'!BY32</f>
        <v>0</v>
      </c>
      <c r="BZ102" s="340">
        <f>'Cost Curves'!BZ32</f>
        <v>0</v>
      </c>
      <c r="CA102" s="340">
        <f>'Cost Curves'!CA32</f>
        <v>0</v>
      </c>
      <c r="CB102" s="340">
        <f>'Cost Curves'!CB32</f>
        <v>0</v>
      </c>
      <c r="CC102" s="340">
        <f>'Cost Curves'!CC32</f>
        <v>0</v>
      </c>
      <c r="CD102" s="340">
        <f>'Cost Curves'!CD32</f>
        <v>0</v>
      </c>
      <c r="CE102" s="340">
        <f>'Cost Curves'!CE32</f>
        <v>0</v>
      </c>
      <c r="CF102" s="340">
        <f>'Cost Curves'!CF32</f>
        <v>0</v>
      </c>
      <c r="CG102" s="340">
        <f>'Cost Curves'!CG32</f>
        <v>0</v>
      </c>
      <c r="CH102" s="340">
        <f>'Cost Curves'!CH32</f>
        <v>0</v>
      </c>
      <c r="CI102" s="340">
        <f>'Cost Curves'!CI32</f>
        <v>0</v>
      </c>
      <c r="CJ102" s="340">
        <f>'Cost Curves'!CJ32</f>
        <v>0</v>
      </c>
      <c r="CK102" s="340">
        <f>'Cost Curves'!CK32</f>
        <v>0</v>
      </c>
      <c r="CL102" s="340">
        <f>'Cost Curves'!CL32</f>
        <v>0</v>
      </c>
      <c r="CM102" s="340">
        <f>'Cost Curves'!CM32</f>
        <v>0</v>
      </c>
      <c r="CN102" s="340">
        <f>'Cost Curves'!CN32</f>
        <v>0</v>
      </c>
      <c r="CO102" s="340">
        <f>'Cost Curves'!CO32</f>
        <v>0</v>
      </c>
      <c r="CP102" s="340">
        <f>'Cost Curves'!CP32</f>
        <v>0</v>
      </c>
      <c r="CQ102" s="340">
        <f>'Cost Curves'!CQ32</f>
        <v>0</v>
      </c>
      <c r="CR102" s="340">
        <f>'Cost Curves'!CR32</f>
        <v>0</v>
      </c>
      <c r="CS102" s="340">
        <f>'Cost Curves'!CS32</f>
        <v>0</v>
      </c>
      <c r="CT102" s="340">
        <f>'Cost Curves'!CT32</f>
        <v>0</v>
      </c>
      <c r="CU102" s="340">
        <f>'Cost Curves'!CU32</f>
        <v>0</v>
      </c>
      <c r="CV102" s="340">
        <f>'Cost Curves'!CV32</f>
        <v>0</v>
      </c>
      <c r="CW102" s="340">
        <f>'Cost Curves'!CW32</f>
        <v>0</v>
      </c>
      <c r="CX102" s="340">
        <f>'Cost Curves'!CX32</f>
        <v>0</v>
      </c>
      <c r="CY102" s="340">
        <f>'Cost Curves'!CY32</f>
        <v>0</v>
      </c>
      <c r="CZ102" s="340">
        <f>'Cost Curves'!CZ32</f>
        <v>0</v>
      </c>
      <c r="DA102" s="340">
        <f>'Cost Curves'!DA32</f>
        <v>0</v>
      </c>
      <c r="DB102" s="340">
        <f>'Cost Curves'!DB32</f>
        <v>0</v>
      </c>
      <c r="DC102" s="340">
        <f>'Cost Curves'!DC32</f>
        <v>0</v>
      </c>
      <c r="DD102" s="340">
        <f>'Cost Curves'!DD32</f>
        <v>0</v>
      </c>
      <c r="DE102" s="340">
        <f>'Cost Curves'!DE32</f>
        <v>0</v>
      </c>
      <c r="DF102" s="340">
        <f>'Cost Curves'!DF32</f>
        <v>0</v>
      </c>
      <c r="DG102" s="340">
        <f>'Cost Curves'!DG32</f>
        <v>0</v>
      </c>
      <c r="DH102" s="340">
        <f>'Cost Curves'!DH32</f>
        <v>0</v>
      </c>
      <c r="DI102" s="340">
        <f>'Cost Curves'!DI32</f>
        <v>0</v>
      </c>
      <c r="DJ102" s="340">
        <f>'Cost Curves'!DJ32</f>
        <v>0</v>
      </c>
      <c r="DK102" s="340">
        <f>'Cost Curves'!DK32</f>
        <v>0</v>
      </c>
      <c r="DL102" s="340">
        <f>'Cost Curves'!DL32</f>
        <v>0</v>
      </c>
      <c r="DM102" s="340">
        <f>'Cost Curves'!DM32</f>
        <v>0</v>
      </c>
      <c r="DN102" s="340">
        <f>'Cost Curves'!DN32</f>
        <v>0</v>
      </c>
      <c r="DO102" s="340"/>
      <c r="DP102" s="340">
        <f t="shared" si="302"/>
        <v>222000</v>
      </c>
      <c r="DQ102" s="340"/>
    </row>
    <row r="103" spans="3:121" x14ac:dyDescent="0.3">
      <c r="D103" s="331"/>
      <c r="E103" s="331" t="str">
        <f>'Table 3.0'!E131</f>
        <v>Temporary Utility Costs</v>
      </c>
      <c r="J103" s="340"/>
      <c r="K103" s="340">
        <f>IF(K97+K98+K101+K102&gt;0,250,0)</f>
        <v>250</v>
      </c>
      <c r="L103" s="340">
        <f t="shared" ref="L103:BW103" si="304">IF(L97+L98+L101+L102&gt;0,250,0)</f>
        <v>250</v>
      </c>
      <c r="M103" s="340">
        <f t="shared" si="304"/>
        <v>250</v>
      </c>
      <c r="N103" s="340">
        <f t="shared" si="304"/>
        <v>250</v>
      </c>
      <c r="O103" s="340">
        <f t="shared" si="304"/>
        <v>250</v>
      </c>
      <c r="P103" s="340">
        <f t="shared" si="304"/>
        <v>250</v>
      </c>
      <c r="Q103" s="340">
        <f t="shared" si="304"/>
        <v>250</v>
      </c>
      <c r="R103" s="340">
        <f t="shared" si="304"/>
        <v>250</v>
      </c>
      <c r="S103" s="340">
        <f t="shared" si="304"/>
        <v>250</v>
      </c>
      <c r="T103" s="340">
        <f t="shared" si="304"/>
        <v>250</v>
      </c>
      <c r="U103" s="340">
        <f t="shared" si="304"/>
        <v>250</v>
      </c>
      <c r="V103" s="340">
        <f t="shared" si="304"/>
        <v>250</v>
      </c>
      <c r="W103" s="340">
        <f t="shared" si="304"/>
        <v>0</v>
      </c>
      <c r="X103" s="340">
        <f t="shared" si="304"/>
        <v>0</v>
      </c>
      <c r="Y103" s="340">
        <f t="shared" si="304"/>
        <v>0</v>
      </c>
      <c r="Z103" s="340">
        <f t="shared" si="304"/>
        <v>0</v>
      </c>
      <c r="AA103" s="340">
        <f t="shared" si="304"/>
        <v>0</v>
      </c>
      <c r="AB103" s="340">
        <f t="shared" si="304"/>
        <v>0</v>
      </c>
      <c r="AC103" s="340">
        <f t="shared" si="304"/>
        <v>0</v>
      </c>
      <c r="AD103" s="340">
        <f t="shared" si="304"/>
        <v>0</v>
      </c>
      <c r="AE103" s="340">
        <f t="shared" si="304"/>
        <v>0</v>
      </c>
      <c r="AF103" s="340">
        <f t="shared" si="304"/>
        <v>0</v>
      </c>
      <c r="AG103" s="340">
        <f t="shared" si="304"/>
        <v>0</v>
      </c>
      <c r="AH103" s="340">
        <f t="shared" si="304"/>
        <v>0</v>
      </c>
      <c r="AI103" s="340">
        <f t="shared" si="304"/>
        <v>0</v>
      </c>
      <c r="AJ103" s="340">
        <f t="shared" si="304"/>
        <v>0</v>
      </c>
      <c r="AK103" s="340">
        <f t="shared" si="304"/>
        <v>0</v>
      </c>
      <c r="AL103" s="340">
        <f t="shared" si="304"/>
        <v>0</v>
      </c>
      <c r="AM103" s="340">
        <f t="shared" si="304"/>
        <v>0</v>
      </c>
      <c r="AN103" s="340">
        <f t="shared" si="304"/>
        <v>0</v>
      </c>
      <c r="AO103" s="340">
        <f t="shared" si="304"/>
        <v>0</v>
      </c>
      <c r="AP103" s="340">
        <f t="shared" si="304"/>
        <v>0</v>
      </c>
      <c r="AQ103" s="340">
        <f t="shared" si="304"/>
        <v>0</v>
      </c>
      <c r="AR103" s="340">
        <f t="shared" si="304"/>
        <v>0</v>
      </c>
      <c r="AS103" s="340">
        <f t="shared" si="304"/>
        <v>0</v>
      </c>
      <c r="AT103" s="340">
        <f t="shared" si="304"/>
        <v>0</v>
      </c>
      <c r="AU103" s="340">
        <f t="shared" si="304"/>
        <v>0</v>
      </c>
      <c r="AV103" s="340">
        <f t="shared" si="304"/>
        <v>0</v>
      </c>
      <c r="AW103" s="340">
        <f t="shared" si="304"/>
        <v>0</v>
      </c>
      <c r="AX103" s="340">
        <f t="shared" si="304"/>
        <v>0</v>
      </c>
      <c r="AY103" s="340">
        <f t="shared" si="304"/>
        <v>0</v>
      </c>
      <c r="AZ103" s="340">
        <f t="shared" si="304"/>
        <v>0</v>
      </c>
      <c r="BA103" s="340">
        <f t="shared" si="304"/>
        <v>0</v>
      </c>
      <c r="BB103" s="340">
        <f t="shared" si="304"/>
        <v>0</v>
      </c>
      <c r="BC103" s="340">
        <f t="shared" si="304"/>
        <v>0</v>
      </c>
      <c r="BD103" s="340">
        <f t="shared" si="304"/>
        <v>0</v>
      </c>
      <c r="BE103" s="340">
        <f t="shared" si="304"/>
        <v>0</v>
      </c>
      <c r="BF103" s="340">
        <f t="shared" si="304"/>
        <v>0</v>
      </c>
      <c r="BG103" s="340">
        <f t="shared" si="304"/>
        <v>0</v>
      </c>
      <c r="BH103" s="340">
        <f t="shared" si="304"/>
        <v>0</v>
      </c>
      <c r="BI103" s="340">
        <f t="shared" si="304"/>
        <v>0</v>
      </c>
      <c r="BJ103" s="340">
        <f t="shared" si="304"/>
        <v>0</v>
      </c>
      <c r="BK103" s="340">
        <f t="shared" si="304"/>
        <v>0</v>
      </c>
      <c r="BL103" s="340">
        <f t="shared" si="304"/>
        <v>0</v>
      </c>
      <c r="BM103" s="340">
        <f t="shared" si="304"/>
        <v>0</v>
      </c>
      <c r="BN103" s="340">
        <f t="shared" si="304"/>
        <v>0</v>
      </c>
      <c r="BO103" s="340">
        <f t="shared" si="304"/>
        <v>0</v>
      </c>
      <c r="BP103" s="340">
        <f t="shared" si="304"/>
        <v>0</v>
      </c>
      <c r="BQ103" s="340">
        <f t="shared" si="304"/>
        <v>0</v>
      </c>
      <c r="BR103" s="340">
        <f t="shared" si="304"/>
        <v>0</v>
      </c>
      <c r="BS103" s="340">
        <f t="shared" si="304"/>
        <v>0</v>
      </c>
      <c r="BT103" s="340">
        <f t="shared" si="304"/>
        <v>0</v>
      </c>
      <c r="BU103" s="340">
        <f t="shared" si="304"/>
        <v>0</v>
      </c>
      <c r="BV103" s="340">
        <f t="shared" si="304"/>
        <v>0</v>
      </c>
      <c r="BW103" s="340">
        <f t="shared" si="304"/>
        <v>0</v>
      </c>
      <c r="BX103" s="340">
        <f t="shared" ref="BX103:DN103" si="305">IF(BX97+BX98+BX101+BX102&gt;0,250,0)</f>
        <v>0</v>
      </c>
      <c r="BY103" s="340">
        <f t="shared" si="305"/>
        <v>0</v>
      </c>
      <c r="BZ103" s="340">
        <f t="shared" si="305"/>
        <v>0</v>
      </c>
      <c r="CA103" s="340">
        <f t="shared" si="305"/>
        <v>0</v>
      </c>
      <c r="CB103" s="340">
        <f t="shared" si="305"/>
        <v>0</v>
      </c>
      <c r="CC103" s="340">
        <f t="shared" si="305"/>
        <v>0</v>
      </c>
      <c r="CD103" s="340">
        <f t="shared" si="305"/>
        <v>0</v>
      </c>
      <c r="CE103" s="340">
        <f t="shared" si="305"/>
        <v>0</v>
      </c>
      <c r="CF103" s="340">
        <f t="shared" si="305"/>
        <v>0</v>
      </c>
      <c r="CG103" s="340">
        <f t="shared" si="305"/>
        <v>0</v>
      </c>
      <c r="CH103" s="340">
        <f t="shared" si="305"/>
        <v>0</v>
      </c>
      <c r="CI103" s="340">
        <f t="shared" si="305"/>
        <v>0</v>
      </c>
      <c r="CJ103" s="340">
        <f t="shared" si="305"/>
        <v>0</v>
      </c>
      <c r="CK103" s="340">
        <f t="shared" si="305"/>
        <v>0</v>
      </c>
      <c r="CL103" s="340">
        <f t="shared" si="305"/>
        <v>0</v>
      </c>
      <c r="CM103" s="340">
        <f t="shared" si="305"/>
        <v>0</v>
      </c>
      <c r="CN103" s="340">
        <f t="shared" si="305"/>
        <v>0</v>
      </c>
      <c r="CO103" s="340">
        <f t="shared" si="305"/>
        <v>0</v>
      </c>
      <c r="CP103" s="340">
        <f t="shared" si="305"/>
        <v>0</v>
      </c>
      <c r="CQ103" s="340">
        <f t="shared" si="305"/>
        <v>0</v>
      </c>
      <c r="CR103" s="340">
        <f t="shared" si="305"/>
        <v>0</v>
      </c>
      <c r="CS103" s="340">
        <f t="shared" si="305"/>
        <v>0</v>
      </c>
      <c r="CT103" s="340">
        <f t="shared" si="305"/>
        <v>0</v>
      </c>
      <c r="CU103" s="340">
        <f t="shared" si="305"/>
        <v>0</v>
      </c>
      <c r="CV103" s="340">
        <f t="shared" si="305"/>
        <v>0</v>
      </c>
      <c r="CW103" s="340">
        <f t="shared" si="305"/>
        <v>0</v>
      </c>
      <c r="CX103" s="340">
        <f t="shared" si="305"/>
        <v>0</v>
      </c>
      <c r="CY103" s="340">
        <f t="shared" si="305"/>
        <v>0</v>
      </c>
      <c r="CZ103" s="340">
        <f t="shared" si="305"/>
        <v>0</v>
      </c>
      <c r="DA103" s="340">
        <f t="shared" si="305"/>
        <v>0</v>
      </c>
      <c r="DB103" s="340">
        <f t="shared" si="305"/>
        <v>0</v>
      </c>
      <c r="DC103" s="340">
        <f t="shared" si="305"/>
        <v>0</v>
      </c>
      <c r="DD103" s="340">
        <f t="shared" si="305"/>
        <v>0</v>
      </c>
      <c r="DE103" s="340">
        <f t="shared" si="305"/>
        <v>0</v>
      </c>
      <c r="DF103" s="340">
        <f t="shared" si="305"/>
        <v>0</v>
      </c>
      <c r="DG103" s="340">
        <f t="shared" si="305"/>
        <v>0</v>
      </c>
      <c r="DH103" s="340">
        <f t="shared" si="305"/>
        <v>0</v>
      </c>
      <c r="DI103" s="340">
        <f t="shared" si="305"/>
        <v>0</v>
      </c>
      <c r="DJ103" s="340">
        <f t="shared" si="305"/>
        <v>0</v>
      </c>
      <c r="DK103" s="340">
        <f t="shared" si="305"/>
        <v>0</v>
      </c>
      <c r="DL103" s="340">
        <f t="shared" si="305"/>
        <v>0</v>
      </c>
      <c r="DM103" s="340">
        <f t="shared" si="305"/>
        <v>0</v>
      </c>
      <c r="DN103" s="340">
        <f t="shared" si="305"/>
        <v>0</v>
      </c>
      <c r="DO103" s="340"/>
      <c r="DP103" s="340">
        <f t="shared" ref="DP103:DP104" si="306">SUM(J103:DN103)</f>
        <v>3000</v>
      </c>
      <c r="DQ103" s="340"/>
    </row>
    <row r="104" spans="3:121" x14ac:dyDescent="0.3">
      <c r="D104" s="331"/>
      <c r="E104" s="331" t="str">
        <f>'Table 3.0'!E132</f>
        <v>Temporary Portable Toilet Rental</v>
      </c>
      <c r="J104" s="340"/>
      <c r="K104" s="340">
        <f>IF(K97+K98+K101+K102&gt;0,150,0)</f>
        <v>150</v>
      </c>
      <c r="L104" s="340">
        <f t="shared" ref="L104:BW104" si="307">IF(L97+L98+L101+L102&gt;0,150,0)</f>
        <v>150</v>
      </c>
      <c r="M104" s="340">
        <f t="shared" si="307"/>
        <v>150</v>
      </c>
      <c r="N104" s="340">
        <f t="shared" si="307"/>
        <v>150</v>
      </c>
      <c r="O104" s="340">
        <f t="shared" si="307"/>
        <v>150</v>
      </c>
      <c r="P104" s="340">
        <f t="shared" si="307"/>
        <v>150</v>
      </c>
      <c r="Q104" s="340">
        <f t="shared" si="307"/>
        <v>150</v>
      </c>
      <c r="R104" s="340">
        <f t="shared" si="307"/>
        <v>150</v>
      </c>
      <c r="S104" s="340">
        <f t="shared" si="307"/>
        <v>150</v>
      </c>
      <c r="T104" s="340">
        <f t="shared" si="307"/>
        <v>150</v>
      </c>
      <c r="U104" s="340">
        <f t="shared" si="307"/>
        <v>150</v>
      </c>
      <c r="V104" s="340">
        <f t="shared" si="307"/>
        <v>150</v>
      </c>
      <c r="W104" s="340">
        <f t="shared" si="307"/>
        <v>0</v>
      </c>
      <c r="X104" s="340">
        <f t="shared" si="307"/>
        <v>0</v>
      </c>
      <c r="Y104" s="340">
        <f t="shared" si="307"/>
        <v>0</v>
      </c>
      <c r="Z104" s="340">
        <f t="shared" si="307"/>
        <v>0</v>
      </c>
      <c r="AA104" s="340">
        <f t="shared" si="307"/>
        <v>0</v>
      </c>
      <c r="AB104" s="340">
        <f t="shared" si="307"/>
        <v>0</v>
      </c>
      <c r="AC104" s="340">
        <f t="shared" si="307"/>
        <v>0</v>
      </c>
      <c r="AD104" s="340">
        <f t="shared" si="307"/>
        <v>0</v>
      </c>
      <c r="AE104" s="340">
        <f t="shared" si="307"/>
        <v>0</v>
      </c>
      <c r="AF104" s="340">
        <f t="shared" si="307"/>
        <v>0</v>
      </c>
      <c r="AG104" s="340">
        <f t="shared" si="307"/>
        <v>0</v>
      </c>
      <c r="AH104" s="340">
        <f t="shared" si="307"/>
        <v>0</v>
      </c>
      <c r="AI104" s="340">
        <f t="shared" si="307"/>
        <v>0</v>
      </c>
      <c r="AJ104" s="340">
        <f t="shared" si="307"/>
        <v>0</v>
      </c>
      <c r="AK104" s="340">
        <f t="shared" si="307"/>
        <v>0</v>
      </c>
      <c r="AL104" s="340">
        <f t="shared" si="307"/>
        <v>0</v>
      </c>
      <c r="AM104" s="340">
        <f t="shared" si="307"/>
        <v>0</v>
      </c>
      <c r="AN104" s="340">
        <f t="shared" si="307"/>
        <v>0</v>
      </c>
      <c r="AO104" s="340">
        <f t="shared" si="307"/>
        <v>0</v>
      </c>
      <c r="AP104" s="340">
        <f t="shared" si="307"/>
        <v>0</v>
      </c>
      <c r="AQ104" s="340">
        <f t="shared" si="307"/>
        <v>0</v>
      </c>
      <c r="AR104" s="340">
        <f t="shared" si="307"/>
        <v>0</v>
      </c>
      <c r="AS104" s="340">
        <f t="shared" si="307"/>
        <v>0</v>
      </c>
      <c r="AT104" s="340">
        <f t="shared" si="307"/>
        <v>0</v>
      </c>
      <c r="AU104" s="340">
        <f t="shared" si="307"/>
        <v>0</v>
      </c>
      <c r="AV104" s="340">
        <f t="shared" si="307"/>
        <v>0</v>
      </c>
      <c r="AW104" s="340">
        <f t="shared" si="307"/>
        <v>0</v>
      </c>
      <c r="AX104" s="340">
        <f t="shared" si="307"/>
        <v>0</v>
      </c>
      <c r="AY104" s="340">
        <f t="shared" si="307"/>
        <v>0</v>
      </c>
      <c r="AZ104" s="340">
        <f t="shared" si="307"/>
        <v>0</v>
      </c>
      <c r="BA104" s="340">
        <f t="shared" si="307"/>
        <v>0</v>
      </c>
      <c r="BB104" s="340">
        <f t="shared" si="307"/>
        <v>0</v>
      </c>
      <c r="BC104" s="340">
        <f t="shared" si="307"/>
        <v>0</v>
      </c>
      <c r="BD104" s="340">
        <f t="shared" si="307"/>
        <v>0</v>
      </c>
      <c r="BE104" s="340">
        <f t="shared" si="307"/>
        <v>0</v>
      </c>
      <c r="BF104" s="340">
        <f t="shared" si="307"/>
        <v>0</v>
      </c>
      <c r="BG104" s="340">
        <f t="shared" si="307"/>
        <v>0</v>
      </c>
      <c r="BH104" s="340">
        <f t="shared" si="307"/>
        <v>0</v>
      </c>
      <c r="BI104" s="340">
        <f t="shared" si="307"/>
        <v>0</v>
      </c>
      <c r="BJ104" s="340">
        <f t="shared" si="307"/>
        <v>0</v>
      </c>
      <c r="BK104" s="340">
        <f t="shared" si="307"/>
        <v>0</v>
      </c>
      <c r="BL104" s="340">
        <f t="shared" si="307"/>
        <v>0</v>
      </c>
      <c r="BM104" s="340">
        <f t="shared" si="307"/>
        <v>0</v>
      </c>
      <c r="BN104" s="340">
        <f t="shared" si="307"/>
        <v>0</v>
      </c>
      <c r="BO104" s="340">
        <f t="shared" si="307"/>
        <v>0</v>
      </c>
      <c r="BP104" s="340">
        <f t="shared" si="307"/>
        <v>0</v>
      </c>
      <c r="BQ104" s="340">
        <f t="shared" si="307"/>
        <v>0</v>
      </c>
      <c r="BR104" s="340">
        <f t="shared" si="307"/>
        <v>0</v>
      </c>
      <c r="BS104" s="340">
        <f t="shared" si="307"/>
        <v>0</v>
      </c>
      <c r="BT104" s="340">
        <f t="shared" si="307"/>
        <v>0</v>
      </c>
      <c r="BU104" s="340">
        <f t="shared" si="307"/>
        <v>0</v>
      </c>
      <c r="BV104" s="340">
        <f t="shared" si="307"/>
        <v>0</v>
      </c>
      <c r="BW104" s="340">
        <f t="shared" si="307"/>
        <v>0</v>
      </c>
      <c r="BX104" s="340">
        <f t="shared" ref="BX104:DN104" si="308">IF(BX97+BX98+BX101+BX102&gt;0,150,0)</f>
        <v>0</v>
      </c>
      <c r="BY104" s="340">
        <f t="shared" si="308"/>
        <v>0</v>
      </c>
      <c r="BZ104" s="340">
        <f t="shared" si="308"/>
        <v>0</v>
      </c>
      <c r="CA104" s="340">
        <f t="shared" si="308"/>
        <v>0</v>
      </c>
      <c r="CB104" s="340">
        <f t="shared" si="308"/>
        <v>0</v>
      </c>
      <c r="CC104" s="340">
        <f t="shared" si="308"/>
        <v>0</v>
      </c>
      <c r="CD104" s="340">
        <f t="shared" si="308"/>
        <v>0</v>
      </c>
      <c r="CE104" s="340">
        <f t="shared" si="308"/>
        <v>0</v>
      </c>
      <c r="CF104" s="340">
        <f t="shared" si="308"/>
        <v>0</v>
      </c>
      <c r="CG104" s="340">
        <f t="shared" si="308"/>
        <v>0</v>
      </c>
      <c r="CH104" s="340">
        <f t="shared" si="308"/>
        <v>0</v>
      </c>
      <c r="CI104" s="340">
        <f t="shared" si="308"/>
        <v>0</v>
      </c>
      <c r="CJ104" s="340">
        <f t="shared" si="308"/>
        <v>0</v>
      </c>
      <c r="CK104" s="340">
        <f t="shared" si="308"/>
        <v>0</v>
      </c>
      <c r="CL104" s="340">
        <f t="shared" si="308"/>
        <v>0</v>
      </c>
      <c r="CM104" s="340">
        <f t="shared" si="308"/>
        <v>0</v>
      </c>
      <c r="CN104" s="340">
        <f t="shared" si="308"/>
        <v>0</v>
      </c>
      <c r="CO104" s="340">
        <f t="shared" si="308"/>
        <v>0</v>
      </c>
      <c r="CP104" s="340">
        <f t="shared" si="308"/>
        <v>0</v>
      </c>
      <c r="CQ104" s="340">
        <f t="shared" si="308"/>
        <v>0</v>
      </c>
      <c r="CR104" s="340">
        <f t="shared" si="308"/>
        <v>0</v>
      </c>
      <c r="CS104" s="340">
        <f t="shared" si="308"/>
        <v>0</v>
      </c>
      <c r="CT104" s="340">
        <f t="shared" si="308"/>
        <v>0</v>
      </c>
      <c r="CU104" s="340">
        <f t="shared" si="308"/>
        <v>0</v>
      </c>
      <c r="CV104" s="340">
        <f t="shared" si="308"/>
        <v>0</v>
      </c>
      <c r="CW104" s="340">
        <f t="shared" si="308"/>
        <v>0</v>
      </c>
      <c r="CX104" s="340">
        <f t="shared" si="308"/>
        <v>0</v>
      </c>
      <c r="CY104" s="340">
        <f t="shared" si="308"/>
        <v>0</v>
      </c>
      <c r="CZ104" s="340">
        <f t="shared" si="308"/>
        <v>0</v>
      </c>
      <c r="DA104" s="340">
        <f t="shared" si="308"/>
        <v>0</v>
      </c>
      <c r="DB104" s="340">
        <f t="shared" si="308"/>
        <v>0</v>
      </c>
      <c r="DC104" s="340">
        <f t="shared" si="308"/>
        <v>0</v>
      </c>
      <c r="DD104" s="340">
        <f t="shared" si="308"/>
        <v>0</v>
      </c>
      <c r="DE104" s="340">
        <f t="shared" si="308"/>
        <v>0</v>
      </c>
      <c r="DF104" s="340">
        <f t="shared" si="308"/>
        <v>0</v>
      </c>
      <c r="DG104" s="340">
        <f t="shared" si="308"/>
        <v>0</v>
      </c>
      <c r="DH104" s="340">
        <f t="shared" si="308"/>
        <v>0</v>
      </c>
      <c r="DI104" s="340">
        <f t="shared" si="308"/>
        <v>0</v>
      </c>
      <c r="DJ104" s="340">
        <f t="shared" si="308"/>
        <v>0</v>
      </c>
      <c r="DK104" s="340">
        <f t="shared" si="308"/>
        <v>0</v>
      </c>
      <c r="DL104" s="340">
        <f t="shared" si="308"/>
        <v>0</v>
      </c>
      <c r="DM104" s="340">
        <f t="shared" si="308"/>
        <v>0</v>
      </c>
      <c r="DN104" s="340">
        <f t="shared" si="308"/>
        <v>0</v>
      </c>
      <c r="DO104" s="340"/>
      <c r="DP104" s="340">
        <f t="shared" si="306"/>
        <v>1800</v>
      </c>
      <c r="DQ104" s="340"/>
    </row>
    <row r="105" spans="3:121" x14ac:dyDescent="0.3">
      <c r="D105" s="346"/>
      <c r="E105" s="346" t="str">
        <f>'Table 3.0'!E133</f>
        <v>Contingency (% of HC &amp; SC)</v>
      </c>
      <c r="F105" s="342"/>
      <c r="G105" s="436">
        <f>'Table 3.0'!G133</f>
        <v>7.4999999999999997E-2</v>
      </c>
      <c r="H105" s="436"/>
      <c r="I105" s="436"/>
      <c r="J105" s="344"/>
      <c r="K105" s="344">
        <f>$G$105*(K97+K98+K101+K102+K108)</f>
        <v>20148.75</v>
      </c>
      <c r="L105" s="344">
        <f t="shared" ref="L105:BW105" si="309">$G$105*(L97+L98+L101+L102+L108)</f>
        <v>17202.75</v>
      </c>
      <c r="M105" s="344">
        <f t="shared" si="309"/>
        <v>13460.25</v>
      </c>
      <c r="N105" s="344">
        <f t="shared" si="309"/>
        <v>18217.5</v>
      </c>
      <c r="O105" s="344">
        <f t="shared" si="309"/>
        <v>16341.75</v>
      </c>
      <c r="P105" s="344">
        <f t="shared" si="309"/>
        <v>24538.5</v>
      </c>
      <c r="Q105" s="344">
        <f t="shared" si="309"/>
        <v>20722.5</v>
      </c>
      <c r="R105" s="344">
        <f t="shared" si="309"/>
        <v>45549.75</v>
      </c>
      <c r="S105" s="344">
        <f t="shared" si="309"/>
        <v>5886</v>
      </c>
      <c r="T105" s="344">
        <f t="shared" si="309"/>
        <v>5133</v>
      </c>
      <c r="U105" s="344">
        <f t="shared" si="309"/>
        <v>9138</v>
      </c>
      <c r="V105" s="344">
        <f t="shared" si="309"/>
        <v>7661.25</v>
      </c>
      <c r="W105" s="344">
        <f t="shared" si="309"/>
        <v>0</v>
      </c>
      <c r="X105" s="344">
        <f t="shared" si="309"/>
        <v>0</v>
      </c>
      <c r="Y105" s="344">
        <f t="shared" si="309"/>
        <v>0</v>
      </c>
      <c r="Z105" s="344">
        <f t="shared" si="309"/>
        <v>0</v>
      </c>
      <c r="AA105" s="344">
        <f t="shared" si="309"/>
        <v>0</v>
      </c>
      <c r="AB105" s="344">
        <f t="shared" si="309"/>
        <v>0</v>
      </c>
      <c r="AC105" s="344">
        <f t="shared" si="309"/>
        <v>0</v>
      </c>
      <c r="AD105" s="344">
        <f t="shared" si="309"/>
        <v>0</v>
      </c>
      <c r="AE105" s="344">
        <f t="shared" si="309"/>
        <v>0</v>
      </c>
      <c r="AF105" s="344">
        <f t="shared" si="309"/>
        <v>0</v>
      </c>
      <c r="AG105" s="344">
        <f t="shared" si="309"/>
        <v>0</v>
      </c>
      <c r="AH105" s="344">
        <f t="shared" si="309"/>
        <v>0</v>
      </c>
      <c r="AI105" s="344">
        <f t="shared" si="309"/>
        <v>0</v>
      </c>
      <c r="AJ105" s="344">
        <f t="shared" si="309"/>
        <v>0</v>
      </c>
      <c r="AK105" s="344">
        <f t="shared" si="309"/>
        <v>0</v>
      </c>
      <c r="AL105" s="344">
        <f t="shared" si="309"/>
        <v>0</v>
      </c>
      <c r="AM105" s="344">
        <f t="shared" si="309"/>
        <v>0</v>
      </c>
      <c r="AN105" s="344">
        <f t="shared" si="309"/>
        <v>0</v>
      </c>
      <c r="AO105" s="344">
        <f t="shared" si="309"/>
        <v>0</v>
      </c>
      <c r="AP105" s="344">
        <f t="shared" si="309"/>
        <v>0</v>
      </c>
      <c r="AQ105" s="344">
        <f t="shared" si="309"/>
        <v>0</v>
      </c>
      <c r="AR105" s="344">
        <f t="shared" si="309"/>
        <v>0</v>
      </c>
      <c r="AS105" s="344">
        <f t="shared" si="309"/>
        <v>0</v>
      </c>
      <c r="AT105" s="344">
        <f t="shared" si="309"/>
        <v>0</v>
      </c>
      <c r="AU105" s="344">
        <f t="shared" si="309"/>
        <v>0</v>
      </c>
      <c r="AV105" s="344">
        <f t="shared" si="309"/>
        <v>0</v>
      </c>
      <c r="AW105" s="344">
        <f t="shared" si="309"/>
        <v>0</v>
      </c>
      <c r="AX105" s="344">
        <f t="shared" si="309"/>
        <v>0</v>
      </c>
      <c r="AY105" s="344">
        <f t="shared" si="309"/>
        <v>0</v>
      </c>
      <c r="AZ105" s="344">
        <f t="shared" si="309"/>
        <v>0</v>
      </c>
      <c r="BA105" s="344">
        <f t="shared" si="309"/>
        <v>0</v>
      </c>
      <c r="BB105" s="344">
        <f t="shared" si="309"/>
        <v>0</v>
      </c>
      <c r="BC105" s="344">
        <f t="shared" si="309"/>
        <v>0</v>
      </c>
      <c r="BD105" s="344">
        <f t="shared" si="309"/>
        <v>0</v>
      </c>
      <c r="BE105" s="344">
        <f t="shared" si="309"/>
        <v>0</v>
      </c>
      <c r="BF105" s="344">
        <f t="shared" si="309"/>
        <v>0</v>
      </c>
      <c r="BG105" s="344">
        <f t="shared" si="309"/>
        <v>0</v>
      </c>
      <c r="BH105" s="344">
        <f t="shared" si="309"/>
        <v>0</v>
      </c>
      <c r="BI105" s="344">
        <f t="shared" si="309"/>
        <v>0</v>
      </c>
      <c r="BJ105" s="344">
        <f t="shared" si="309"/>
        <v>0</v>
      </c>
      <c r="BK105" s="344">
        <f t="shared" si="309"/>
        <v>0</v>
      </c>
      <c r="BL105" s="344">
        <f t="shared" si="309"/>
        <v>0</v>
      </c>
      <c r="BM105" s="344">
        <f t="shared" si="309"/>
        <v>0</v>
      </c>
      <c r="BN105" s="344">
        <f t="shared" si="309"/>
        <v>0</v>
      </c>
      <c r="BO105" s="344">
        <f t="shared" si="309"/>
        <v>0</v>
      </c>
      <c r="BP105" s="344">
        <f t="shared" si="309"/>
        <v>0</v>
      </c>
      <c r="BQ105" s="344">
        <f t="shared" si="309"/>
        <v>0</v>
      </c>
      <c r="BR105" s="344">
        <f t="shared" si="309"/>
        <v>0</v>
      </c>
      <c r="BS105" s="344">
        <f t="shared" si="309"/>
        <v>0</v>
      </c>
      <c r="BT105" s="344">
        <f t="shared" si="309"/>
        <v>0</v>
      </c>
      <c r="BU105" s="344">
        <f t="shared" si="309"/>
        <v>0</v>
      </c>
      <c r="BV105" s="344">
        <f t="shared" si="309"/>
        <v>0</v>
      </c>
      <c r="BW105" s="344">
        <f t="shared" si="309"/>
        <v>0</v>
      </c>
      <c r="BX105" s="344">
        <f t="shared" ref="BX105:DN105" si="310">$G$105*(BX97+BX98+BX101+BX102+BX108)</f>
        <v>0</v>
      </c>
      <c r="BY105" s="344">
        <f t="shared" si="310"/>
        <v>0</v>
      </c>
      <c r="BZ105" s="344">
        <f t="shared" si="310"/>
        <v>0</v>
      </c>
      <c r="CA105" s="344">
        <f t="shared" si="310"/>
        <v>0</v>
      </c>
      <c r="CB105" s="344">
        <f t="shared" si="310"/>
        <v>0</v>
      </c>
      <c r="CC105" s="344">
        <f t="shared" si="310"/>
        <v>0</v>
      </c>
      <c r="CD105" s="344">
        <f t="shared" si="310"/>
        <v>0</v>
      </c>
      <c r="CE105" s="344">
        <f t="shared" si="310"/>
        <v>0</v>
      </c>
      <c r="CF105" s="344">
        <f t="shared" si="310"/>
        <v>0</v>
      </c>
      <c r="CG105" s="344">
        <f t="shared" si="310"/>
        <v>0</v>
      </c>
      <c r="CH105" s="344">
        <f t="shared" si="310"/>
        <v>0</v>
      </c>
      <c r="CI105" s="344">
        <f t="shared" si="310"/>
        <v>0</v>
      </c>
      <c r="CJ105" s="344">
        <f t="shared" si="310"/>
        <v>0</v>
      </c>
      <c r="CK105" s="344">
        <f t="shared" si="310"/>
        <v>0</v>
      </c>
      <c r="CL105" s="344">
        <f t="shared" si="310"/>
        <v>0</v>
      </c>
      <c r="CM105" s="344">
        <f t="shared" si="310"/>
        <v>0</v>
      </c>
      <c r="CN105" s="344">
        <f t="shared" si="310"/>
        <v>0</v>
      </c>
      <c r="CO105" s="344">
        <f t="shared" si="310"/>
        <v>0</v>
      </c>
      <c r="CP105" s="344">
        <f t="shared" si="310"/>
        <v>0</v>
      </c>
      <c r="CQ105" s="344">
        <f t="shared" si="310"/>
        <v>0</v>
      </c>
      <c r="CR105" s="344">
        <f t="shared" si="310"/>
        <v>0</v>
      </c>
      <c r="CS105" s="344">
        <f t="shared" si="310"/>
        <v>0</v>
      </c>
      <c r="CT105" s="344">
        <f t="shared" si="310"/>
        <v>0</v>
      </c>
      <c r="CU105" s="344">
        <f t="shared" si="310"/>
        <v>0</v>
      </c>
      <c r="CV105" s="344">
        <f t="shared" si="310"/>
        <v>0</v>
      </c>
      <c r="CW105" s="344">
        <f t="shared" si="310"/>
        <v>0</v>
      </c>
      <c r="CX105" s="344">
        <f t="shared" si="310"/>
        <v>0</v>
      </c>
      <c r="CY105" s="344">
        <f t="shared" si="310"/>
        <v>0</v>
      </c>
      <c r="CZ105" s="344">
        <f t="shared" si="310"/>
        <v>0</v>
      </c>
      <c r="DA105" s="344">
        <f t="shared" si="310"/>
        <v>0</v>
      </c>
      <c r="DB105" s="344">
        <f t="shared" si="310"/>
        <v>0</v>
      </c>
      <c r="DC105" s="344">
        <f t="shared" si="310"/>
        <v>0</v>
      </c>
      <c r="DD105" s="344">
        <f t="shared" si="310"/>
        <v>0</v>
      </c>
      <c r="DE105" s="344">
        <f t="shared" si="310"/>
        <v>0</v>
      </c>
      <c r="DF105" s="344">
        <f t="shared" si="310"/>
        <v>0</v>
      </c>
      <c r="DG105" s="344">
        <f t="shared" si="310"/>
        <v>0</v>
      </c>
      <c r="DH105" s="344">
        <f t="shared" si="310"/>
        <v>0</v>
      </c>
      <c r="DI105" s="344">
        <f t="shared" si="310"/>
        <v>0</v>
      </c>
      <c r="DJ105" s="344">
        <f t="shared" si="310"/>
        <v>0</v>
      </c>
      <c r="DK105" s="344">
        <f t="shared" si="310"/>
        <v>0</v>
      </c>
      <c r="DL105" s="344">
        <f t="shared" si="310"/>
        <v>0</v>
      </c>
      <c r="DM105" s="344">
        <f t="shared" si="310"/>
        <v>0</v>
      </c>
      <c r="DN105" s="344">
        <f t="shared" si="310"/>
        <v>0</v>
      </c>
      <c r="DO105" s="344"/>
      <c r="DP105" s="344">
        <f>SUM(J105:DN105)</f>
        <v>204000</v>
      </c>
      <c r="DQ105" s="340"/>
    </row>
    <row r="106" spans="3:121" x14ac:dyDescent="0.3">
      <c r="D106" s="331" t="str">
        <f>'Table 3.0'!D134</f>
        <v>Total Hard Cost</v>
      </c>
      <c r="E106" s="331"/>
      <c r="J106" s="340"/>
      <c r="K106" s="340">
        <f t="shared" ref="K106:Z106" si="311">SUM(K97:K105)</f>
        <v>224498.75</v>
      </c>
      <c r="L106" s="340">
        <f t="shared" si="311"/>
        <v>207172.75</v>
      </c>
      <c r="M106" s="340">
        <f t="shared" si="311"/>
        <v>190880.25</v>
      </c>
      <c r="N106" s="340">
        <f t="shared" si="311"/>
        <v>259067.5</v>
      </c>
      <c r="O106" s="340">
        <f t="shared" si="311"/>
        <v>244631.75</v>
      </c>
      <c r="P106" s="340">
        <f t="shared" si="311"/>
        <v>362118.5</v>
      </c>
      <c r="Q106" s="340">
        <f t="shared" si="311"/>
        <v>307422.5</v>
      </c>
      <c r="R106" s="340">
        <f t="shared" si="311"/>
        <v>314679.75</v>
      </c>
      <c r="S106" s="340">
        <f t="shared" si="311"/>
        <v>94766</v>
      </c>
      <c r="T106" s="340">
        <f t="shared" si="311"/>
        <v>83973</v>
      </c>
      <c r="U106" s="340">
        <f t="shared" si="311"/>
        <v>141378</v>
      </c>
      <c r="V106" s="562">
        <f t="shared" si="311"/>
        <v>120211.25</v>
      </c>
      <c r="W106" s="340">
        <f t="shared" si="311"/>
        <v>0</v>
      </c>
      <c r="X106" s="340">
        <f t="shared" si="311"/>
        <v>0</v>
      </c>
      <c r="Y106" s="340">
        <f t="shared" si="311"/>
        <v>0</v>
      </c>
      <c r="Z106" s="340">
        <f t="shared" si="311"/>
        <v>0</v>
      </c>
      <c r="AA106" s="340">
        <f t="shared" ref="AA106:BF106" si="312">SUM(AA97:AA105)</f>
        <v>0</v>
      </c>
      <c r="AB106" s="340">
        <f t="shared" si="312"/>
        <v>0</v>
      </c>
      <c r="AC106" s="340">
        <f t="shared" si="312"/>
        <v>0</v>
      </c>
      <c r="AD106" s="340">
        <f t="shared" si="312"/>
        <v>0</v>
      </c>
      <c r="AE106" s="340">
        <f t="shared" si="312"/>
        <v>0</v>
      </c>
      <c r="AF106" s="340">
        <f t="shared" si="312"/>
        <v>0</v>
      </c>
      <c r="AG106" s="340">
        <f t="shared" si="312"/>
        <v>0</v>
      </c>
      <c r="AH106" s="562">
        <f t="shared" si="312"/>
        <v>0</v>
      </c>
      <c r="AI106" s="340">
        <f t="shared" si="312"/>
        <v>0</v>
      </c>
      <c r="AJ106" s="340">
        <f t="shared" si="312"/>
        <v>0</v>
      </c>
      <c r="AK106" s="340">
        <f t="shared" si="312"/>
        <v>0</v>
      </c>
      <c r="AL106" s="340">
        <f t="shared" si="312"/>
        <v>0</v>
      </c>
      <c r="AM106" s="340">
        <f t="shared" si="312"/>
        <v>0</v>
      </c>
      <c r="AN106" s="340">
        <f t="shared" si="312"/>
        <v>0</v>
      </c>
      <c r="AO106" s="340">
        <f t="shared" si="312"/>
        <v>0</v>
      </c>
      <c r="AP106" s="340">
        <f t="shared" si="312"/>
        <v>0</v>
      </c>
      <c r="AQ106" s="340">
        <f t="shared" si="312"/>
        <v>0</v>
      </c>
      <c r="AR106" s="340">
        <f t="shared" si="312"/>
        <v>0</v>
      </c>
      <c r="AS106" s="340">
        <f t="shared" si="312"/>
        <v>0</v>
      </c>
      <c r="AT106" s="562">
        <f t="shared" si="312"/>
        <v>0</v>
      </c>
      <c r="AU106" s="340">
        <f t="shared" si="312"/>
        <v>0</v>
      </c>
      <c r="AV106" s="340">
        <f t="shared" si="312"/>
        <v>0</v>
      </c>
      <c r="AW106" s="340">
        <f t="shared" si="312"/>
        <v>0</v>
      </c>
      <c r="AX106" s="340">
        <f t="shared" si="312"/>
        <v>0</v>
      </c>
      <c r="AY106" s="340">
        <f t="shared" si="312"/>
        <v>0</v>
      </c>
      <c r="AZ106" s="340">
        <f t="shared" si="312"/>
        <v>0</v>
      </c>
      <c r="BA106" s="340">
        <f t="shared" si="312"/>
        <v>0</v>
      </c>
      <c r="BB106" s="340">
        <f t="shared" si="312"/>
        <v>0</v>
      </c>
      <c r="BC106" s="340">
        <f t="shared" si="312"/>
        <v>0</v>
      </c>
      <c r="BD106" s="340">
        <f t="shared" si="312"/>
        <v>0</v>
      </c>
      <c r="BE106" s="340">
        <f t="shared" si="312"/>
        <v>0</v>
      </c>
      <c r="BF106" s="562">
        <f t="shared" si="312"/>
        <v>0</v>
      </c>
      <c r="BG106" s="340">
        <f t="shared" ref="BG106:CL106" si="313">SUM(BG97:BG105)</f>
        <v>0</v>
      </c>
      <c r="BH106" s="340">
        <f t="shared" si="313"/>
        <v>0</v>
      </c>
      <c r="BI106" s="340">
        <f t="shared" si="313"/>
        <v>0</v>
      </c>
      <c r="BJ106" s="340">
        <f t="shared" si="313"/>
        <v>0</v>
      </c>
      <c r="BK106" s="340">
        <f t="shared" si="313"/>
        <v>0</v>
      </c>
      <c r="BL106" s="340">
        <f t="shared" si="313"/>
        <v>0</v>
      </c>
      <c r="BM106" s="340">
        <f t="shared" si="313"/>
        <v>0</v>
      </c>
      <c r="BN106" s="340">
        <f t="shared" si="313"/>
        <v>0</v>
      </c>
      <c r="BO106" s="340">
        <f t="shared" si="313"/>
        <v>0</v>
      </c>
      <c r="BP106" s="340">
        <f t="shared" si="313"/>
        <v>0</v>
      </c>
      <c r="BQ106" s="340">
        <f t="shared" si="313"/>
        <v>0</v>
      </c>
      <c r="BR106" s="562">
        <f t="shared" si="313"/>
        <v>0</v>
      </c>
      <c r="BS106" s="340">
        <f t="shared" si="313"/>
        <v>0</v>
      </c>
      <c r="BT106" s="340">
        <f t="shared" si="313"/>
        <v>0</v>
      </c>
      <c r="BU106" s="340">
        <f t="shared" si="313"/>
        <v>0</v>
      </c>
      <c r="BV106" s="340">
        <f t="shared" si="313"/>
        <v>0</v>
      </c>
      <c r="BW106" s="340">
        <f t="shared" si="313"/>
        <v>0</v>
      </c>
      <c r="BX106" s="340">
        <f t="shared" si="313"/>
        <v>0</v>
      </c>
      <c r="BY106" s="340">
        <f t="shared" si="313"/>
        <v>0</v>
      </c>
      <c r="BZ106" s="340">
        <f t="shared" si="313"/>
        <v>0</v>
      </c>
      <c r="CA106" s="340">
        <f t="shared" si="313"/>
        <v>0</v>
      </c>
      <c r="CB106" s="340">
        <f t="shared" si="313"/>
        <v>0</v>
      </c>
      <c r="CC106" s="340">
        <f t="shared" si="313"/>
        <v>0</v>
      </c>
      <c r="CD106" s="562">
        <f t="shared" si="313"/>
        <v>0</v>
      </c>
      <c r="CE106" s="340">
        <f t="shared" si="313"/>
        <v>0</v>
      </c>
      <c r="CF106" s="340">
        <f t="shared" si="313"/>
        <v>0</v>
      </c>
      <c r="CG106" s="340">
        <f t="shared" si="313"/>
        <v>0</v>
      </c>
      <c r="CH106" s="340">
        <f t="shared" si="313"/>
        <v>0</v>
      </c>
      <c r="CI106" s="340">
        <f t="shared" si="313"/>
        <v>0</v>
      </c>
      <c r="CJ106" s="340">
        <f t="shared" si="313"/>
        <v>0</v>
      </c>
      <c r="CK106" s="340">
        <f t="shared" si="313"/>
        <v>0</v>
      </c>
      <c r="CL106" s="340">
        <f t="shared" si="313"/>
        <v>0</v>
      </c>
      <c r="CM106" s="340">
        <f t="shared" ref="CM106:DJ106" si="314">SUM(CM97:CM105)</f>
        <v>0</v>
      </c>
      <c r="CN106" s="340">
        <f t="shared" si="314"/>
        <v>0</v>
      </c>
      <c r="CO106" s="340">
        <f t="shared" si="314"/>
        <v>0</v>
      </c>
      <c r="CP106" s="562">
        <f t="shared" si="314"/>
        <v>0</v>
      </c>
      <c r="CQ106" s="340">
        <f t="shared" si="314"/>
        <v>0</v>
      </c>
      <c r="CR106" s="340">
        <f t="shared" si="314"/>
        <v>0</v>
      </c>
      <c r="CS106" s="340">
        <f t="shared" si="314"/>
        <v>0</v>
      </c>
      <c r="CT106" s="340">
        <f t="shared" si="314"/>
        <v>0</v>
      </c>
      <c r="CU106" s="340">
        <f t="shared" si="314"/>
        <v>0</v>
      </c>
      <c r="CV106" s="340">
        <f t="shared" si="314"/>
        <v>0</v>
      </c>
      <c r="CW106" s="340">
        <f t="shared" si="314"/>
        <v>0</v>
      </c>
      <c r="CX106" s="340">
        <f t="shared" si="314"/>
        <v>0</v>
      </c>
      <c r="CY106" s="340">
        <f t="shared" si="314"/>
        <v>0</v>
      </c>
      <c r="CZ106" s="340">
        <f t="shared" si="314"/>
        <v>0</v>
      </c>
      <c r="DA106" s="340">
        <f t="shared" si="314"/>
        <v>0</v>
      </c>
      <c r="DB106" s="562">
        <f t="shared" si="314"/>
        <v>0</v>
      </c>
      <c r="DC106" s="340">
        <f t="shared" si="314"/>
        <v>0</v>
      </c>
      <c r="DD106" s="340">
        <f t="shared" si="314"/>
        <v>0</v>
      </c>
      <c r="DE106" s="340">
        <f t="shared" si="314"/>
        <v>0</v>
      </c>
      <c r="DF106" s="340">
        <f t="shared" si="314"/>
        <v>0</v>
      </c>
      <c r="DG106" s="340">
        <f t="shared" si="314"/>
        <v>0</v>
      </c>
      <c r="DH106" s="340">
        <f t="shared" si="314"/>
        <v>0</v>
      </c>
      <c r="DI106" s="340">
        <f t="shared" si="314"/>
        <v>0</v>
      </c>
      <c r="DJ106" s="340">
        <f t="shared" si="314"/>
        <v>0</v>
      </c>
      <c r="DK106" s="340">
        <f t="shared" ref="DK106:DN106" si="315">SUM(DK97:DK105)</f>
        <v>0</v>
      </c>
      <c r="DL106" s="340">
        <f t="shared" si="315"/>
        <v>0</v>
      </c>
      <c r="DM106" s="340">
        <f t="shared" si="315"/>
        <v>0</v>
      </c>
      <c r="DN106" s="340">
        <f t="shared" si="315"/>
        <v>0</v>
      </c>
      <c r="DO106" s="340"/>
      <c r="DP106" s="340">
        <f>SUM(J106:DO106)</f>
        <v>2550800</v>
      </c>
      <c r="DQ106" s="340"/>
    </row>
    <row r="107" spans="3:121" x14ac:dyDescent="0.3">
      <c r="D107" s="331"/>
      <c r="E107" s="331"/>
      <c r="J107" s="340"/>
      <c r="K107" s="340"/>
      <c r="L107" s="340"/>
      <c r="M107" s="340"/>
      <c r="N107" s="340"/>
      <c r="O107" s="340"/>
      <c r="P107" s="340"/>
      <c r="Q107" s="340"/>
      <c r="R107" s="340"/>
      <c r="S107" s="340"/>
      <c r="T107" s="340"/>
      <c r="U107" s="340"/>
      <c r="V107" s="562"/>
      <c r="W107" s="340"/>
      <c r="X107" s="340"/>
      <c r="Y107" s="340"/>
      <c r="Z107" s="340"/>
      <c r="AA107" s="340"/>
      <c r="AB107" s="340"/>
      <c r="AC107" s="340"/>
      <c r="AD107" s="340"/>
      <c r="AE107" s="340"/>
      <c r="AF107" s="340"/>
      <c r="AG107" s="340"/>
      <c r="AH107" s="562"/>
      <c r="AI107" s="340"/>
      <c r="AJ107" s="340"/>
      <c r="AK107" s="340"/>
      <c r="AL107" s="340"/>
      <c r="AM107" s="340"/>
      <c r="AN107" s="340"/>
      <c r="AO107" s="340"/>
      <c r="AP107" s="340"/>
      <c r="AQ107" s="340"/>
      <c r="AR107" s="340"/>
      <c r="AS107" s="340"/>
      <c r="AT107" s="562"/>
      <c r="AU107" s="340"/>
      <c r="AV107" s="340"/>
      <c r="AW107" s="340"/>
      <c r="AX107" s="340"/>
      <c r="AY107" s="340"/>
      <c r="AZ107" s="340"/>
      <c r="BA107" s="340"/>
      <c r="BB107" s="340"/>
      <c r="BC107" s="340"/>
      <c r="BD107" s="340"/>
      <c r="BE107" s="340"/>
      <c r="BF107" s="562"/>
      <c r="BG107" s="340"/>
      <c r="BH107" s="340"/>
      <c r="BI107" s="340"/>
      <c r="BJ107" s="340"/>
      <c r="BK107" s="340"/>
      <c r="BL107" s="340"/>
      <c r="BM107" s="340"/>
      <c r="BN107" s="340"/>
      <c r="BO107" s="340"/>
      <c r="BP107" s="340"/>
      <c r="BQ107" s="340"/>
      <c r="BR107" s="562"/>
      <c r="BS107" s="340"/>
      <c r="BT107" s="340"/>
      <c r="BU107" s="340"/>
      <c r="BV107" s="340"/>
      <c r="BW107" s="340"/>
      <c r="BX107" s="340"/>
      <c r="BY107" s="340"/>
      <c r="BZ107" s="340"/>
      <c r="CA107" s="340"/>
      <c r="CB107" s="340"/>
      <c r="CC107" s="340"/>
      <c r="CD107" s="562"/>
      <c r="CE107" s="340"/>
      <c r="CF107" s="340"/>
      <c r="CG107" s="340"/>
      <c r="CH107" s="340"/>
      <c r="CI107" s="340"/>
      <c r="CJ107" s="340"/>
      <c r="CK107" s="340"/>
      <c r="CL107" s="340"/>
      <c r="CM107" s="340"/>
      <c r="CN107" s="340"/>
      <c r="CO107" s="340"/>
      <c r="CP107" s="562"/>
      <c r="CQ107" s="340"/>
      <c r="CR107" s="340"/>
      <c r="CS107" s="340"/>
      <c r="CT107" s="340"/>
      <c r="CU107" s="340"/>
      <c r="CV107" s="340"/>
      <c r="CW107" s="340"/>
      <c r="CX107" s="340"/>
      <c r="CY107" s="340"/>
      <c r="CZ107" s="340"/>
      <c r="DA107" s="340"/>
      <c r="DB107" s="562"/>
      <c r="DC107" s="340"/>
      <c r="DD107" s="340"/>
      <c r="DE107" s="340"/>
      <c r="DF107" s="340"/>
      <c r="DG107" s="340"/>
      <c r="DH107" s="340"/>
      <c r="DI107" s="340"/>
      <c r="DJ107" s="340"/>
      <c r="DK107" s="340"/>
      <c r="DL107" s="340"/>
      <c r="DM107" s="340"/>
      <c r="DN107" s="340"/>
      <c r="DO107" s="340"/>
      <c r="DP107" s="340"/>
      <c r="DQ107" s="340"/>
    </row>
    <row r="108" spans="3:121" x14ac:dyDescent="0.3">
      <c r="D108" s="331" t="str">
        <f>'Table 3.0'!D136</f>
        <v>Soft Costs</v>
      </c>
      <c r="E108" s="331"/>
      <c r="J108" s="340"/>
      <c r="K108" s="340">
        <f>'Cost Curves'!K38</f>
        <v>74700</v>
      </c>
      <c r="L108" s="340">
        <f>'Cost Curves'!L38</f>
        <v>49800</v>
      </c>
      <c r="M108" s="340">
        <f>'Cost Curves'!M38</f>
        <v>12450</v>
      </c>
      <c r="N108" s="340">
        <f>'Cost Curves'!N38</f>
        <v>12450</v>
      </c>
      <c r="O108" s="340">
        <f>'Cost Curves'!O38</f>
        <v>0</v>
      </c>
      <c r="P108" s="340">
        <f>'Cost Curves'!P38</f>
        <v>0</v>
      </c>
      <c r="Q108" s="340">
        <f>'Cost Curves'!Q38</f>
        <v>0</v>
      </c>
      <c r="R108" s="340">
        <f>'Cost Curves'!R38</f>
        <v>348600</v>
      </c>
      <c r="S108" s="340">
        <f>'Cost Curves'!S38</f>
        <v>0</v>
      </c>
      <c r="T108" s="340">
        <f>'Cost Curves'!T38</f>
        <v>0</v>
      </c>
      <c r="U108" s="340">
        <f>'Cost Curves'!U38</f>
        <v>0</v>
      </c>
      <c r="V108" s="562">
        <f>'Cost Curves'!V38</f>
        <v>0</v>
      </c>
      <c r="W108" s="340">
        <f>'Cost Curves'!W38</f>
        <v>0</v>
      </c>
      <c r="X108" s="340">
        <f>'Cost Curves'!X38</f>
        <v>0</v>
      </c>
      <c r="Y108" s="340">
        <f>'Cost Curves'!Y38</f>
        <v>0</v>
      </c>
      <c r="Z108" s="340">
        <f>'Cost Curves'!Z38</f>
        <v>0</v>
      </c>
      <c r="AA108" s="340">
        <f>'Cost Curves'!AA38</f>
        <v>0</v>
      </c>
      <c r="AB108" s="340">
        <f>'Cost Curves'!AB38</f>
        <v>0</v>
      </c>
      <c r="AC108" s="340">
        <f>'Cost Curves'!AC38</f>
        <v>0</v>
      </c>
      <c r="AD108" s="340">
        <f>'Cost Curves'!AD38</f>
        <v>0</v>
      </c>
      <c r="AE108" s="340">
        <f>'Cost Curves'!AE38</f>
        <v>0</v>
      </c>
      <c r="AF108" s="340">
        <f>'Cost Curves'!AF38</f>
        <v>0</v>
      </c>
      <c r="AG108" s="340">
        <f>'Cost Curves'!AG38</f>
        <v>0</v>
      </c>
      <c r="AH108" s="562">
        <f>'Cost Curves'!AH38</f>
        <v>0</v>
      </c>
      <c r="AI108" s="340">
        <f>'Cost Curves'!AI38</f>
        <v>0</v>
      </c>
      <c r="AJ108" s="340">
        <f>'Cost Curves'!AJ38</f>
        <v>0</v>
      </c>
      <c r="AK108" s="340">
        <f>'Cost Curves'!AK38</f>
        <v>0</v>
      </c>
      <c r="AL108" s="340">
        <f>'Cost Curves'!AL38</f>
        <v>0</v>
      </c>
      <c r="AM108" s="340">
        <f>'Cost Curves'!AM38</f>
        <v>0</v>
      </c>
      <c r="AN108" s="340">
        <f>'Cost Curves'!AN38</f>
        <v>0</v>
      </c>
      <c r="AO108" s="340">
        <f>'Cost Curves'!AO38</f>
        <v>0</v>
      </c>
      <c r="AP108" s="340">
        <f>'Cost Curves'!AP38</f>
        <v>0</v>
      </c>
      <c r="AQ108" s="340">
        <f>'Cost Curves'!AQ38</f>
        <v>0</v>
      </c>
      <c r="AR108" s="340">
        <f>'Cost Curves'!AR38</f>
        <v>0</v>
      </c>
      <c r="AS108" s="340">
        <f>'Cost Curves'!AS38</f>
        <v>0</v>
      </c>
      <c r="AT108" s="562">
        <f>'Cost Curves'!AT38</f>
        <v>0</v>
      </c>
      <c r="AU108" s="340">
        <f>'Cost Curves'!AU38</f>
        <v>0</v>
      </c>
      <c r="AV108" s="340">
        <f>'Cost Curves'!AV38</f>
        <v>0</v>
      </c>
      <c r="AW108" s="340">
        <f>'Cost Curves'!AW38</f>
        <v>0</v>
      </c>
      <c r="AX108" s="340">
        <f>'Cost Curves'!AX38</f>
        <v>0</v>
      </c>
      <c r="AY108" s="340">
        <f>'Cost Curves'!AY38</f>
        <v>0</v>
      </c>
      <c r="AZ108" s="340">
        <f>'Cost Curves'!AZ38</f>
        <v>0</v>
      </c>
      <c r="BA108" s="340">
        <f>'Cost Curves'!BA38</f>
        <v>0</v>
      </c>
      <c r="BB108" s="340">
        <f>'Cost Curves'!BB38</f>
        <v>0</v>
      </c>
      <c r="BC108" s="340">
        <f>'Cost Curves'!BC38</f>
        <v>0</v>
      </c>
      <c r="BD108" s="340">
        <f>'Cost Curves'!BD38</f>
        <v>0</v>
      </c>
      <c r="BE108" s="340">
        <f>'Cost Curves'!BE38</f>
        <v>0</v>
      </c>
      <c r="BF108" s="562">
        <f>'Cost Curves'!BF38</f>
        <v>0</v>
      </c>
      <c r="BG108" s="340">
        <f>'Cost Curves'!BG38</f>
        <v>0</v>
      </c>
      <c r="BH108" s="340">
        <f>'Cost Curves'!BH38</f>
        <v>0</v>
      </c>
      <c r="BI108" s="340">
        <f>'Cost Curves'!BI38</f>
        <v>0</v>
      </c>
      <c r="BJ108" s="340">
        <f>'Cost Curves'!BJ38</f>
        <v>0</v>
      </c>
      <c r="BK108" s="340">
        <f>'Cost Curves'!BK38</f>
        <v>0</v>
      </c>
      <c r="BL108" s="340">
        <f>'Cost Curves'!BL38</f>
        <v>0</v>
      </c>
      <c r="BM108" s="340">
        <f>'Cost Curves'!BM38</f>
        <v>0</v>
      </c>
      <c r="BN108" s="340">
        <f>'Cost Curves'!BN38</f>
        <v>0</v>
      </c>
      <c r="BO108" s="340">
        <f>'Cost Curves'!BO38</f>
        <v>0</v>
      </c>
      <c r="BP108" s="340">
        <f>'Cost Curves'!BP38</f>
        <v>0</v>
      </c>
      <c r="BQ108" s="340">
        <f>'Cost Curves'!BQ38</f>
        <v>0</v>
      </c>
      <c r="BR108" s="562">
        <f>'Cost Curves'!BR38</f>
        <v>0</v>
      </c>
      <c r="BS108" s="340">
        <f>'Cost Curves'!BS38</f>
        <v>0</v>
      </c>
      <c r="BT108" s="340">
        <f>'Cost Curves'!BT38</f>
        <v>0</v>
      </c>
      <c r="BU108" s="340">
        <f>'Cost Curves'!BU38</f>
        <v>0</v>
      </c>
      <c r="BV108" s="340">
        <f>'Cost Curves'!BV38</f>
        <v>0</v>
      </c>
      <c r="BW108" s="340">
        <f>'Cost Curves'!BW38</f>
        <v>0</v>
      </c>
      <c r="BX108" s="340">
        <f>'Cost Curves'!BX38</f>
        <v>0</v>
      </c>
      <c r="BY108" s="340">
        <f>'Cost Curves'!BY38</f>
        <v>0</v>
      </c>
      <c r="BZ108" s="340">
        <f>'Cost Curves'!BZ38</f>
        <v>0</v>
      </c>
      <c r="CA108" s="340">
        <f>'Cost Curves'!CA38</f>
        <v>0</v>
      </c>
      <c r="CB108" s="340">
        <f>'Cost Curves'!CB38</f>
        <v>0</v>
      </c>
      <c r="CC108" s="340">
        <f>'Cost Curves'!CC38</f>
        <v>0</v>
      </c>
      <c r="CD108" s="562">
        <f>'Cost Curves'!CD38</f>
        <v>0</v>
      </c>
      <c r="CE108" s="340">
        <f>'Cost Curves'!CE38</f>
        <v>0</v>
      </c>
      <c r="CF108" s="340">
        <f>'Cost Curves'!CF38</f>
        <v>0</v>
      </c>
      <c r="CG108" s="340">
        <f>'Cost Curves'!CG38</f>
        <v>0</v>
      </c>
      <c r="CH108" s="340">
        <f>'Cost Curves'!CH38</f>
        <v>0</v>
      </c>
      <c r="CI108" s="340">
        <f>'Cost Curves'!CI38</f>
        <v>0</v>
      </c>
      <c r="CJ108" s="340">
        <f>'Cost Curves'!CJ38</f>
        <v>0</v>
      </c>
      <c r="CK108" s="340">
        <f>'Cost Curves'!CK38</f>
        <v>0</v>
      </c>
      <c r="CL108" s="340">
        <f>'Cost Curves'!CL38</f>
        <v>0</v>
      </c>
      <c r="CM108" s="340">
        <f>'Cost Curves'!CM38</f>
        <v>0</v>
      </c>
      <c r="CN108" s="340">
        <f>'Cost Curves'!CN38</f>
        <v>0</v>
      </c>
      <c r="CO108" s="340">
        <f>'Cost Curves'!CO38</f>
        <v>0</v>
      </c>
      <c r="CP108" s="562">
        <f>'Cost Curves'!CP38</f>
        <v>0</v>
      </c>
      <c r="CQ108" s="340">
        <f>'Cost Curves'!CQ38</f>
        <v>0</v>
      </c>
      <c r="CR108" s="340">
        <f>'Cost Curves'!CR38</f>
        <v>0</v>
      </c>
      <c r="CS108" s="340">
        <f>'Cost Curves'!CS38</f>
        <v>0</v>
      </c>
      <c r="CT108" s="340">
        <f>'Cost Curves'!CT38</f>
        <v>0</v>
      </c>
      <c r="CU108" s="340">
        <f>'Cost Curves'!CU38</f>
        <v>0</v>
      </c>
      <c r="CV108" s="340">
        <f>'Cost Curves'!CV38</f>
        <v>0</v>
      </c>
      <c r="CW108" s="340">
        <f>'Cost Curves'!CW38</f>
        <v>0</v>
      </c>
      <c r="CX108" s="340">
        <f>'Cost Curves'!CX38</f>
        <v>0</v>
      </c>
      <c r="CY108" s="340">
        <f>'Cost Curves'!CY38</f>
        <v>0</v>
      </c>
      <c r="CZ108" s="340">
        <f>'Cost Curves'!CZ38</f>
        <v>0</v>
      </c>
      <c r="DA108" s="340">
        <f>'Cost Curves'!DA38</f>
        <v>0</v>
      </c>
      <c r="DB108" s="562">
        <f>'Cost Curves'!DB38</f>
        <v>0</v>
      </c>
      <c r="DC108" s="340">
        <f>'Cost Curves'!DC38</f>
        <v>0</v>
      </c>
      <c r="DD108" s="340">
        <f>'Cost Curves'!DD38</f>
        <v>0</v>
      </c>
      <c r="DE108" s="340">
        <f>'Cost Curves'!DE38</f>
        <v>0</v>
      </c>
      <c r="DF108" s="340">
        <f>'Cost Curves'!DF38</f>
        <v>0</v>
      </c>
      <c r="DG108" s="340">
        <f>'Cost Curves'!DG38</f>
        <v>0</v>
      </c>
      <c r="DH108" s="340">
        <f>'Cost Curves'!DH38</f>
        <v>0</v>
      </c>
      <c r="DI108" s="340">
        <f>'Cost Curves'!DI38</f>
        <v>0</v>
      </c>
      <c r="DJ108" s="340">
        <f>'Cost Curves'!DJ38</f>
        <v>0</v>
      </c>
      <c r="DK108" s="340">
        <f>'Cost Curves'!DK38</f>
        <v>0</v>
      </c>
      <c r="DL108" s="340">
        <f>'Cost Curves'!DL38</f>
        <v>0</v>
      </c>
      <c r="DM108" s="340">
        <f>'Cost Curves'!DM38</f>
        <v>0</v>
      </c>
      <c r="DN108" s="340">
        <f>'Cost Curves'!DN38</f>
        <v>0</v>
      </c>
      <c r="DO108" s="340"/>
      <c r="DP108" s="340">
        <f>SUM(J108:DJ108)</f>
        <v>498000</v>
      </c>
      <c r="DQ108" s="340"/>
    </row>
    <row r="109" spans="3:121" x14ac:dyDescent="0.3">
      <c r="C109" s="342"/>
      <c r="D109" s="346"/>
      <c r="E109" s="346"/>
      <c r="F109" s="342"/>
      <c r="G109" s="342"/>
      <c r="H109" s="342"/>
      <c r="I109" s="342"/>
      <c r="J109" s="344"/>
      <c r="K109" s="344"/>
      <c r="L109" s="344"/>
      <c r="M109" s="344"/>
      <c r="N109" s="344"/>
      <c r="O109" s="344"/>
      <c r="P109" s="344"/>
      <c r="Q109" s="344"/>
      <c r="R109" s="344"/>
      <c r="S109" s="344"/>
      <c r="T109" s="344"/>
      <c r="U109" s="344"/>
      <c r="V109" s="563"/>
      <c r="W109" s="344"/>
      <c r="X109" s="344"/>
      <c r="Y109" s="344"/>
      <c r="Z109" s="344"/>
      <c r="AA109" s="344"/>
      <c r="AB109" s="344"/>
      <c r="AC109" s="344"/>
      <c r="AD109" s="344"/>
      <c r="AE109" s="344"/>
      <c r="AF109" s="344"/>
      <c r="AG109" s="344"/>
      <c r="AH109" s="563"/>
      <c r="AI109" s="344"/>
      <c r="AJ109" s="344"/>
      <c r="AK109" s="344"/>
      <c r="AL109" s="344"/>
      <c r="AM109" s="344"/>
      <c r="AN109" s="344"/>
      <c r="AO109" s="344"/>
      <c r="AP109" s="344"/>
      <c r="AQ109" s="344"/>
      <c r="AR109" s="344"/>
      <c r="AS109" s="344"/>
      <c r="AT109" s="563"/>
      <c r="AU109" s="344"/>
      <c r="AV109" s="344"/>
      <c r="AW109" s="344"/>
      <c r="AX109" s="344"/>
      <c r="AY109" s="344"/>
      <c r="AZ109" s="344"/>
      <c r="BA109" s="344"/>
      <c r="BB109" s="344"/>
      <c r="BC109" s="344"/>
      <c r="BD109" s="344"/>
      <c r="BE109" s="344"/>
      <c r="BF109" s="563"/>
      <c r="BG109" s="344"/>
      <c r="BH109" s="344"/>
      <c r="BI109" s="344"/>
      <c r="BJ109" s="344"/>
      <c r="BK109" s="344"/>
      <c r="BL109" s="344"/>
      <c r="BM109" s="344"/>
      <c r="BN109" s="344"/>
      <c r="BO109" s="344"/>
      <c r="BP109" s="344"/>
      <c r="BQ109" s="344"/>
      <c r="BR109" s="563"/>
      <c r="BS109" s="344"/>
      <c r="BT109" s="344"/>
      <c r="BU109" s="344"/>
      <c r="BV109" s="344"/>
      <c r="BW109" s="344"/>
      <c r="BX109" s="344"/>
      <c r="BY109" s="344"/>
      <c r="BZ109" s="344"/>
      <c r="CA109" s="344"/>
      <c r="CB109" s="344"/>
      <c r="CC109" s="344"/>
      <c r="CD109" s="563"/>
      <c r="CE109" s="344"/>
      <c r="CF109" s="344"/>
      <c r="CG109" s="344"/>
      <c r="CH109" s="344"/>
      <c r="CI109" s="344"/>
      <c r="CJ109" s="344"/>
      <c r="CK109" s="344"/>
      <c r="CL109" s="344"/>
      <c r="CM109" s="344"/>
      <c r="CN109" s="344"/>
      <c r="CO109" s="344"/>
      <c r="CP109" s="563"/>
      <c r="CQ109" s="344"/>
      <c r="CR109" s="344"/>
      <c r="CS109" s="344"/>
      <c r="CT109" s="344"/>
      <c r="CU109" s="344"/>
      <c r="CV109" s="344"/>
      <c r="CW109" s="344"/>
      <c r="CX109" s="344"/>
      <c r="CY109" s="344"/>
      <c r="CZ109" s="344"/>
      <c r="DA109" s="344"/>
      <c r="DB109" s="563"/>
      <c r="DC109" s="344"/>
      <c r="DD109" s="344"/>
      <c r="DE109" s="344"/>
      <c r="DF109" s="344"/>
      <c r="DG109" s="344"/>
      <c r="DH109" s="344"/>
      <c r="DI109" s="344"/>
      <c r="DJ109" s="344"/>
      <c r="DK109" s="344"/>
      <c r="DL109" s="344"/>
      <c r="DM109" s="344"/>
      <c r="DN109" s="344"/>
      <c r="DO109" s="344"/>
      <c r="DP109" s="344"/>
    </row>
    <row r="110" spans="3:121" x14ac:dyDescent="0.3">
      <c r="C110" s="331" t="str">
        <f>'Table 3.0'!C138</f>
        <v>TOTAL DEVELOPMENT COSTS</v>
      </c>
      <c r="D110" s="331"/>
      <c r="E110" s="331"/>
      <c r="J110" s="340"/>
      <c r="K110" s="340">
        <f t="shared" ref="K110:AM110" si="316">K106+K108</f>
        <v>299198.75</v>
      </c>
      <c r="L110" s="340">
        <f t="shared" si="316"/>
        <v>256972.75</v>
      </c>
      <c r="M110" s="340">
        <f t="shared" si="316"/>
        <v>203330.25</v>
      </c>
      <c r="N110" s="340">
        <f t="shared" si="316"/>
        <v>271517.5</v>
      </c>
      <c r="O110" s="340">
        <f t="shared" si="316"/>
        <v>244631.75</v>
      </c>
      <c r="P110" s="340">
        <f t="shared" si="316"/>
        <v>362118.5</v>
      </c>
      <c r="Q110" s="340">
        <f t="shared" si="316"/>
        <v>307422.5</v>
      </c>
      <c r="R110" s="340">
        <f t="shared" si="316"/>
        <v>663279.75</v>
      </c>
      <c r="S110" s="340">
        <f t="shared" si="316"/>
        <v>94766</v>
      </c>
      <c r="T110" s="340">
        <f t="shared" si="316"/>
        <v>83973</v>
      </c>
      <c r="U110" s="340">
        <f t="shared" si="316"/>
        <v>141378</v>
      </c>
      <c r="V110" s="562">
        <f t="shared" si="316"/>
        <v>120211.25</v>
      </c>
      <c r="W110" s="340">
        <f t="shared" si="316"/>
        <v>0</v>
      </c>
      <c r="X110" s="340">
        <f t="shared" si="316"/>
        <v>0</v>
      </c>
      <c r="Y110" s="340">
        <f t="shared" si="316"/>
        <v>0</v>
      </c>
      <c r="Z110" s="340">
        <f t="shared" si="316"/>
        <v>0</v>
      </c>
      <c r="AA110" s="340">
        <f t="shared" si="316"/>
        <v>0</v>
      </c>
      <c r="AB110" s="340">
        <f t="shared" si="316"/>
        <v>0</v>
      </c>
      <c r="AC110" s="340">
        <f t="shared" si="316"/>
        <v>0</v>
      </c>
      <c r="AD110" s="340">
        <f t="shared" si="316"/>
        <v>0</v>
      </c>
      <c r="AE110" s="340">
        <f t="shared" si="316"/>
        <v>0</v>
      </c>
      <c r="AF110" s="340">
        <f t="shared" si="316"/>
        <v>0</v>
      </c>
      <c r="AG110" s="340">
        <f t="shared" si="316"/>
        <v>0</v>
      </c>
      <c r="AH110" s="562">
        <f t="shared" si="316"/>
        <v>0</v>
      </c>
      <c r="AI110" s="340">
        <f t="shared" si="316"/>
        <v>0</v>
      </c>
      <c r="AJ110" s="340">
        <f t="shared" si="316"/>
        <v>0</v>
      </c>
      <c r="AK110" s="340">
        <f t="shared" si="316"/>
        <v>0</v>
      </c>
      <c r="AL110" s="340">
        <f t="shared" si="316"/>
        <v>0</v>
      </c>
      <c r="AM110" s="340">
        <f t="shared" si="316"/>
        <v>0</v>
      </c>
      <c r="AN110" s="340">
        <f t="shared" ref="AN110:AP110" si="317">AN106+AN108</f>
        <v>0</v>
      </c>
      <c r="AO110" s="340">
        <f t="shared" si="317"/>
        <v>0</v>
      </c>
      <c r="AP110" s="340">
        <f t="shared" si="317"/>
        <v>0</v>
      </c>
      <c r="AQ110" s="340">
        <f t="shared" ref="AQ110:BN110" si="318">AQ106+AQ108</f>
        <v>0</v>
      </c>
      <c r="AR110" s="340">
        <f t="shared" si="318"/>
        <v>0</v>
      </c>
      <c r="AS110" s="340">
        <f t="shared" si="318"/>
        <v>0</v>
      </c>
      <c r="AT110" s="562">
        <f t="shared" si="318"/>
        <v>0</v>
      </c>
      <c r="AU110" s="340">
        <f t="shared" si="318"/>
        <v>0</v>
      </c>
      <c r="AV110" s="340">
        <f t="shared" si="318"/>
        <v>0</v>
      </c>
      <c r="AW110" s="340">
        <f t="shared" si="318"/>
        <v>0</v>
      </c>
      <c r="AX110" s="340">
        <f t="shared" si="318"/>
        <v>0</v>
      </c>
      <c r="AY110" s="340">
        <f t="shared" si="318"/>
        <v>0</v>
      </c>
      <c r="AZ110" s="340">
        <f t="shared" si="318"/>
        <v>0</v>
      </c>
      <c r="BA110" s="340">
        <f t="shared" si="318"/>
        <v>0</v>
      </c>
      <c r="BB110" s="340">
        <f t="shared" si="318"/>
        <v>0</v>
      </c>
      <c r="BC110" s="340">
        <f t="shared" si="318"/>
        <v>0</v>
      </c>
      <c r="BD110" s="340">
        <f t="shared" si="318"/>
        <v>0</v>
      </c>
      <c r="BE110" s="340">
        <f t="shared" si="318"/>
        <v>0</v>
      </c>
      <c r="BF110" s="562">
        <f t="shared" si="318"/>
        <v>0</v>
      </c>
      <c r="BG110" s="340">
        <f t="shared" si="318"/>
        <v>0</v>
      </c>
      <c r="BH110" s="340">
        <f t="shared" si="318"/>
        <v>0</v>
      </c>
      <c r="BI110" s="340">
        <f t="shared" si="318"/>
        <v>0</v>
      </c>
      <c r="BJ110" s="340">
        <f t="shared" si="318"/>
        <v>0</v>
      </c>
      <c r="BK110" s="340">
        <f t="shared" si="318"/>
        <v>0</v>
      </c>
      <c r="BL110" s="340">
        <f t="shared" si="318"/>
        <v>0</v>
      </c>
      <c r="BM110" s="340">
        <f t="shared" si="318"/>
        <v>0</v>
      </c>
      <c r="BN110" s="340">
        <f t="shared" si="318"/>
        <v>0</v>
      </c>
      <c r="BO110" s="340">
        <f t="shared" ref="BO110:CL110" si="319">BO106+BO108</f>
        <v>0</v>
      </c>
      <c r="BP110" s="340">
        <f t="shared" si="319"/>
        <v>0</v>
      </c>
      <c r="BQ110" s="340">
        <f t="shared" si="319"/>
        <v>0</v>
      </c>
      <c r="BR110" s="562">
        <f t="shared" si="319"/>
        <v>0</v>
      </c>
      <c r="BS110" s="340">
        <f t="shared" si="319"/>
        <v>0</v>
      </c>
      <c r="BT110" s="340">
        <f t="shared" si="319"/>
        <v>0</v>
      </c>
      <c r="BU110" s="340">
        <f t="shared" si="319"/>
        <v>0</v>
      </c>
      <c r="BV110" s="340">
        <f t="shared" si="319"/>
        <v>0</v>
      </c>
      <c r="BW110" s="340">
        <f t="shared" si="319"/>
        <v>0</v>
      </c>
      <c r="BX110" s="340">
        <f t="shared" si="319"/>
        <v>0</v>
      </c>
      <c r="BY110" s="340">
        <f t="shared" si="319"/>
        <v>0</v>
      </c>
      <c r="BZ110" s="340">
        <f t="shared" si="319"/>
        <v>0</v>
      </c>
      <c r="CA110" s="340">
        <f t="shared" si="319"/>
        <v>0</v>
      </c>
      <c r="CB110" s="340">
        <f t="shared" si="319"/>
        <v>0</v>
      </c>
      <c r="CC110" s="340">
        <f t="shared" si="319"/>
        <v>0</v>
      </c>
      <c r="CD110" s="562">
        <f t="shared" si="319"/>
        <v>0</v>
      </c>
      <c r="CE110" s="340">
        <f t="shared" si="319"/>
        <v>0</v>
      </c>
      <c r="CF110" s="340">
        <f t="shared" si="319"/>
        <v>0</v>
      </c>
      <c r="CG110" s="340">
        <f t="shared" si="319"/>
        <v>0</v>
      </c>
      <c r="CH110" s="340">
        <f t="shared" si="319"/>
        <v>0</v>
      </c>
      <c r="CI110" s="340">
        <f t="shared" si="319"/>
        <v>0</v>
      </c>
      <c r="CJ110" s="340">
        <f t="shared" si="319"/>
        <v>0</v>
      </c>
      <c r="CK110" s="340">
        <f t="shared" si="319"/>
        <v>0</v>
      </c>
      <c r="CL110" s="340">
        <f t="shared" si="319"/>
        <v>0</v>
      </c>
      <c r="CM110" s="340">
        <f t="shared" ref="CM110:DN110" si="320">CM106+CM108</f>
        <v>0</v>
      </c>
      <c r="CN110" s="340">
        <f t="shared" si="320"/>
        <v>0</v>
      </c>
      <c r="CO110" s="340">
        <f t="shared" si="320"/>
        <v>0</v>
      </c>
      <c r="CP110" s="562">
        <f t="shared" si="320"/>
        <v>0</v>
      </c>
      <c r="CQ110" s="340">
        <f t="shared" si="320"/>
        <v>0</v>
      </c>
      <c r="CR110" s="340">
        <f t="shared" si="320"/>
        <v>0</v>
      </c>
      <c r="CS110" s="340">
        <f t="shared" si="320"/>
        <v>0</v>
      </c>
      <c r="CT110" s="340">
        <f t="shared" si="320"/>
        <v>0</v>
      </c>
      <c r="CU110" s="340">
        <f t="shared" si="320"/>
        <v>0</v>
      </c>
      <c r="CV110" s="340">
        <f t="shared" si="320"/>
        <v>0</v>
      </c>
      <c r="CW110" s="340">
        <f t="shared" si="320"/>
        <v>0</v>
      </c>
      <c r="CX110" s="340">
        <f t="shared" si="320"/>
        <v>0</v>
      </c>
      <c r="CY110" s="340">
        <f t="shared" si="320"/>
        <v>0</v>
      </c>
      <c r="CZ110" s="340">
        <f t="shared" si="320"/>
        <v>0</v>
      </c>
      <c r="DA110" s="340">
        <f t="shared" si="320"/>
        <v>0</v>
      </c>
      <c r="DB110" s="562">
        <f t="shared" si="320"/>
        <v>0</v>
      </c>
      <c r="DC110" s="340">
        <f t="shared" si="320"/>
        <v>0</v>
      </c>
      <c r="DD110" s="340">
        <f t="shared" si="320"/>
        <v>0</v>
      </c>
      <c r="DE110" s="340">
        <f t="shared" si="320"/>
        <v>0</v>
      </c>
      <c r="DF110" s="340">
        <f t="shared" si="320"/>
        <v>0</v>
      </c>
      <c r="DG110" s="340">
        <f t="shared" si="320"/>
        <v>0</v>
      </c>
      <c r="DH110" s="340">
        <f t="shared" si="320"/>
        <v>0</v>
      </c>
      <c r="DI110" s="340">
        <f t="shared" si="320"/>
        <v>0</v>
      </c>
      <c r="DJ110" s="340">
        <f t="shared" si="320"/>
        <v>0</v>
      </c>
      <c r="DK110" s="340">
        <f t="shared" si="320"/>
        <v>0</v>
      </c>
      <c r="DL110" s="340">
        <f t="shared" si="320"/>
        <v>0</v>
      </c>
      <c r="DM110" s="340">
        <f t="shared" si="320"/>
        <v>0</v>
      </c>
      <c r="DN110" s="340">
        <f t="shared" si="320"/>
        <v>0</v>
      </c>
      <c r="DO110" s="340"/>
      <c r="DP110" s="340">
        <f>SUM(J110:DJ110)</f>
        <v>3048800</v>
      </c>
    </row>
    <row r="111" spans="3:121" x14ac:dyDescent="0.3">
      <c r="D111" s="331"/>
      <c r="E111" s="331"/>
      <c r="J111" s="340"/>
      <c r="K111" s="340"/>
      <c r="L111" s="340"/>
      <c r="M111" s="340"/>
      <c r="N111" s="340"/>
      <c r="O111" s="340"/>
      <c r="P111" s="340"/>
      <c r="Q111" s="340"/>
      <c r="R111" s="340"/>
      <c r="S111" s="340"/>
      <c r="T111" s="340"/>
      <c r="U111" s="340"/>
      <c r="V111" s="562"/>
      <c r="W111" s="340"/>
      <c r="X111" s="340"/>
      <c r="Y111" s="340"/>
      <c r="Z111" s="340"/>
      <c r="AA111" s="340"/>
      <c r="AB111" s="340"/>
      <c r="AC111" s="340"/>
      <c r="AD111" s="340"/>
      <c r="AE111" s="340"/>
      <c r="AF111" s="340"/>
      <c r="AG111" s="340"/>
      <c r="AH111" s="562"/>
      <c r="AI111" s="340"/>
      <c r="AJ111" s="340"/>
      <c r="AK111" s="340"/>
      <c r="AL111" s="340"/>
      <c r="AM111" s="340"/>
      <c r="AN111" s="340"/>
      <c r="AO111" s="340"/>
      <c r="AP111" s="340"/>
      <c r="AQ111" s="340"/>
      <c r="AR111" s="340"/>
      <c r="AS111" s="340"/>
      <c r="AT111" s="562"/>
      <c r="AU111" s="340"/>
      <c r="AV111" s="340"/>
      <c r="AW111" s="340"/>
      <c r="AX111" s="340"/>
      <c r="AY111" s="340"/>
      <c r="AZ111" s="340"/>
      <c r="BA111" s="340"/>
      <c r="BB111" s="340"/>
      <c r="BC111" s="340"/>
      <c r="BD111" s="340"/>
      <c r="BE111" s="340"/>
      <c r="BF111" s="562"/>
      <c r="BG111" s="340"/>
      <c r="BH111" s="340"/>
      <c r="BI111" s="340"/>
      <c r="BJ111" s="340"/>
      <c r="BK111" s="340"/>
      <c r="BL111" s="340"/>
      <c r="BM111" s="340"/>
      <c r="BN111" s="340"/>
      <c r="BO111" s="340"/>
      <c r="BP111" s="340"/>
      <c r="BQ111" s="340"/>
      <c r="BR111" s="562"/>
      <c r="BS111" s="340"/>
      <c r="BT111" s="340"/>
      <c r="BU111" s="340"/>
      <c r="BV111" s="340"/>
      <c r="BW111" s="340"/>
      <c r="BX111" s="340"/>
      <c r="BY111" s="340"/>
      <c r="BZ111" s="340"/>
      <c r="CA111" s="340"/>
      <c r="CB111" s="340"/>
      <c r="CC111" s="340"/>
      <c r="CD111" s="562"/>
      <c r="CE111" s="340"/>
      <c r="CF111" s="340"/>
      <c r="CG111" s="340"/>
      <c r="CH111" s="340"/>
      <c r="CI111" s="340"/>
      <c r="CJ111" s="340"/>
      <c r="CK111" s="340"/>
      <c r="CL111" s="340"/>
      <c r="CM111" s="340"/>
      <c r="CN111" s="340"/>
      <c r="CO111" s="340"/>
      <c r="CP111" s="562"/>
      <c r="CQ111" s="340"/>
      <c r="CR111" s="340"/>
      <c r="CS111" s="340"/>
      <c r="CT111" s="340"/>
      <c r="CU111" s="340"/>
      <c r="CV111" s="340"/>
      <c r="CW111" s="340"/>
      <c r="CX111" s="340"/>
      <c r="CY111" s="340"/>
      <c r="CZ111" s="340"/>
      <c r="DA111" s="340"/>
      <c r="DB111" s="562"/>
      <c r="DC111" s="340"/>
      <c r="DD111" s="340"/>
      <c r="DE111" s="340"/>
      <c r="DF111" s="340"/>
      <c r="DG111" s="340"/>
      <c r="DH111" s="340"/>
      <c r="DI111" s="340"/>
      <c r="DJ111" s="340"/>
      <c r="DK111" s="340"/>
      <c r="DL111" s="340"/>
      <c r="DM111" s="340"/>
      <c r="DN111" s="340"/>
      <c r="DO111" s="340"/>
      <c r="DP111" s="340"/>
    </row>
    <row r="112" spans="3:121" x14ac:dyDescent="0.3">
      <c r="D112" s="331" t="str">
        <f>'Table 3.0'!D140</f>
        <v>Principal Payments - Perm. Loan</v>
      </c>
      <c r="E112" s="331"/>
      <c r="J112" s="680"/>
      <c r="K112" s="680">
        <f t="shared" ref="K112:AD112" si="321">J112</f>
        <v>0</v>
      </c>
      <c r="L112" s="680">
        <f t="shared" si="321"/>
        <v>0</v>
      </c>
      <c r="M112" s="680">
        <f t="shared" si="321"/>
        <v>0</v>
      </c>
      <c r="N112" s="680">
        <f t="shared" si="321"/>
        <v>0</v>
      </c>
      <c r="O112" s="680">
        <f t="shared" si="321"/>
        <v>0</v>
      </c>
      <c r="P112" s="680">
        <f t="shared" si="321"/>
        <v>0</v>
      </c>
      <c r="Q112" s="680">
        <f t="shared" si="321"/>
        <v>0</v>
      </c>
      <c r="R112" s="680">
        <f t="shared" si="321"/>
        <v>0</v>
      </c>
      <c r="S112" s="680">
        <f t="shared" si="321"/>
        <v>0</v>
      </c>
      <c r="T112" s="680">
        <f t="shared" si="321"/>
        <v>0</v>
      </c>
      <c r="U112" s="680">
        <f t="shared" si="321"/>
        <v>0</v>
      </c>
      <c r="V112" s="905">
        <f t="shared" si="321"/>
        <v>0</v>
      </c>
      <c r="W112" s="680">
        <f t="shared" si="321"/>
        <v>0</v>
      </c>
      <c r="X112" s="680">
        <f t="shared" si="321"/>
        <v>0</v>
      </c>
      <c r="Y112" s="680">
        <f t="shared" si="321"/>
        <v>0</v>
      </c>
      <c r="Z112" s="680">
        <f t="shared" si="321"/>
        <v>0</v>
      </c>
      <c r="AA112" s="680">
        <f t="shared" si="321"/>
        <v>0</v>
      </c>
      <c r="AB112" s="680">
        <f t="shared" si="321"/>
        <v>0</v>
      </c>
      <c r="AC112" s="680">
        <f t="shared" si="321"/>
        <v>0</v>
      </c>
      <c r="AD112" s="680">
        <f t="shared" si="321"/>
        <v>0</v>
      </c>
      <c r="AE112" s="680">
        <f t="shared" ref="AE112" si="322">AD112</f>
        <v>0</v>
      </c>
      <c r="AF112" s="680">
        <f t="shared" ref="AF112" si="323">AE112</f>
        <v>0</v>
      </c>
      <c r="AG112" s="680">
        <f t="shared" ref="AG112" si="324">AF112</f>
        <v>0</v>
      </c>
      <c r="AH112" s="905">
        <f t="shared" ref="AH112" si="325">AG112</f>
        <v>0</v>
      </c>
      <c r="AI112" s="340">
        <f>'Perm Loan'!E15</f>
        <v>2359.3474461202309</v>
      </c>
      <c r="AJ112" s="340">
        <f>'Perm Loan'!F15</f>
        <v>2371.144183350832</v>
      </c>
      <c r="AK112" s="340">
        <f>'Perm Loan'!G15</f>
        <v>2382.9999042675859</v>
      </c>
      <c r="AL112" s="340">
        <f>'Perm Loan'!H15</f>
        <v>2394.9149037889242</v>
      </c>
      <c r="AM112" s="340">
        <f>'Perm Loan'!I15</f>
        <v>2406.8894783078686</v>
      </c>
      <c r="AN112" s="340">
        <f>'Perm Loan'!J15</f>
        <v>2418.9239256994078</v>
      </c>
      <c r="AO112" s="340">
        <f>'Perm Loan'!K15</f>
        <v>2431.018545327905</v>
      </c>
      <c r="AP112" s="340">
        <f>'Perm Loan'!L15</f>
        <v>2443.1736380545444</v>
      </c>
      <c r="AQ112" s="340">
        <f>'Perm Loan'!M15</f>
        <v>2455.3895062448173</v>
      </c>
      <c r="AR112" s="340">
        <f>'Perm Loan'!N15</f>
        <v>2467.6664537760416</v>
      </c>
      <c r="AS112" s="340">
        <f>'Perm Loan'!O15</f>
        <v>2480.0047860449217</v>
      </c>
      <c r="AT112" s="562">
        <f>'Perm Loan'!P15</f>
        <v>2513.4377619580587</v>
      </c>
      <c r="AU112" s="340">
        <f>'Perm Loan'!Q15</f>
        <v>2526.0049507678491</v>
      </c>
      <c r="AV112" s="340">
        <f>'Perm Loan'!R15</f>
        <v>2538.6349755216879</v>
      </c>
      <c r="AW112" s="340">
        <f>'Perm Loan'!S15</f>
        <v>2551.3281503992966</v>
      </c>
      <c r="AX112" s="340">
        <f>'Perm Loan'!T15</f>
        <v>2564.0847911512928</v>
      </c>
      <c r="AY112" s="340">
        <f>'Perm Loan'!U15</f>
        <v>2576.9052151070496</v>
      </c>
      <c r="AZ112" s="340">
        <f>'Perm Loan'!V15</f>
        <v>2589.7897411825847</v>
      </c>
      <c r="BA112" s="340">
        <f>'Perm Loan'!W15</f>
        <v>2602.7386898884979</v>
      </c>
      <c r="BB112" s="340">
        <f>'Perm Loan'!X15</f>
        <v>2615.7523833379405</v>
      </c>
      <c r="BC112" s="340">
        <f>'Perm Loan'!Y15</f>
        <v>2628.8311452546304</v>
      </c>
      <c r="BD112" s="340">
        <f>'Perm Loan'!Z15</f>
        <v>2641.9753009809028</v>
      </c>
      <c r="BE112" s="340">
        <f>'Perm Loan'!AA15</f>
        <v>2655.1851774858078</v>
      </c>
      <c r="BF112" s="562">
        <f>'Perm Loan'!AB15</f>
        <v>2668.4611033732367</v>
      </c>
      <c r="BG112" s="340">
        <f>'Perm Loan'!AC15</f>
        <v>2681.8034088901031</v>
      </c>
      <c r="BH112" s="340">
        <f>'Perm Loan'!AD15</f>
        <v>2695.2124259345537</v>
      </c>
      <c r="BI112" s="340">
        <f>'Perm Loan'!AE15</f>
        <v>2708.688488064226</v>
      </c>
      <c r="BJ112" s="340">
        <f>'Perm Loan'!AF15</f>
        <v>2722.2319305045471</v>
      </c>
      <c r="BK112" s="340">
        <f>'Perm Loan'!AG15</f>
        <v>2735.84309015707</v>
      </c>
      <c r="BL112" s="340">
        <f>'Perm Loan'!AH15</f>
        <v>2749.5223056078557</v>
      </c>
      <c r="BM112" s="340">
        <f>'Perm Loan'!AI15</f>
        <v>2763.2699171358945</v>
      </c>
      <c r="BN112" s="340">
        <f>'Perm Loan'!AJ15</f>
        <v>2777.0862667215742</v>
      </c>
      <c r="BO112" s="340">
        <f>'Perm Loan'!AK15</f>
        <v>2790.9716980551816</v>
      </c>
      <c r="BP112" s="340">
        <f>'Perm Loan'!AL15</f>
        <v>2804.9265565454584</v>
      </c>
      <c r="BQ112" s="340">
        <f>'Perm Loan'!AM15</f>
        <v>2818.9511893281851</v>
      </c>
      <c r="BR112" s="562">
        <f>'Perm Loan'!AN15</f>
        <v>2809.3384478248272</v>
      </c>
      <c r="BS112" s="340">
        <f>'Perm Loan'!AO15</f>
        <v>2823.3851400639519</v>
      </c>
      <c r="BT112" s="340">
        <f>'Perm Loan'!AP15</f>
        <v>2837.5020657642708</v>
      </c>
      <c r="BU112" s="340">
        <f>'Perm Loan'!AQ15</f>
        <v>2851.6895760930929</v>
      </c>
      <c r="BV112" s="340">
        <f>'Perm Loan'!AR15</f>
        <v>2865.9480239735581</v>
      </c>
      <c r="BW112" s="340">
        <f>'Perm Loan'!AS15</f>
        <v>2880.277764093426</v>
      </c>
      <c r="BX112" s="340">
        <f>'Perm Loan'!AT15</f>
        <v>2894.6791529138932</v>
      </c>
      <c r="BY112" s="340">
        <f>'Perm Loan'!AU15</f>
        <v>2909.1525486784626</v>
      </c>
      <c r="BZ112" s="340">
        <f>'Perm Loan'!AV15</f>
        <v>2923.6983114218551</v>
      </c>
      <c r="CA112" s="340">
        <f>'Perm Loan'!AW15</f>
        <v>2938.3168029789649</v>
      </c>
      <c r="CB112" s="340">
        <f>'Perm Loan'!AX15</f>
        <v>2953.0083869938594</v>
      </c>
      <c r="CC112" s="340">
        <f>'Perm Loan'!AY15</f>
        <v>2967.7734289288283</v>
      </c>
      <c r="CD112" s="562">
        <f>'Perm Loan'!AZ15</f>
        <v>2944.8577100472262</v>
      </c>
      <c r="CE112" s="340">
        <f>'Perm Loan'!BA15</f>
        <v>2959.5819985974622</v>
      </c>
      <c r="CF112" s="340">
        <f>'Perm Loan'!BB15</f>
        <v>2974.3799085904498</v>
      </c>
      <c r="CG112" s="340">
        <f>'Perm Loan'!BC15</f>
        <v>2989.2518081334015</v>
      </c>
      <c r="CH112" s="340">
        <f>'Perm Loan'!BD15</f>
        <v>3004.1980671740689</v>
      </c>
      <c r="CI112" s="340">
        <f>'Perm Loan'!BE15</f>
        <v>3019.2190575099389</v>
      </c>
      <c r="CJ112" s="340">
        <f>'Perm Loan'!BF15</f>
        <v>3034.3151527974896</v>
      </c>
      <c r="CK112" s="340">
        <f>'Perm Loan'!BG15</f>
        <v>3049.4867285614764</v>
      </c>
      <c r="CL112" s="340">
        <f>'Perm Loan'!BH15</f>
        <v>3064.7341622042836</v>
      </c>
      <c r="CM112" s="340">
        <f>'Perm Loan'!BI15</f>
        <v>3080.0578330153048</v>
      </c>
      <c r="CN112" s="340">
        <f>'Perm Loan'!BJ15</f>
        <v>3095.4581221803819</v>
      </c>
      <c r="CO112" s="340">
        <f>'Perm Loan'!BK15</f>
        <v>3110.9354127912834</v>
      </c>
      <c r="CP112" s="562">
        <f>'Perm Loan'!BL15</f>
        <v>3059.6847460549138</v>
      </c>
      <c r="CQ112" s="340">
        <f>'Perm Loan'!BM15</f>
        <v>3074.9831697851887</v>
      </c>
      <c r="CR112" s="340">
        <f>'Perm Loan'!BN15</f>
        <v>3090.3580856341146</v>
      </c>
      <c r="CS112" s="340">
        <f>'Perm Loan'!BO15</f>
        <v>3105.8098760622856</v>
      </c>
      <c r="CT112" s="340">
        <f>'Perm Loan'!BP15</f>
        <v>3121.3389254425965</v>
      </c>
      <c r="CU112" s="340">
        <f>'Perm Loan'!BQ15</f>
        <v>3136.94562006981</v>
      </c>
      <c r="CV112" s="340">
        <f>'Perm Loan'!BR15</f>
        <v>3152.6303481701589</v>
      </c>
      <c r="CW112" s="340">
        <f>'Perm Loan'!BS15</f>
        <v>3168.3934999110097</v>
      </c>
      <c r="CX112" s="340">
        <f>'Perm Loan'!BT15</f>
        <v>3184.2354674105645</v>
      </c>
      <c r="CY112" s="340">
        <f>'Perm Loan'!BU15</f>
        <v>3200.1566447476175</v>
      </c>
      <c r="CZ112" s="340">
        <f>'Perm Loan'!BV15</f>
        <v>3216.1574279713554</v>
      </c>
      <c r="DA112" s="340">
        <f>'Perm Loan'!BW15</f>
        <v>3232.238215111212</v>
      </c>
      <c r="DB112" s="562">
        <f>'Perm Loan'!BX15</f>
        <v>3163.288504714626</v>
      </c>
      <c r="DC112" s="340">
        <f>'Perm Loan'!BY15</f>
        <v>3179.1049472381992</v>
      </c>
      <c r="DD112" s="340">
        <f>'Perm Loan'!BZ15</f>
        <v>3195.0004719743902</v>
      </c>
      <c r="DE112" s="340">
        <f>'Perm Loan'!CA15</f>
        <v>3210.9754743342614</v>
      </c>
      <c r="DF112" s="340">
        <f>'Perm Loan'!CB15</f>
        <v>3227.0303517059338</v>
      </c>
      <c r="DG112" s="340">
        <f>'Perm Loan'!CC15</f>
        <v>3243.1655034644627</v>
      </c>
      <c r="DH112" s="340">
        <f>'Perm Loan'!CD15</f>
        <v>3259.3813309817856</v>
      </c>
      <c r="DI112" s="340">
        <f>'Perm Loan'!CE15</f>
        <v>3275.6782376366941</v>
      </c>
      <c r="DJ112" s="340">
        <f>'Perm Loan'!CF15</f>
        <v>3292.0566288248783</v>
      </c>
      <c r="DK112" s="340">
        <f>'Perm Loan'!CG15</f>
        <v>3308.5169119690022</v>
      </c>
      <c r="DL112" s="340">
        <f>'Perm Loan'!CH15</f>
        <v>3325.0594965288465</v>
      </c>
      <c r="DM112" s="340">
        <f>'Perm Loan'!CI15</f>
        <v>3341.6847940114917</v>
      </c>
      <c r="DN112" s="340">
        <f>'Perm Loan'!CJ15</f>
        <v>3358.3932179815488</v>
      </c>
      <c r="DO112" s="340"/>
      <c r="DP112" s="340">
        <f>SUM(J112:DJ112)</f>
        <v>228302.96852291448</v>
      </c>
    </row>
    <row r="113" spans="3:120" x14ac:dyDescent="0.3">
      <c r="D113" s="331"/>
      <c r="E113" s="331"/>
      <c r="J113" s="340"/>
      <c r="K113" s="340"/>
      <c r="L113" s="340"/>
      <c r="M113" s="340"/>
      <c r="N113" s="340"/>
      <c r="O113" s="340"/>
      <c r="P113" s="340"/>
      <c r="Q113" s="340"/>
      <c r="R113" s="340"/>
      <c r="S113" s="340"/>
      <c r="T113" s="340"/>
      <c r="U113" s="340"/>
      <c r="V113" s="562"/>
      <c r="W113" s="340"/>
      <c r="X113" s="340"/>
      <c r="Y113" s="340"/>
      <c r="Z113" s="340"/>
      <c r="AA113" s="340"/>
      <c r="AB113" s="340"/>
      <c r="AC113" s="340"/>
      <c r="AD113" s="340"/>
      <c r="AE113" s="340"/>
      <c r="AF113" s="340"/>
      <c r="AG113" s="340"/>
      <c r="AH113" s="562"/>
      <c r="AI113" s="340"/>
      <c r="AJ113" s="340"/>
      <c r="AK113" s="340"/>
      <c r="AL113" s="340"/>
      <c r="AM113" s="340"/>
      <c r="AN113" s="340"/>
      <c r="AO113" s="340"/>
      <c r="AP113" s="340"/>
      <c r="AQ113" s="340"/>
      <c r="AR113" s="340"/>
      <c r="AS113" s="340"/>
      <c r="AT113" s="562"/>
      <c r="AU113" s="340"/>
      <c r="AV113" s="340"/>
      <c r="AW113" s="340"/>
      <c r="AX113" s="340"/>
      <c r="AY113" s="340"/>
      <c r="AZ113" s="340"/>
      <c r="BA113" s="340"/>
      <c r="BB113" s="340"/>
      <c r="BC113" s="340"/>
      <c r="BD113" s="340"/>
      <c r="BE113" s="340"/>
      <c r="BF113" s="562"/>
      <c r="BG113" s="340"/>
      <c r="BH113" s="340"/>
      <c r="BI113" s="340"/>
      <c r="BJ113" s="340"/>
      <c r="BK113" s="340"/>
      <c r="BL113" s="340"/>
      <c r="BM113" s="340"/>
      <c r="BN113" s="340"/>
      <c r="BO113" s="340"/>
      <c r="BP113" s="340"/>
      <c r="BQ113" s="340"/>
      <c r="BR113" s="562"/>
      <c r="BS113" s="340"/>
      <c r="BT113" s="340"/>
      <c r="BU113" s="340"/>
      <c r="BV113" s="340"/>
      <c r="BW113" s="340"/>
      <c r="BX113" s="340"/>
      <c r="BY113" s="340"/>
      <c r="BZ113" s="340"/>
      <c r="CA113" s="340"/>
      <c r="CB113" s="340"/>
      <c r="CC113" s="340"/>
      <c r="CD113" s="562"/>
      <c r="CE113" s="340"/>
      <c r="CF113" s="340"/>
      <c r="CG113" s="340"/>
      <c r="CH113" s="340"/>
      <c r="CI113" s="340"/>
      <c r="CJ113" s="340"/>
      <c r="CK113" s="340"/>
      <c r="CL113" s="340"/>
      <c r="CM113" s="340"/>
      <c r="CN113" s="340"/>
      <c r="CO113" s="340"/>
      <c r="CP113" s="562"/>
      <c r="CQ113" s="340"/>
      <c r="CR113" s="340"/>
      <c r="CS113" s="340"/>
      <c r="CT113" s="340"/>
      <c r="CU113" s="340"/>
      <c r="CV113" s="340"/>
      <c r="CW113" s="340"/>
      <c r="CX113" s="340"/>
      <c r="CY113" s="340"/>
      <c r="CZ113" s="340"/>
      <c r="DA113" s="340"/>
      <c r="DB113" s="562"/>
      <c r="DC113" s="340"/>
      <c r="DD113" s="340"/>
      <c r="DE113" s="340"/>
      <c r="DF113" s="340"/>
      <c r="DG113" s="340"/>
      <c r="DH113" s="340"/>
      <c r="DI113" s="340"/>
      <c r="DJ113" s="340"/>
      <c r="DK113" s="340"/>
      <c r="DL113" s="340"/>
      <c r="DM113" s="340"/>
      <c r="DN113" s="340"/>
      <c r="DO113" s="340"/>
      <c r="DP113" s="340"/>
    </row>
    <row r="114" spans="3:120" x14ac:dyDescent="0.3">
      <c r="C114" s="747" t="str">
        <f>'Table 3.0'!C142</f>
        <v xml:space="preserve">NET CASH FLOW </v>
      </c>
      <c r="D114" s="747"/>
      <c r="E114" s="747"/>
      <c r="F114" s="747"/>
      <c r="G114" s="747"/>
      <c r="H114" s="747"/>
      <c r="I114" s="747"/>
      <c r="J114" s="748"/>
      <c r="K114" s="748">
        <f t="shared" ref="K114:AP114" si="326">K93-K110-K112</f>
        <v>-308500.83333333331</v>
      </c>
      <c r="L114" s="748">
        <f t="shared" si="326"/>
        <v>-266274.83333333331</v>
      </c>
      <c r="M114" s="748">
        <f t="shared" si="326"/>
        <v>-212632.33333333334</v>
      </c>
      <c r="N114" s="748">
        <f t="shared" si="326"/>
        <v>-280819.58333333331</v>
      </c>
      <c r="O114" s="748">
        <f t="shared" si="326"/>
        <v>-253933.83333333334</v>
      </c>
      <c r="P114" s="748">
        <f t="shared" si="326"/>
        <v>-372062.05038194446</v>
      </c>
      <c r="Q114" s="748">
        <f t="shared" si="326"/>
        <v>-320311.54161413485</v>
      </c>
      <c r="R114" s="748">
        <f t="shared" si="326"/>
        <v>-678704.59131858009</v>
      </c>
      <c r="S114" s="748">
        <f t="shared" si="326"/>
        <v>-115563.91933318551</v>
      </c>
      <c r="T114" s="748">
        <f t="shared" si="326"/>
        <v>-158985.80036123988</v>
      </c>
      <c r="U114" s="748">
        <f t="shared" si="326"/>
        <v>-164599.43794743303</v>
      </c>
      <c r="V114" s="749">
        <f t="shared" si="326"/>
        <v>-144735.76683118354</v>
      </c>
      <c r="W114" s="748">
        <f t="shared" si="326"/>
        <v>-3339.6733185970879</v>
      </c>
      <c r="X114" s="748">
        <f t="shared" si="326"/>
        <v>-1040.0523990359725</v>
      </c>
      <c r="Y114" s="748">
        <f t="shared" si="326"/>
        <v>2364.1738528049827</v>
      </c>
      <c r="Z114" s="748">
        <f t="shared" si="326"/>
        <v>2382.890229139688</v>
      </c>
      <c r="AA114" s="748">
        <f t="shared" si="326"/>
        <v>423.92477678705109</v>
      </c>
      <c r="AB114" s="748">
        <f t="shared" si="326"/>
        <v>-464.14915206338628</v>
      </c>
      <c r="AC114" s="748">
        <f t="shared" si="326"/>
        <v>-3880.2836661838883</v>
      </c>
      <c r="AD114" s="748">
        <f t="shared" si="326"/>
        <v>-6237.062578541183</v>
      </c>
      <c r="AE114" s="748">
        <f t="shared" si="326"/>
        <v>-59785.699323954643</v>
      </c>
      <c r="AF114" s="748">
        <f t="shared" si="326"/>
        <v>-11258.602776935943</v>
      </c>
      <c r="AG114" s="748">
        <f t="shared" si="326"/>
        <v>-6848.8733822533468</v>
      </c>
      <c r="AH114" s="749">
        <f t="shared" si="326"/>
        <v>-37081.663629862851</v>
      </c>
      <c r="AI114" s="748">
        <f t="shared" si="326"/>
        <v>902.56575361384284</v>
      </c>
      <c r="AJ114" s="748">
        <f t="shared" si="326"/>
        <v>3320.1610658299473</v>
      </c>
      <c r="AK114" s="748">
        <f t="shared" si="326"/>
        <v>6843.2956742677652</v>
      </c>
      <c r="AL114" s="748">
        <f t="shared" si="326"/>
        <v>6897.4717650223847</v>
      </c>
      <c r="AM114" s="748">
        <f t="shared" si="326"/>
        <v>4932.0517498288136</v>
      </c>
      <c r="AN114" s="748">
        <f t="shared" si="326"/>
        <v>4037.4721595149567</v>
      </c>
      <c r="AO114" s="748">
        <f t="shared" si="326"/>
        <v>572.58548077778278</v>
      </c>
      <c r="AP114" s="748">
        <f t="shared" si="326"/>
        <v>-1833.3315508327323</v>
      </c>
      <c r="AQ114" s="748">
        <f t="shared" ref="AQ114:BV114" si="327">AQ93-AQ110-AQ112</f>
        <v>-61390.495425610163</v>
      </c>
      <c r="AR114" s="748">
        <f t="shared" si="327"/>
        <v>-6917.1035143962408</v>
      </c>
      <c r="AS114" s="748">
        <f t="shared" si="327"/>
        <v>-2388.6139172185417</v>
      </c>
      <c r="AT114" s="749">
        <f t="shared" si="327"/>
        <v>-6714.9317293794338</v>
      </c>
      <c r="AU114" s="748">
        <f t="shared" si="327"/>
        <v>1174.0407277629852</v>
      </c>
      <c r="AV114" s="748">
        <f t="shared" si="327"/>
        <v>3678.1752168577796</v>
      </c>
      <c r="AW114" s="748">
        <f t="shared" si="327"/>
        <v>7288.5341039912364</v>
      </c>
      <c r="AX114" s="748">
        <f t="shared" si="327"/>
        <v>7346.2349989811673</v>
      </c>
      <c r="AY114" s="748">
        <f t="shared" si="327"/>
        <v>5342.1726927230993</v>
      </c>
      <c r="AZ114" s="748">
        <f t="shared" si="327"/>
        <v>4408.6448932071562</v>
      </c>
      <c r="BA114" s="748">
        <f t="shared" si="327"/>
        <v>862.30666527838184</v>
      </c>
      <c r="BB114" s="748">
        <f t="shared" si="327"/>
        <v>-1625.706740288168</v>
      </c>
      <c r="BC114" s="748">
        <f t="shared" si="327"/>
        <v>-67928.03691864881</v>
      </c>
      <c r="BD114" s="748">
        <f t="shared" si="327"/>
        <v>-6300.7805442547506</v>
      </c>
      <c r="BE114" s="748">
        <f t="shared" si="327"/>
        <v>-2226.221723563438</v>
      </c>
      <c r="BF114" s="749">
        <f t="shared" si="327"/>
        <v>-1268.0259788749759</v>
      </c>
      <c r="BG114" s="748">
        <f t="shared" si="327"/>
        <v>1393.9024021255909</v>
      </c>
      <c r="BH114" s="748">
        <f t="shared" si="327"/>
        <v>3984.1674628090886</v>
      </c>
      <c r="BI114" s="748">
        <f t="shared" si="327"/>
        <v>7681.3387885563261</v>
      </c>
      <c r="BJ114" s="748">
        <f t="shared" si="327"/>
        <v>7742.1493872990595</v>
      </c>
      <c r="BK114" s="748">
        <f t="shared" si="327"/>
        <v>5699.0264032818432</v>
      </c>
      <c r="BL114" s="748">
        <f t="shared" si="327"/>
        <v>4726.1286956411623</v>
      </c>
      <c r="BM114" s="748">
        <f t="shared" si="327"/>
        <v>1097.9138811483208</v>
      </c>
      <c r="BN114" s="748">
        <f t="shared" si="327"/>
        <v>-1472.6243006259219</v>
      </c>
      <c r="BO114" s="748">
        <f t="shared" si="327"/>
        <v>-75307.216976339245</v>
      </c>
      <c r="BP114" s="748">
        <f t="shared" si="327"/>
        <v>-6832.4947107352309</v>
      </c>
      <c r="BQ114" s="748">
        <f t="shared" si="327"/>
        <v>-2134.5552938618821</v>
      </c>
      <c r="BR114" s="749">
        <f t="shared" si="327"/>
        <v>-1109.7313591549546</v>
      </c>
      <c r="BS114" s="748">
        <f t="shared" si="327"/>
        <v>1660.5972951850767</v>
      </c>
      <c r="BT114" s="748">
        <f t="shared" si="327"/>
        <v>4337.3636904386221</v>
      </c>
      <c r="BU114" s="748">
        <f t="shared" si="327"/>
        <v>8121.7211529879351</v>
      </c>
      <c r="BV114" s="748">
        <f t="shared" si="327"/>
        <v>8186.018112115753</v>
      </c>
      <c r="BW114" s="748">
        <f t="shared" ref="BW114:DB114" si="328">BW93-BW110-BW112</f>
        <v>6104.2140888366703</v>
      </c>
      <c r="BX114" s="748">
        <f t="shared" si="328"/>
        <v>5092.3291170399534</v>
      </c>
      <c r="BY114" s="748">
        <f t="shared" si="328"/>
        <v>1382.6233892165224</v>
      </c>
      <c r="BZ114" s="748">
        <f t="shared" si="328"/>
        <v>-1270.050842285515</v>
      </c>
      <c r="CA114" s="748">
        <f t="shared" si="328"/>
        <v>-83674.629072786993</v>
      </c>
      <c r="CB114" s="748">
        <f t="shared" si="328"/>
        <v>-6937.2828916131675</v>
      </c>
      <c r="CC114" s="748">
        <f t="shared" si="328"/>
        <v>-2155.7830478384431</v>
      </c>
      <c r="CD114" s="749">
        <f t="shared" si="328"/>
        <v>-1074.8850776075756</v>
      </c>
      <c r="CE114" s="748">
        <f t="shared" si="328"/>
        <v>1751.8151139560223</v>
      </c>
      <c r="CF114" s="748">
        <f t="shared" si="328"/>
        <v>4513.6936502748322</v>
      </c>
      <c r="CG114" s="748">
        <f t="shared" si="328"/>
        <v>8383.8370583395154</v>
      </c>
      <c r="CH114" s="748">
        <f t="shared" si="328"/>
        <v>8450.2091017180337</v>
      </c>
      <c r="CI114" s="748">
        <f t="shared" si="328"/>
        <v>6328.3015904399708</v>
      </c>
      <c r="CJ114" s="748">
        <f t="shared" si="328"/>
        <v>5275.995644697623</v>
      </c>
      <c r="CK114" s="748">
        <f t="shared" si="328"/>
        <v>1483.353943551474</v>
      </c>
      <c r="CL114" s="748">
        <f t="shared" si="328"/>
        <v>-1252.9128377287448</v>
      </c>
      <c r="CM114" s="748">
        <f t="shared" si="328"/>
        <v>-93133.722438387456</v>
      </c>
      <c r="CN114" s="748">
        <f t="shared" si="328"/>
        <v>-7158.4503669979931</v>
      </c>
      <c r="CO114" s="748">
        <f t="shared" si="328"/>
        <v>-2294.3114324033982</v>
      </c>
      <c r="CP114" s="749">
        <f t="shared" si="328"/>
        <v>-1143.26438744293</v>
      </c>
      <c r="CQ114" s="748">
        <f t="shared" si="328"/>
        <v>1787.9071588706674</v>
      </c>
      <c r="CR114" s="748">
        <f t="shared" si="328"/>
        <v>4634.4614238783906</v>
      </c>
      <c r="CS114" s="748">
        <f t="shared" si="328"/>
        <v>8589.950910150761</v>
      </c>
      <c r="CT114" s="748">
        <f t="shared" si="328"/>
        <v>8657.954688189453</v>
      </c>
      <c r="CU114" s="748">
        <f t="shared" si="328"/>
        <v>6495.4968294709561</v>
      </c>
      <c r="CV114" s="748">
        <f t="shared" si="328"/>
        <v>5402.3195127042591</v>
      </c>
      <c r="CW114" s="748">
        <f t="shared" si="328"/>
        <v>1526.2878755131751</v>
      </c>
      <c r="CX114" s="748">
        <f t="shared" si="328"/>
        <v>-1294.0290121390117</v>
      </c>
      <c r="CY114" s="748">
        <f t="shared" si="328"/>
        <v>-103831.16366806172</v>
      </c>
      <c r="CZ114" s="748">
        <f t="shared" si="328"/>
        <v>-7527.3034541906036</v>
      </c>
      <c r="DA114" s="748">
        <f t="shared" si="328"/>
        <v>-2581.6946065362804</v>
      </c>
      <c r="DB114" s="749">
        <f t="shared" si="328"/>
        <v>-1372.4221206992111</v>
      </c>
      <c r="DC114" s="748">
        <f t="shared" ref="DC114:DN114" si="329">DC93-DC110-DC112</f>
        <v>1610.8324819075069</v>
      </c>
      <c r="DD114" s="748">
        <f t="shared" si="329"/>
        <v>4540.3749057226069</v>
      </c>
      <c r="DE114" s="748">
        <f t="shared" si="329"/>
        <v>8579.5095403929099</v>
      </c>
      <c r="DF114" s="748">
        <f t="shared" si="329"/>
        <v>8647.4306575876872</v>
      </c>
      <c r="DG114" s="748">
        <f t="shared" si="329"/>
        <v>6442.6944836269304</v>
      </c>
      <c r="DH114" s="748">
        <f t="shared" si="329"/>
        <v>5306.9041482889734</v>
      </c>
      <c r="DI114" s="748">
        <f t="shared" si="329"/>
        <v>1345.7271394629311</v>
      </c>
      <c r="DJ114" s="748">
        <f t="shared" si="329"/>
        <v>-1560.4091873496627</v>
      </c>
      <c r="DK114" s="748">
        <f t="shared" si="329"/>
        <v>-94539.20967695702</v>
      </c>
      <c r="DL114" s="748">
        <f t="shared" si="329"/>
        <v>14214.195483275587</v>
      </c>
      <c r="DM114" s="748">
        <f t="shared" si="329"/>
        <v>19287.160185792938</v>
      </c>
      <c r="DN114" s="748">
        <f t="shared" si="329"/>
        <v>20457.246761822887</v>
      </c>
      <c r="DO114" s="748"/>
      <c r="DP114" s="748"/>
    </row>
    <row r="115" spans="3:120" x14ac:dyDescent="0.3">
      <c r="D115" s="331"/>
      <c r="E115" s="331"/>
      <c r="J115" s="340"/>
      <c r="K115" s="340"/>
      <c r="L115" s="340"/>
      <c r="M115" s="340"/>
      <c r="N115" s="340"/>
      <c r="O115" s="340"/>
      <c r="P115" s="340"/>
      <c r="Q115" s="340"/>
      <c r="R115" s="340"/>
      <c r="S115" s="340"/>
      <c r="T115" s="340"/>
      <c r="U115" s="340"/>
      <c r="V115" s="562"/>
      <c r="W115" s="340"/>
      <c r="X115" s="340"/>
      <c r="Y115" s="340"/>
      <c r="Z115" s="340"/>
      <c r="AA115" s="340"/>
      <c r="AB115" s="340"/>
      <c r="AC115" s="340"/>
      <c r="AD115" s="340"/>
      <c r="AE115" s="340"/>
      <c r="AF115" s="340"/>
      <c r="AG115" s="340"/>
      <c r="AH115" s="562"/>
      <c r="AI115" s="340"/>
      <c r="AJ115" s="340"/>
      <c r="AK115" s="340"/>
      <c r="AL115" s="340"/>
      <c r="AM115" s="340"/>
      <c r="AN115" s="340"/>
      <c r="AO115" s="340"/>
      <c r="AP115" s="340"/>
      <c r="AQ115" s="340"/>
      <c r="AR115" s="340"/>
      <c r="AS115" s="340"/>
      <c r="AT115" s="562"/>
      <c r="AU115" s="340"/>
      <c r="AV115" s="340"/>
      <c r="AW115" s="340"/>
      <c r="AX115" s="340"/>
      <c r="AY115" s="340"/>
      <c r="AZ115" s="340"/>
      <c r="BA115" s="340"/>
      <c r="BB115" s="340"/>
      <c r="BC115" s="340"/>
      <c r="BD115" s="340"/>
      <c r="BE115" s="340"/>
      <c r="BF115" s="562"/>
      <c r="BG115" s="340"/>
      <c r="BH115" s="340"/>
      <c r="BI115" s="340"/>
      <c r="BJ115" s="340"/>
      <c r="BK115" s="340"/>
      <c r="BL115" s="340"/>
      <c r="BM115" s="340"/>
      <c r="BN115" s="340"/>
      <c r="BO115" s="340"/>
      <c r="BP115" s="340"/>
      <c r="BQ115" s="340"/>
      <c r="BR115" s="562"/>
      <c r="BS115" s="340"/>
      <c r="BT115" s="340"/>
      <c r="BU115" s="340"/>
      <c r="BV115" s="340"/>
      <c r="BW115" s="340"/>
      <c r="BX115" s="340"/>
      <c r="BY115" s="340"/>
      <c r="BZ115" s="340"/>
      <c r="CA115" s="340"/>
      <c r="CB115" s="340"/>
      <c r="CC115" s="340"/>
      <c r="CD115" s="562"/>
      <c r="CE115" s="340"/>
      <c r="CF115" s="340"/>
      <c r="CG115" s="340"/>
      <c r="CH115" s="340"/>
      <c r="CI115" s="340"/>
      <c r="CJ115" s="340"/>
      <c r="CK115" s="340"/>
      <c r="CL115" s="340"/>
      <c r="CM115" s="340"/>
      <c r="CN115" s="340"/>
      <c r="CO115" s="340"/>
      <c r="CP115" s="562"/>
      <c r="CQ115" s="340"/>
      <c r="CR115" s="340"/>
      <c r="CS115" s="340"/>
      <c r="CT115" s="340"/>
      <c r="CU115" s="340"/>
      <c r="CV115" s="340"/>
      <c r="CW115" s="340"/>
      <c r="CX115" s="340"/>
      <c r="CY115" s="340"/>
      <c r="CZ115" s="340"/>
      <c r="DA115" s="340"/>
      <c r="DB115" s="562"/>
      <c r="DC115" s="340"/>
      <c r="DD115" s="340"/>
      <c r="DE115" s="340"/>
      <c r="DF115" s="340"/>
      <c r="DG115" s="340"/>
      <c r="DH115" s="340"/>
      <c r="DI115" s="340"/>
      <c r="DJ115" s="340"/>
      <c r="DK115" s="340"/>
      <c r="DL115" s="340"/>
      <c r="DM115" s="340"/>
      <c r="DN115" s="340"/>
      <c r="DO115" s="340"/>
      <c r="DP115" s="340"/>
    </row>
    <row r="116" spans="3:120" x14ac:dyDescent="0.3">
      <c r="C116" s="331" t="str">
        <f>'Table 3.0'!C144</f>
        <v>CASH FLOW FROM OPERATING &amp; DEVELOPMENT ACTIVITIES</v>
      </c>
      <c r="J116" s="340"/>
      <c r="K116" s="340">
        <f t="shared" ref="K116:BG116" si="330">K114</f>
        <v>-308500.83333333331</v>
      </c>
      <c r="L116" s="340">
        <f t="shared" si="330"/>
        <v>-266274.83333333331</v>
      </c>
      <c r="M116" s="340">
        <f t="shared" si="330"/>
        <v>-212632.33333333334</v>
      </c>
      <c r="N116" s="340">
        <f t="shared" si="330"/>
        <v>-280819.58333333331</v>
      </c>
      <c r="O116" s="340">
        <f t="shared" si="330"/>
        <v>-253933.83333333334</v>
      </c>
      <c r="P116" s="340">
        <f t="shared" si="330"/>
        <v>-372062.05038194446</v>
      </c>
      <c r="Q116" s="340">
        <f t="shared" si="330"/>
        <v>-320311.54161413485</v>
      </c>
      <c r="R116" s="340">
        <f t="shared" si="330"/>
        <v>-678704.59131858009</v>
      </c>
      <c r="S116" s="340">
        <f t="shared" si="330"/>
        <v>-115563.91933318551</v>
      </c>
      <c r="T116" s="340">
        <f t="shared" si="330"/>
        <v>-158985.80036123988</v>
      </c>
      <c r="U116" s="340">
        <f t="shared" si="330"/>
        <v>-164599.43794743303</v>
      </c>
      <c r="V116" s="562">
        <f t="shared" si="330"/>
        <v>-144735.76683118354</v>
      </c>
      <c r="W116" s="340">
        <f t="shared" si="330"/>
        <v>-3339.6733185970879</v>
      </c>
      <c r="X116" s="340">
        <f t="shared" si="330"/>
        <v>-1040.0523990359725</v>
      </c>
      <c r="Y116" s="340">
        <f t="shared" si="330"/>
        <v>2364.1738528049827</v>
      </c>
      <c r="Z116" s="340">
        <f t="shared" si="330"/>
        <v>2382.890229139688</v>
      </c>
      <c r="AA116" s="340">
        <f t="shared" si="330"/>
        <v>423.92477678705109</v>
      </c>
      <c r="AB116" s="340">
        <f t="shared" si="330"/>
        <v>-464.14915206338628</v>
      </c>
      <c r="AC116" s="340">
        <f t="shared" si="330"/>
        <v>-3880.2836661838883</v>
      </c>
      <c r="AD116" s="340">
        <f t="shared" si="330"/>
        <v>-6237.062578541183</v>
      </c>
      <c r="AE116" s="340">
        <f t="shared" si="330"/>
        <v>-59785.699323954643</v>
      </c>
      <c r="AF116" s="340">
        <f t="shared" si="330"/>
        <v>-11258.602776935943</v>
      </c>
      <c r="AG116" s="340">
        <f t="shared" si="330"/>
        <v>-6848.8733822533468</v>
      </c>
      <c r="AH116" s="562">
        <f t="shared" si="330"/>
        <v>-37081.663629862851</v>
      </c>
      <c r="AI116" s="340">
        <f t="shared" si="330"/>
        <v>902.56575361384284</v>
      </c>
      <c r="AJ116" s="340">
        <f t="shared" si="330"/>
        <v>3320.1610658299473</v>
      </c>
      <c r="AK116" s="340">
        <f t="shared" si="330"/>
        <v>6843.2956742677652</v>
      </c>
      <c r="AL116" s="340">
        <f t="shared" si="330"/>
        <v>6897.4717650223847</v>
      </c>
      <c r="AM116" s="340">
        <f t="shared" si="330"/>
        <v>4932.0517498288136</v>
      </c>
      <c r="AN116" s="340">
        <f t="shared" si="330"/>
        <v>4037.4721595149567</v>
      </c>
      <c r="AO116" s="340">
        <f t="shared" si="330"/>
        <v>572.58548077778278</v>
      </c>
      <c r="AP116" s="340">
        <f t="shared" si="330"/>
        <v>-1833.3315508327323</v>
      </c>
      <c r="AQ116" s="340">
        <f t="shared" si="330"/>
        <v>-61390.495425610163</v>
      </c>
      <c r="AR116" s="340">
        <f t="shared" si="330"/>
        <v>-6917.1035143962408</v>
      </c>
      <c r="AS116" s="340">
        <f t="shared" si="330"/>
        <v>-2388.6139172185417</v>
      </c>
      <c r="AT116" s="562">
        <f t="shared" si="330"/>
        <v>-6714.9317293794338</v>
      </c>
      <c r="AU116" s="340">
        <f t="shared" si="330"/>
        <v>1174.0407277629852</v>
      </c>
      <c r="AV116" s="340">
        <f t="shared" si="330"/>
        <v>3678.1752168577796</v>
      </c>
      <c r="AW116" s="340">
        <f t="shared" si="330"/>
        <v>7288.5341039912364</v>
      </c>
      <c r="AX116" s="340">
        <f t="shared" si="330"/>
        <v>7346.2349989811673</v>
      </c>
      <c r="AY116" s="340">
        <f t="shared" si="330"/>
        <v>5342.1726927230993</v>
      </c>
      <c r="AZ116" s="340">
        <f t="shared" si="330"/>
        <v>4408.6448932071562</v>
      </c>
      <c r="BA116" s="340">
        <f t="shared" si="330"/>
        <v>862.30666527838184</v>
      </c>
      <c r="BB116" s="340">
        <f t="shared" si="330"/>
        <v>-1625.706740288168</v>
      </c>
      <c r="BC116" s="340">
        <f t="shared" si="330"/>
        <v>-67928.03691864881</v>
      </c>
      <c r="BD116" s="340">
        <f t="shared" si="330"/>
        <v>-6300.7805442547506</v>
      </c>
      <c r="BE116" s="340">
        <f t="shared" si="330"/>
        <v>-2226.221723563438</v>
      </c>
      <c r="BF116" s="562">
        <f t="shared" si="330"/>
        <v>-1268.0259788749759</v>
      </c>
      <c r="BG116" s="340">
        <f t="shared" si="330"/>
        <v>1393.9024021255909</v>
      </c>
      <c r="BH116" s="340">
        <f t="shared" ref="BH116:DN116" si="331">BH114</f>
        <v>3984.1674628090886</v>
      </c>
      <c r="BI116" s="340">
        <f t="shared" si="331"/>
        <v>7681.3387885563261</v>
      </c>
      <c r="BJ116" s="340">
        <f t="shared" si="331"/>
        <v>7742.1493872990595</v>
      </c>
      <c r="BK116" s="340">
        <f t="shared" si="331"/>
        <v>5699.0264032818432</v>
      </c>
      <c r="BL116" s="340">
        <f t="shared" si="331"/>
        <v>4726.1286956411623</v>
      </c>
      <c r="BM116" s="340">
        <f t="shared" si="331"/>
        <v>1097.9138811483208</v>
      </c>
      <c r="BN116" s="340">
        <f t="shared" si="331"/>
        <v>-1472.6243006259219</v>
      </c>
      <c r="BO116" s="340">
        <f t="shared" si="331"/>
        <v>-75307.216976339245</v>
      </c>
      <c r="BP116" s="340">
        <f t="shared" si="331"/>
        <v>-6832.4947107352309</v>
      </c>
      <c r="BQ116" s="340">
        <f t="shared" si="331"/>
        <v>-2134.5552938618821</v>
      </c>
      <c r="BR116" s="562">
        <f t="shared" si="331"/>
        <v>-1109.7313591549546</v>
      </c>
      <c r="BS116" s="340">
        <f t="shared" si="331"/>
        <v>1660.5972951850767</v>
      </c>
      <c r="BT116" s="340">
        <f t="shared" si="331"/>
        <v>4337.3636904386221</v>
      </c>
      <c r="BU116" s="340">
        <f t="shared" si="331"/>
        <v>8121.7211529879351</v>
      </c>
      <c r="BV116" s="340">
        <f t="shared" si="331"/>
        <v>8186.018112115753</v>
      </c>
      <c r="BW116" s="340">
        <f t="shared" si="331"/>
        <v>6104.2140888366703</v>
      </c>
      <c r="BX116" s="340">
        <f t="shared" si="331"/>
        <v>5092.3291170399534</v>
      </c>
      <c r="BY116" s="340">
        <f t="shared" si="331"/>
        <v>1382.6233892165224</v>
      </c>
      <c r="BZ116" s="340">
        <f t="shared" si="331"/>
        <v>-1270.050842285515</v>
      </c>
      <c r="CA116" s="340">
        <f t="shared" si="331"/>
        <v>-83674.629072786993</v>
      </c>
      <c r="CB116" s="340">
        <f t="shared" si="331"/>
        <v>-6937.2828916131675</v>
      </c>
      <c r="CC116" s="340">
        <f t="shared" si="331"/>
        <v>-2155.7830478384431</v>
      </c>
      <c r="CD116" s="562">
        <f t="shared" si="331"/>
        <v>-1074.8850776075756</v>
      </c>
      <c r="CE116" s="340">
        <f t="shared" si="331"/>
        <v>1751.8151139560223</v>
      </c>
      <c r="CF116" s="340">
        <f t="shared" si="331"/>
        <v>4513.6936502748322</v>
      </c>
      <c r="CG116" s="340">
        <f t="shared" si="331"/>
        <v>8383.8370583395154</v>
      </c>
      <c r="CH116" s="340">
        <f t="shared" si="331"/>
        <v>8450.2091017180337</v>
      </c>
      <c r="CI116" s="340">
        <f t="shared" si="331"/>
        <v>6328.3015904399708</v>
      </c>
      <c r="CJ116" s="340">
        <f t="shared" si="331"/>
        <v>5275.995644697623</v>
      </c>
      <c r="CK116" s="340">
        <f t="shared" si="331"/>
        <v>1483.353943551474</v>
      </c>
      <c r="CL116" s="340">
        <f t="shared" si="331"/>
        <v>-1252.9128377287448</v>
      </c>
      <c r="CM116" s="340">
        <f t="shared" si="331"/>
        <v>-93133.722438387456</v>
      </c>
      <c r="CN116" s="340">
        <f t="shared" si="331"/>
        <v>-7158.4503669979931</v>
      </c>
      <c r="CO116" s="340">
        <f t="shared" si="331"/>
        <v>-2294.3114324033982</v>
      </c>
      <c r="CP116" s="562">
        <f t="shared" si="331"/>
        <v>-1143.26438744293</v>
      </c>
      <c r="CQ116" s="340">
        <f t="shared" si="331"/>
        <v>1787.9071588706674</v>
      </c>
      <c r="CR116" s="340">
        <f t="shared" si="331"/>
        <v>4634.4614238783906</v>
      </c>
      <c r="CS116" s="340">
        <f t="shared" si="331"/>
        <v>8589.950910150761</v>
      </c>
      <c r="CT116" s="340">
        <f t="shared" si="331"/>
        <v>8657.954688189453</v>
      </c>
      <c r="CU116" s="340">
        <f t="shared" si="331"/>
        <v>6495.4968294709561</v>
      </c>
      <c r="CV116" s="340">
        <f t="shared" si="331"/>
        <v>5402.3195127042591</v>
      </c>
      <c r="CW116" s="340">
        <f t="shared" si="331"/>
        <v>1526.2878755131751</v>
      </c>
      <c r="CX116" s="340">
        <f t="shared" si="331"/>
        <v>-1294.0290121390117</v>
      </c>
      <c r="CY116" s="340">
        <f t="shared" si="331"/>
        <v>-103831.16366806172</v>
      </c>
      <c r="CZ116" s="340">
        <f t="shared" si="331"/>
        <v>-7527.3034541906036</v>
      </c>
      <c r="DA116" s="340">
        <f t="shared" si="331"/>
        <v>-2581.6946065362804</v>
      </c>
      <c r="DB116" s="562">
        <f t="shared" si="331"/>
        <v>-1372.4221206992111</v>
      </c>
      <c r="DC116" s="340">
        <f t="shared" si="331"/>
        <v>1610.8324819075069</v>
      </c>
      <c r="DD116" s="340">
        <f t="shared" si="331"/>
        <v>4540.3749057226069</v>
      </c>
      <c r="DE116" s="340">
        <f t="shared" si="331"/>
        <v>8579.5095403929099</v>
      </c>
      <c r="DF116" s="340">
        <f t="shared" si="331"/>
        <v>8647.4306575876872</v>
      </c>
      <c r="DG116" s="340">
        <f t="shared" si="331"/>
        <v>6442.6944836269304</v>
      </c>
      <c r="DH116" s="340">
        <f t="shared" si="331"/>
        <v>5306.9041482889734</v>
      </c>
      <c r="DI116" s="340">
        <f t="shared" si="331"/>
        <v>1345.7271394629311</v>
      </c>
      <c r="DJ116" s="340">
        <f t="shared" si="331"/>
        <v>-1560.4091873496627</v>
      </c>
      <c r="DK116" s="340">
        <f t="shared" si="331"/>
        <v>-94539.20967695702</v>
      </c>
      <c r="DL116" s="340">
        <f t="shared" si="331"/>
        <v>14214.195483275587</v>
      </c>
      <c r="DM116" s="340">
        <f t="shared" si="331"/>
        <v>19287.160185792938</v>
      </c>
      <c r="DN116" s="340">
        <f t="shared" si="331"/>
        <v>20457.246761822887</v>
      </c>
      <c r="DO116" s="340"/>
      <c r="DP116" s="340">
        <f>SUM(J116:DJ116)</f>
        <v>-3731031.516277832</v>
      </c>
    </row>
    <row r="117" spans="3:120" x14ac:dyDescent="0.3">
      <c r="D117" s="331" t="str">
        <f>'Table 3.0'!D145</f>
        <v>Allocation of Working Capital</v>
      </c>
      <c r="J117" s="340"/>
      <c r="K117" s="340">
        <f>ABS(K116)</f>
        <v>308500.83333333331</v>
      </c>
      <c r="L117" s="340">
        <f>Balances!J44</f>
        <v>266274.83333333331</v>
      </c>
      <c r="M117" s="340">
        <f>Balances!K44</f>
        <v>212632.33333333334</v>
      </c>
      <c r="N117" s="340">
        <f>Balances!L44</f>
        <v>280819.58333333331</v>
      </c>
      <c r="O117" s="340">
        <f>Balances!M44</f>
        <v>172906.4166666668</v>
      </c>
      <c r="P117" s="340">
        <f>Balances!N44</f>
        <v>0</v>
      </c>
      <c r="Q117" s="340">
        <f>Balances!O44</f>
        <v>0</v>
      </c>
      <c r="R117" s="340">
        <f>Balances!P44</f>
        <v>0</v>
      </c>
      <c r="S117" s="340">
        <f>Balances!Q44</f>
        <v>0</v>
      </c>
      <c r="T117" s="340">
        <f>Balances!R44</f>
        <v>0</v>
      </c>
      <c r="U117" s="340">
        <f>Balances!S44</f>
        <v>0</v>
      </c>
      <c r="V117" s="562">
        <f>Balances!T44</f>
        <v>0</v>
      </c>
      <c r="W117" s="340">
        <f>Balances!U44</f>
        <v>0</v>
      </c>
      <c r="X117" s="340">
        <f>Balances!V44</f>
        <v>0</v>
      </c>
      <c r="Y117" s="340">
        <f>Balances!W44</f>
        <v>0</v>
      </c>
      <c r="Z117" s="340">
        <f>Balances!X44</f>
        <v>0</v>
      </c>
      <c r="AA117" s="340">
        <f>Balances!Y44</f>
        <v>0</v>
      </c>
      <c r="AB117" s="340">
        <f>Balances!Z44</f>
        <v>0</v>
      </c>
      <c r="AC117" s="340">
        <f>Balances!AA44</f>
        <v>0</v>
      </c>
      <c r="AD117" s="340">
        <f>Balances!AB44</f>
        <v>0</v>
      </c>
      <c r="AE117" s="340">
        <f>Balances!AC44</f>
        <v>0</v>
      </c>
      <c r="AF117" s="340">
        <f>Balances!AD44</f>
        <v>0</v>
      </c>
      <c r="AG117" s="340">
        <f>Balances!AE44</f>
        <v>0</v>
      </c>
      <c r="AH117" s="562">
        <f>Balances!AF44</f>
        <v>0</v>
      </c>
      <c r="AI117" s="340">
        <f>Balances!AG44</f>
        <v>0</v>
      </c>
      <c r="AJ117" s="340">
        <f>Balances!AH44</f>
        <v>0</v>
      </c>
      <c r="AK117" s="340">
        <f>Balances!AI44</f>
        <v>0</v>
      </c>
      <c r="AL117" s="340">
        <f>Balances!AJ44</f>
        <v>0</v>
      </c>
      <c r="AM117" s="340">
        <f>Balances!AK44</f>
        <v>0</v>
      </c>
      <c r="AN117" s="340">
        <f>Balances!AL44</f>
        <v>0</v>
      </c>
      <c r="AO117" s="340">
        <f>Balances!AM44</f>
        <v>0</v>
      </c>
      <c r="AP117" s="340">
        <f>Balances!AN44</f>
        <v>0</v>
      </c>
      <c r="AQ117" s="340">
        <f>Balances!AO44</f>
        <v>0</v>
      </c>
      <c r="AR117" s="340">
        <f>Balances!AP44</f>
        <v>0</v>
      </c>
      <c r="AS117" s="340">
        <f>Balances!AQ44</f>
        <v>0</v>
      </c>
      <c r="AT117" s="562">
        <f>Balances!AR44</f>
        <v>0</v>
      </c>
      <c r="AU117" s="340">
        <f>Balances!AS44</f>
        <v>0</v>
      </c>
      <c r="AV117" s="340">
        <f>Balances!AT44</f>
        <v>0</v>
      </c>
      <c r="AW117" s="340">
        <f>Balances!AU44</f>
        <v>0</v>
      </c>
      <c r="AX117" s="340">
        <f>Balances!AV44</f>
        <v>0</v>
      </c>
      <c r="AY117" s="340">
        <f>Balances!AW44</f>
        <v>0</v>
      </c>
      <c r="AZ117" s="340">
        <f>Balances!AX44</f>
        <v>0</v>
      </c>
      <c r="BA117" s="340">
        <f>Balances!AY44</f>
        <v>0</v>
      </c>
      <c r="BB117" s="340">
        <f>Balances!AZ44</f>
        <v>0</v>
      </c>
      <c r="BC117" s="340">
        <f>Balances!BA44</f>
        <v>0</v>
      </c>
      <c r="BD117" s="340">
        <f>Balances!BB44</f>
        <v>0</v>
      </c>
      <c r="BE117" s="340">
        <f>Balances!BC44</f>
        <v>0</v>
      </c>
      <c r="BF117" s="562">
        <f>Balances!BD44</f>
        <v>0</v>
      </c>
      <c r="BG117" s="340">
        <f>Balances!BE44</f>
        <v>0</v>
      </c>
      <c r="BH117" s="340">
        <f>Balances!BF44</f>
        <v>0</v>
      </c>
      <c r="BI117" s="340">
        <f>Balances!BG44</f>
        <v>0</v>
      </c>
      <c r="BJ117" s="340">
        <f>Balances!BH44</f>
        <v>0</v>
      </c>
      <c r="BK117" s="340">
        <f>Balances!BI44</f>
        <v>0</v>
      </c>
      <c r="BL117" s="340">
        <f>Balances!BJ44</f>
        <v>0</v>
      </c>
      <c r="BM117" s="340">
        <f>Balances!BK44</f>
        <v>0</v>
      </c>
      <c r="BN117" s="340">
        <f>Balances!BL44</f>
        <v>0</v>
      </c>
      <c r="BO117" s="340">
        <f>Balances!BM44</f>
        <v>0</v>
      </c>
      <c r="BP117" s="340">
        <f>Balances!BN44</f>
        <v>0</v>
      </c>
      <c r="BQ117" s="340">
        <f>Balances!BO44</f>
        <v>0</v>
      </c>
      <c r="BR117" s="562">
        <f>Balances!BP44</f>
        <v>0</v>
      </c>
      <c r="BS117" s="340">
        <f>Balances!BQ44</f>
        <v>0</v>
      </c>
      <c r="BT117" s="340">
        <f>Balances!BR44</f>
        <v>0</v>
      </c>
      <c r="BU117" s="340">
        <f>Balances!BS44</f>
        <v>0</v>
      </c>
      <c r="BV117" s="340">
        <f>Balances!BT44</f>
        <v>0</v>
      </c>
      <c r="BW117" s="340">
        <f>Balances!BU44</f>
        <v>0</v>
      </c>
      <c r="BX117" s="340">
        <f>Balances!BV44</f>
        <v>0</v>
      </c>
      <c r="BY117" s="340">
        <f>Balances!BW44</f>
        <v>0</v>
      </c>
      <c r="BZ117" s="340">
        <f>Balances!BX44</f>
        <v>-20000</v>
      </c>
      <c r="CA117" s="340">
        <f>Balances!BY44</f>
        <v>0</v>
      </c>
      <c r="CB117" s="340">
        <f>Balances!BZ44</f>
        <v>0</v>
      </c>
      <c r="CC117" s="340">
        <f>Balances!CA44</f>
        <v>0</v>
      </c>
      <c r="CD117" s="562">
        <f>Balances!CB44</f>
        <v>0</v>
      </c>
      <c r="CE117" s="340">
        <f>Balances!CC44</f>
        <v>0</v>
      </c>
      <c r="CF117" s="340">
        <f>Balances!CD44</f>
        <v>0</v>
      </c>
      <c r="CG117" s="340">
        <f>Balances!CE44</f>
        <v>0</v>
      </c>
      <c r="CH117" s="340">
        <f>Balances!CF44</f>
        <v>0</v>
      </c>
      <c r="CI117" s="340">
        <f>Balances!CG44</f>
        <v>0</v>
      </c>
      <c r="CJ117" s="340">
        <f>Balances!CH44</f>
        <v>0</v>
      </c>
      <c r="CK117" s="340">
        <f>Balances!CI44</f>
        <v>0</v>
      </c>
      <c r="CL117" s="340">
        <f>Balances!CJ44</f>
        <v>-30000</v>
      </c>
      <c r="CM117" s="340">
        <f>Balances!CK44</f>
        <v>0</v>
      </c>
      <c r="CN117" s="340">
        <f>Balances!CL44</f>
        <v>0</v>
      </c>
      <c r="CO117" s="340">
        <f>Balances!CM44</f>
        <v>0</v>
      </c>
      <c r="CP117" s="562">
        <f>Balances!CN44</f>
        <v>0</v>
      </c>
      <c r="CQ117" s="340">
        <f>Balances!CO44</f>
        <v>0</v>
      </c>
      <c r="CR117" s="340">
        <f>Balances!CP44</f>
        <v>0</v>
      </c>
      <c r="CS117" s="340">
        <f>Balances!CQ44</f>
        <v>0</v>
      </c>
      <c r="CT117" s="340">
        <f>Balances!CR44</f>
        <v>0</v>
      </c>
      <c r="CU117" s="340">
        <f>Balances!CS44</f>
        <v>0</v>
      </c>
      <c r="CV117" s="340">
        <f>Balances!CT44</f>
        <v>0</v>
      </c>
      <c r="CW117" s="340">
        <f>Balances!CU44</f>
        <v>0</v>
      </c>
      <c r="CX117" s="340">
        <f>Balances!CV44</f>
        <v>-50000</v>
      </c>
      <c r="CY117" s="340">
        <f>Balances!CW44</f>
        <v>0</v>
      </c>
      <c r="CZ117" s="340">
        <f>Balances!CX44</f>
        <v>0</v>
      </c>
      <c r="DA117" s="340">
        <f>Balances!CY44</f>
        <v>0</v>
      </c>
      <c r="DB117" s="562">
        <f>Balances!CZ44</f>
        <v>0</v>
      </c>
      <c r="DC117" s="340">
        <f>Balances!DA44</f>
        <v>0</v>
      </c>
      <c r="DD117" s="340">
        <f>Balances!DB44</f>
        <v>0</v>
      </c>
      <c r="DE117" s="340">
        <f>Balances!DC44</f>
        <v>0</v>
      </c>
      <c r="DF117" s="340">
        <f>Balances!DD44</f>
        <v>0</v>
      </c>
      <c r="DG117" s="340">
        <f>Balances!DE44</f>
        <v>0</v>
      </c>
      <c r="DH117" s="340">
        <f>Balances!DF44</f>
        <v>0</v>
      </c>
      <c r="DI117" s="340">
        <f>Balances!DG44</f>
        <v>0</v>
      </c>
      <c r="DJ117" s="340">
        <f>Balances!DH44</f>
        <v>-60000</v>
      </c>
      <c r="DK117" s="340">
        <f>Balances!DI44</f>
        <v>0</v>
      </c>
      <c r="DL117" s="340">
        <f>Balances!DJ44</f>
        <v>0</v>
      </c>
      <c r="DM117" s="340">
        <f>Balances!DK44</f>
        <v>0</v>
      </c>
      <c r="DN117" s="340">
        <f>Balances!DL44</f>
        <v>0</v>
      </c>
      <c r="DO117" s="340"/>
      <c r="DP117" s="340">
        <f>SUM(J117:DJ117)</f>
        <v>1081134</v>
      </c>
    </row>
    <row r="118" spans="3:120" x14ac:dyDescent="0.3">
      <c r="C118" s="331"/>
      <c r="D118" s="331" t="str">
        <f>'Table 3.0'!D146</f>
        <v>Construction Loan Draw</v>
      </c>
      <c r="G118" s="340"/>
      <c r="H118" s="340"/>
      <c r="I118" s="340"/>
      <c r="J118" s="340"/>
      <c r="K118" s="340">
        <f>IF((K116+K117)&gt;0,0,IF(SUM(K116:K117)=0,0,IF(AND(SUM(K116:K117)&lt;0,'Table 3.0'!$K$24-Balances!I22&gt;-SUM(K116:K117)),-SUM(K116:K117),'Table 3.0'!$K$24-Balances!I22)))</f>
        <v>0</v>
      </c>
      <c r="L118" s="340">
        <f>IF((L116+L117)&gt;0,0,IF(SUM(L116:L117)=0,0,IF(AND(SUM(L116:L117)&lt;0,'Table 3.0'!$K$24-Balances!J22&gt;-SUM(L116:L117)),-SUM(L116:L117),'Table 3.0'!$K$24-Balances!J22)))</f>
        <v>0</v>
      </c>
      <c r="M118" s="340">
        <f>IF((M116+M117)&gt;0,0,IF(SUM(M116:M117)=0,0,IF(AND(SUM(M116:M117)&lt;0,'Table 3.0'!$K$24-Balances!K22&gt;-SUM(M116:M117)),-SUM(M116:M117),'Table 3.0'!$K$24-Balances!K22)))</f>
        <v>0</v>
      </c>
      <c r="N118" s="340">
        <f>IF((N116+N117)&gt;0,0,IF(SUM(N116:N117)=0,0,IF(AND(SUM(N116:N117)&lt;0,'Table 3.0'!$K$24-Balances!L22&gt;-SUM(N116:N117)),-SUM(N116:N117),'Table 3.0'!$K$24-Balances!L22)))</f>
        <v>0</v>
      </c>
      <c r="O118" s="340">
        <f>IF((O116+O117)&gt;0,0,IF(SUM(O116:O117)=0,0,IF(AND(SUM(O116:O117)&lt;0,'Table 3.0'!$K$24-Balances!M22&gt;-SUM(O116:O117)),-SUM(O116:O117),'Table 3.0'!$K$24-Balances!M22)))</f>
        <v>81027.416666666541</v>
      </c>
      <c r="P118" s="340">
        <f>IF((P116+P117)&gt;0,0,IF(SUM(P116:P117)=0,0,IF(AND(SUM(P116:P117)&lt;0,'Table 3.0'!$K$24-Balances!N22&gt;-SUM(P116:P117)),-SUM(P116:P117),'Table 3.0'!$K$24-Balances!N22)))</f>
        <v>372062.05038194446</v>
      </c>
      <c r="Q118" s="340">
        <f>IF((Q116+Q117)&gt;0,0,IF(SUM(Q116:Q117)=0,0,IF(AND(SUM(Q116:Q117)&lt;0,'Table 3.0'!$K$24-Balances!O22&gt;-SUM(Q116:Q117)),-SUM(Q116:Q117),'Table 3.0'!$K$24-Balances!O22)))</f>
        <v>320311.54161413485</v>
      </c>
      <c r="R118" s="340">
        <f>IF((R116+R117)&gt;0,0,IF(SUM(R116:R117)=0,0,IF(AND(SUM(R116:R117)&lt;0,'Table 3.0'!$K$24-Balances!P22&gt;-SUM(R116:R117)),-SUM(R116:R117),'Table 3.0'!$K$24-Balances!P22)))</f>
        <v>678704.59131858009</v>
      </c>
      <c r="S118" s="340">
        <f>IF((S116+S117)&gt;0,0,IF(SUM(S116:S117)=0,0,IF(AND(SUM(S116:S117)&lt;0,'Table 3.0'!$K$24-Balances!Q22&gt;-SUM(S116:S117)),-SUM(S116:S117),'Table 3.0'!$K$24-Balances!Q22)))</f>
        <v>115563.91933318551</v>
      </c>
      <c r="T118" s="340">
        <f>IF((T116+T117)&gt;0,0,IF(SUM(T116:T117)=0,0,IF(AND(SUM(T116:T117)&lt;0,'Table 3.0'!$K$24-Balances!R22&gt;-SUM(T116:T117)),-SUM(T116:T117),'Table 3.0'!$K$24-Balances!R22)))</f>
        <v>158985.80036123988</v>
      </c>
      <c r="U118" s="340">
        <f>IF((U116+U117)&gt;0,0,IF(SUM(U116:U117)=0,0,IF(AND(SUM(U116:U117)&lt;0,'Table 3.0'!$K$24-Balances!S22&gt;-SUM(U116:U117)),-SUM(U116:U117),'Table 3.0'!$K$24-Balances!S22)))</f>
        <v>164599.43794743303</v>
      </c>
      <c r="V118" s="562">
        <f>IF((V116+V117)&gt;0,0,IF(SUM(V116:V117)=0,0,IF(AND(SUM(V116:V117)&lt;0,'Table 3.0'!$K$24-Balances!T22&gt;-SUM(V116:V117)),-SUM(V116:V117),'Table 3.0'!$K$24-Balances!T22)))</f>
        <v>144735.76683118354</v>
      </c>
      <c r="W118" s="340">
        <f>IF((W116+W117)&gt;0,0,IF(SUM(W116:W117)=0,0,IF(AND(SUM(W116:W117)&lt;0,'Table 3.0'!$K$24-Balances!U22&gt;-SUM(W116:W117)),-SUM(W116:W117),'Table 3.0'!$K$24-Balances!U22)))</f>
        <v>3339.6733185970879</v>
      </c>
      <c r="X118" s="340">
        <f>IF((X116+X117)&gt;0,0,IF(SUM(X116:X117)=0,0,IF(AND(SUM(X116:X117)&lt;0,'Table 3.0'!$K$24-Balances!V22&gt;-SUM(X116:X117)),-SUM(X116:X117),'Table 3.0'!$K$24-Balances!V22)))</f>
        <v>1040.0523990359725</v>
      </c>
      <c r="Y118" s="340">
        <f>IF((Y116+Y117)&gt;0,0,IF(SUM(Y116:Y117)=0,0,IF(AND(SUM(Y116:Y117)&lt;0,'Table 3.0'!$K$24-Balances!W22&gt;-SUM(Y116:Y117)),-SUM(Y116:Y117),'Table 3.0'!$K$24-Balances!W22)))</f>
        <v>0</v>
      </c>
      <c r="Z118" s="340">
        <f>IF((Z116+Z117)&gt;0,0,IF(SUM(Z116:Z117)=0,0,IF(AND(SUM(Z116:Z117)&lt;0,'Table 3.0'!$K$24-Balances!X22&gt;-SUM(Z116:Z117)),-SUM(Z116:Z117),'Table 3.0'!$K$24-Balances!X22)))</f>
        <v>0</v>
      </c>
      <c r="AA118" s="340">
        <f>IF((AA116+AA117)&gt;0,0,IF(SUM(AA116:AA117)=0,0,IF(AND(SUM(AA116:AA117)&lt;0,'Table 3.0'!$K$24-Balances!Y22&gt;-SUM(AA116:AA117)),-SUM(AA116:AA117),'Table 3.0'!$K$24-Balances!Y22)))</f>
        <v>0</v>
      </c>
      <c r="AB118" s="340">
        <f>IF((AB116+AB117)&gt;0,0,IF(SUM(AB116:AB117)=0,0,IF(AND(SUM(AB116:AB117)&lt;0,'Table 3.0'!$K$24-Balances!Z22&gt;-SUM(AB116:AB117)),-SUM(AB116:AB117),'Table 3.0'!$K$24-Balances!Z22)))</f>
        <v>464.14915206338628</v>
      </c>
      <c r="AC118" s="340">
        <f>IF((AC116+AC117)&gt;0,0,IF(SUM(AC116:AC117)=0,0,IF(AND(SUM(AC116:AC117)&lt;0,'Table 3.0'!$K$24-Balances!AA22&gt;-SUM(AC116:AC117)),-SUM(AC116:AC117),'Table 3.0'!$K$24-Balances!AA22)))</f>
        <v>3880.2836661838883</v>
      </c>
      <c r="AD118" s="340">
        <f>IF((AD116+AD117)&gt;0,0,IF(SUM(AD116:AD117)=0,0,IF(AND(SUM(AD116:AD117)&lt;0,'Table 3.0'!$K$24-Balances!AB22&gt;-SUM(AD116:AD117)),-SUM(AD116:AD117),'Table 3.0'!$K$24-Balances!AB22)))</f>
        <v>6237.062578541183</v>
      </c>
      <c r="AE118" s="340">
        <f>IF((AE116+AE117)&gt;0,0,IF(SUM(AE116:AE117)=0,0,IF(AND(SUM(AE116:AE117)&lt;0,'Table 3.0'!$K$24-Balances!AC22&gt;-SUM(AE116:AE117)),-SUM(AE116:AE117),'Table 3.0'!$K$24-Balances!AC22)))</f>
        <v>59785.699323954643</v>
      </c>
      <c r="AF118" s="340">
        <f>IF((AF116+AF117)&gt;0,0,IF(SUM(AF116:AF117)=0,0,IF(AND(SUM(AF116:AF117)&lt;0,'Table 3.0'!$K$24-Balances!AD22&gt;-SUM(AF116:AF117)),-SUM(AF116:AF117),'Table 3.0'!$K$24-Balances!AD22)))</f>
        <v>11258.602776935943</v>
      </c>
      <c r="AG118" s="340">
        <f>IF((AG116+AG117)&gt;0,0,IF(SUM(AG116:AG117)=0,0,IF(AND(SUM(AG116:AG117)&lt;0,'Table 3.0'!$K$24-Balances!AE22&gt;-SUM(AG116:AG117)),-SUM(AG116:AG117),'Table 3.0'!$K$24-Balances!AE22)))</f>
        <v>6848.8733822533468</v>
      </c>
      <c r="AH118" s="562">
        <f>IF((AH116+AH117)&gt;0,0,IF(SUM(AH116:AH117)=0,0,IF(AND(SUM(AH116:AH117)&lt;0,'Table 3.0'!$K$24-Balances!AF22&gt;-SUM(AH116:AH117)),-SUM(AH116:AH117),'Table 3.0'!$K$24-Balances!AF22)))</f>
        <v>37081.663629862851</v>
      </c>
      <c r="AI118" s="340">
        <f>IF((AI116+AI117)&gt;0,0,IF(SUM(AI116:AI117)=0,0,IF(AND(SUM(AI116:AI117)&lt;0,'Table 3.0'!$K$24-Balances!AG22&gt;-SUM(AI116:AI117)),-SUM(AI116:AI117),'Table 3.0'!$K$24-Balances!AG22)))</f>
        <v>0</v>
      </c>
      <c r="AJ118" s="340">
        <f>IF((AJ116+AJ117)&gt;0,0,IF(SUM(AJ116:AJ117)=0,0,IF(AND(SUM(AJ116:AJ117)&lt;0,'Table 3.0'!$K$24-Balances!AH22&gt;-SUM(AJ116:AJ117)),-SUM(AJ116:AJ117),'Table 3.0'!$K$24-Balances!AH22)))</f>
        <v>0</v>
      </c>
      <c r="AK118" s="340">
        <f>IF((AK116+AK117)&gt;0,0,IF(SUM(AK116:AK117)=0,0,IF(AND(SUM(AK116:AK117)&lt;0,'Table 3.0'!$K$24-Balances!AI22&gt;-SUM(AK116:AK117)),-SUM(AK116:AK117),'Table 3.0'!$K$24-Balances!AI22)))</f>
        <v>0</v>
      </c>
      <c r="AL118" s="340">
        <f>IF((AL116+AL117)&gt;0,0,IF(SUM(AL116:AL117)=0,0,IF(AND(SUM(AL116:AL117)&lt;0,'Table 3.0'!$K$24-Balances!AJ22&gt;-SUM(AL116:AL117)),-SUM(AL116:AL117),'Table 3.0'!$K$24-Balances!AJ22)))</f>
        <v>0</v>
      </c>
      <c r="AM118" s="340">
        <f>IF((AM116+AM117)&gt;0,0,IF(SUM(AM116:AM117)=0,0,IF(AND(SUM(AM116:AM117)&lt;0,'Table 3.0'!$K$24-Balances!AK22&gt;-SUM(AM116:AM117)),-SUM(AM116:AM117),'Table 3.0'!$K$24-Balances!AK22)))</f>
        <v>0</v>
      </c>
      <c r="AN118" s="340">
        <f>IF((AN116+AN117)&gt;0,0,IF(SUM(AN116:AN117)=0,0,IF(AND(SUM(AN116:AN117)&lt;0,'Table 3.0'!$K$24-Balances!AL22&gt;-SUM(AN116:AN117)),-SUM(AN116:AN117),'Table 3.0'!$K$24-Balances!AL22)))</f>
        <v>0</v>
      </c>
      <c r="AO118" s="340">
        <f>IF((AO116+AO117)&gt;0,0,IF(SUM(AO116:AO117)=0,0,IF(AND(SUM(AO116:AO117)&lt;0,'Table 3.0'!$K$24-Balances!AM22&gt;-SUM(AO116:AO117)),-SUM(AO116:AO117),'Table 3.0'!$K$24-Balances!AM22)))</f>
        <v>0</v>
      </c>
      <c r="AP118" s="340">
        <f>IF((AP116+AP117)&gt;0,0,IF(SUM(AP116:AP117)=0,0,IF(AND(SUM(AP116:AP117)&lt;0,'Table 3.0'!$K$24-Balances!AN22&gt;-SUM(AP116:AP117)),-SUM(AP116:AP117),'Table 3.0'!$K$24-Balances!AN22)))</f>
        <v>1833.3315508327323</v>
      </c>
      <c r="AQ118" s="340">
        <f>IF((AQ116+AQ117)&gt;0,0,IF(SUM(AQ116:AQ117)=0,0,IF(AND(SUM(AQ116:AQ117)&lt;0,'Table 3.0'!$K$24-Balances!AO22&gt;-SUM(AQ116:AQ117)),-SUM(AQ116:AQ117),'Table 3.0'!$K$24-Balances!AO22)))</f>
        <v>61390.495425610163</v>
      </c>
      <c r="AR118" s="340">
        <f>IF((AR116+AR117)&gt;0,0,IF(SUM(AR116:AR117)=0,0,IF(AND(SUM(AR116:AR117)&lt;0,'Table 3.0'!$K$24-Balances!AP22&gt;-SUM(AR116:AR117)),-SUM(AR116:AR117),'Table 3.0'!$K$24-Balances!AP22)))</f>
        <v>6917.1035143962408</v>
      </c>
      <c r="AS118" s="340">
        <f>IF((AS116+AS117)&gt;0,0,IF(SUM(AS116:AS117)=0,0,IF(AND(SUM(AS116:AS117)&lt;0,'Table 3.0'!$K$24-Balances!AQ22&gt;-SUM(AS116:AS117)),-SUM(AS116:AS117),'Table 3.0'!$K$24-Balances!AQ22)))</f>
        <v>2388.6139172185417</v>
      </c>
      <c r="AT118" s="562">
        <f>IF((AT116+AT117)&gt;0,0,IF(SUM(AT116:AT117)=0,0,IF(AND(SUM(AT116:AT117)&lt;0,'Table 3.0'!$K$24-Balances!AR22&gt;-SUM(AT116:AT117)),-SUM(AT116:AT117),'Table 3.0'!$K$24-Balances!AR22)))</f>
        <v>6714.9317293794338</v>
      </c>
      <c r="AU118" s="340">
        <f>IF((AU116+AU117)&gt;0,0,IF(SUM(AU116:AU117)=0,0,IF(AND(SUM(AU116:AU117)&lt;0,'Table 3.0'!$K$24-Balances!AS22&gt;-SUM(AU116:AU117)),-SUM(AU116:AU117),'Table 3.0'!$K$24-Balances!AS22)))</f>
        <v>0</v>
      </c>
      <c r="AV118" s="340">
        <f>IF((AV116+AV117)&gt;0,0,IF(SUM(AV116:AV117)=0,0,IF(AND(SUM(AV116:AV117)&lt;0,'Table 3.0'!$K$24-Balances!AT22&gt;-SUM(AV116:AV117)),-SUM(AV116:AV117),'Table 3.0'!$K$24-Balances!AT22)))</f>
        <v>0</v>
      </c>
      <c r="AW118" s="340">
        <f>IF((AW116+AW117)&gt;0,0,IF(SUM(AW116:AW117)=0,0,IF(AND(SUM(AW116:AW117)&lt;0,'Table 3.0'!$K$24-Balances!AU22&gt;-SUM(AW116:AW117)),-SUM(AW116:AW117),'Table 3.0'!$K$24-Balances!AU22)))</f>
        <v>0</v>
      </c>
      <c r="AX118" s="340">
        <f>IF((AX116+AX117)&gt;0,0,IF(SUM(AX116:AX117)=0,0,IF(AND(SUM(AX116:AX117)&lt;0,'Table 3.0'!$K$24-Balances!AV22&gt;-SUM(AX116:AX117)),-SUM(AX116:AX117),'Table 3.0'!$K$24-Balances!AV22)))</f>
        <v>0</v>
      </c>
      <c r="AY118" s="340">
        <f>IF((AY116+AY117)&gt;0,0,IF(SUM(AY116:AY117)=0,0,IF(AND(SUM(AY116:AY117)&lt;0,'Table 3.0'!$K$24-Balances!AW22&gt;-SUM(AY116:AY117)),-SUM(AY116:AY117),'Table 3.0'!$K$24-Balances!AW22)))</f>
        <v>0</v>
      </c>
      <c r="AZ118" s="340">
        <f>IF((AZ116+AZ117)&gt;0,0,IF(SUM(AZ116:AZ117)=0,0,IF(AND(SUM(AZ116:AZ117)&lt;0,'Table 3.0'!$K$24-Balances!AX22&gt;-SUM(AZ116:AZ117)),-SUM(AZ116:AZ117),'Table 3.0'!$K$24-Balances!AX22)))</f>
        <v>0</v>
      </c>
      <c r="BA118" s="340">
        <f>IF((BA116+BA117)&gt;0,0,IF(SUM(BA116:BA117)=0,0,IF(AND(SUM(BA116:BA117)&lt;0,'Table 3.0'!$K$24-Balances!AY22&gt;-SUM(BA116:BA117)),-SUM(BA116:BA117),'Table 3.0'!$K$24-Balances!AY22)))</f>
        <v>0</v>
      </c>
      <c r="BB118" s="340">
        <f>IF((BB116+BB117)&gt;0,0,IF(SUM(BB116:BB117)=0,0,IF(AND(SUM(BB116:BB117)&lt;0,'Table 3.0'!$K$24-Balances!AZ22&gt;-SUM(BB116:BB117)),-SUM(BB116:BB117),'Table 3.0'!$K$24-Balances!AZ22)))</f>
        <v>1625.706740288168</v>
      </c>
      <c r="BC118" s="340">
        <f>IF((BC116+BC117)&gt;0,0,IF(SUM(BC116:BC117)=0,0,IF(AND(SUM(BC116:BC117)&lt;0,'Table 3.0'!$K$24-Balances!BA22&gt;-SUM(BC116:BC117)),-SUM(BC116:BC117),'Table 3.0'!$K$24-Balances!BA22)))</f>
        <v>67928.03691864881</v>
      </c>
      <c r="BD118" s="340">
        <f>IF((BD116+BD117)&gt;0,0,IF(SUM(BD116:BD117)=0,0,IF(AND(SUM(BD116:BD117)&lt;0,'Table 3.0'!$K$24-Balances!BB22&gt;-SUM(BD116:BD117)),-SUM(BD116:BD117),'Table 3.0'!$K$24-Balances!BB22)))</f>
        <v>6300.7805442547506</v>
      </c>
      <c r="BE118" s="340">
        <f>IF((BE116+BE117)&gt;0,0,IF(SUM(BE116:BE117)=0,0,IF(AND(SUM(BE116:BE117)&lt;0,'Table 3.0'!$K$24-Balances!BC22&gt;-SUM(BE116:BE117)),-SUM(BE116:BE117),'Table 3.0'!$K$24-Balances!BC22)))</f>
        <v>2226.221723563438</v>
      </c>
      <c r="BF118" s="562">
        <f>IF((BF116+BF117)&gt;0,0,IF(SUM(BF116:BF117)=0,0,IF(AND(SUM(BF116:BF117)&lt;0,'Table 3.0'!$K$24-Balances!BD22&gt;-SUM(BF116:BF117)),-SUM(BF116:BF117),'Table 3.0'!$K$24-Balances!BD22)))</f>
        <v>1268.0259788749759</v>
      </c>
      <c r="BG118" s="340">
        <f>IF((BG116+BG117)&gt;0,0,IF(SUM(BG116:BG117)=0,0,IF(AND(SUM(BG116:BG117)&lt;0,'Table 3.0'!$K$24-Balances!BE22&gt;-SUM(BG116:BG117)),-SUM(BG116:BG117),'Table 3.0'!$K$24-Balances!BE22)))</f>
        <v>0</v>
      </c>
      <c r="BH118" s="340">
        <f>IF((BH116+BH117)&gt;0,0,IF(SUM(BH116:BH117)=0,0,IF(AND(SUM(BH116:BH117)&lt;0,'Table 3.0'!$K$24-Balances!BF22&gt;-SUM(BH116:BH117)),-SUM(BH116:BH117),'Table 3.0'!$K$24-Balances!BF22)))</f>
        <v>0</v>
      </c>
      <c r="BI118" s="340">
        <f>IF((BI116+BI117)&gt;0,0,IF(SUM(BI116:BI117)=0,0,IF(AND(SUM(BI116:BI117)&lt;0,'Table 3.0'!$K$24-Balances!BG22&gt;-SUM(BI116:BI117)),-SUM(BI116:BI117),'Table 3.0'!$K$24-Balances!BG22)))</f>
        <v>0</v>
      </c>
      <c r="BJ118" s="340">
        <f>IF((BJ116+BJ117)&gt;0,0,IF(SUM(BJ116:BJ117)=0,0,IF(AND(SUM(BJ116:BJ117)&lt;0,'Table 3.0'!$K$24-Balances!BH22&gt;-SUM(BJ116:BJ117)),-SUM(BJ116:BJ117),'Table 3.0'!$K$24-Balances!BH22)))</f>
        <v>0</v>
      </c>
      <c r="BK118" s="340">
        <f>IF((BK116+BK117)&gt;0,0,IF(SUM(BK116:BK117)=0,0,IF(AND(SUM(BK116:BK117)&lt;0,'Table 3.0'!$K$24-Balances!BI22&gt;-SUM(BK116:BK117)),-SUM(BK116:BK117),'Table 3.0'!$K$24-Balances!BI22)))</f>
        <v>0</v>
      </c>
      <c r="BL118" s="340">
        <f>IF((BL116+BL117)&gt;0,0,IF(SUM(BL116:BL117)=0,0,IF(AND(SUM(BL116:BL117)&lt;0,'Table 3.0'!$K$24-Balances!BJ22&gt;-SUM(BL116:BL117)),-SUM(BL116:BL117),'Table 3.0'!$K$24-Balances!BJ22)))</f>
        <v>0</v>
      </c>
      <c r="BM118" s="340">
        <f>IF((BM116+BM117)&gt;0,0,IF(SUM(BM116:BM117)=0,0,IF(AND(SUM(BM116:BM117)&lt;0,'Table 3.0'!$K$24-Balances!BK22&gt;-SUM(BM116:BM117)),-SUM(BM116:BM117),'Table 3.0'!$K$24-Balances!BK22)))</f>
        <v>0</v>
      </c>
      <c r="BN118" s="340">
        <f>IF((BN116+BN117)&gt;0,0,IF(SUM(BN116:BN117)=0,0,IF(AND(SUM(BN116:BN117)&lt;0,'Table 3.0'!$K$24-Balances!BL22&gt;-SUM(BN116:BN117)),-SUM(BN116:BN117),'Table 3.0'!$K$24-Balances!BL22)))</f>
        <v>1472.6243006259219</v>
      </c>
      <c r="BO118" s="340">
        <f>IF((BO116+BO117)&gt;0,0,IF(SUM(BO116:BO117)=0,0,IF(AND(SUM(BO116:BO117)&lt;0,'Table 3.0'!$K$24-Balances!BM22&gt;-SUM(BO116:BO117)),-SUM(BO116:BO117),'Table 3.0'!$K$24-Balances!BM22)))</f>
        <v>75307.216976339245</v>
      </c>
      <c r="BP118" s="340">
        <f>IF((BP116+BP117)&gt;0,0,IF(SUM(BP116:BP117)=0,0,IF(AND(SUM(BP116:BP117)&lt;0,'Table 3.0'!$K$24-Balances!BN22&gt;-SUM(BP116:BP117)),-SUM(BP116:BP117),'Table 3.0'!$K$24-Balances!BN22)))</f>
        <v>6832.4947107352309</v>
      </c>
      <c r="BQ118" s="340">
        <f>IF((BQ116+BQ117)&gt;0,0,IF(SUM(BQ116:BQ117)=0,0,IF(AND(SUM(BQ116:BQ117)&lt;0,'Table 3.0'!$K$24-Balances!BO22&gt;-SUM(BQ116:BQ117)),-SUM(BQ116:BQ117),'Table 3.0'!$K$24-Balances!BO22)))</f>
        <v>2134.5552938618821</v>
      </c>
      <c r="BR118" s="562">
        <f>IF((BR116+BR117)&gt;0,0,IF(SUM(BR116:BR117)=0,0,IF(AND(SUM(BR116:BR117)&lt;0,'Table 3.0'!$K$24-Balances!BP22&gt;-SUM(BR116:BR117)),-SUM(BR116:BR117),'Table 3.0'!$K$24-Balances!BP22)))</f>
        <v>1109.7313591549546</v>
      </c>
      <c r="BS118" s="340">
        <f>IF((BS116+BS117)&gt;0,0,IF(SUM(BS116:BS117)=0,0,IF(AND(SUM(BS116:BS117)&lt;0,'Table 3.0'!$K$24-Balances!BQ22&gt;-SUM(BS116:BS117)),-SUM(BS116:BS117),'Table 3.0'!$K$24-Balances!BQ22)))</f>
        <v>0</v>
      </c>
      <c r="BT118" s="340">
        <f>IF((BT116+BT117)&gt;0,0,IF(SUM(BT116:BT117)=0,0,IF(AND(SUM(BT116:BT117)&lt;0,'Table 3.0'!$K$24-Balances!BR22&gt;-SUM(BT116:BT117)),-SUM(BT116:BT117),'Table 3.0'!$K$24-Balances!BR22)))</f>
        <v>0</v>
      </c>
      <c r="BU118" s="340">
        <f>IF((BU116+BU117)&gt;0,0,IF(SUM(BU116:BU117)=0,0,IF(AND(SUM(BU116:BU117)&lt;0,'Table 3.0'!$K$24-Balances!BS22&gt;-SUM(BU116:BU117)),-SUM(BU116:BU117),'Table 3.0'!$K$24-Balances!BS22)))</f>
        <v>0</v>
      </c>
      <c r="BV118" s="340">
        <f>IF((BV116+BV117)&gt;0,0,IF(SUM(BV116:BV117)=0,0,IF(AND(SUM(BV116:BV117)&lt;0,'Table 3.0'!$K$24-Balances!BT22&gt;-SUM(BV116:BV117)),-SUM(BV116:BV117),'Table 3.0'!$K$24-Balances!BT22)))</f>
        <v>0</v>
      </c>
      <c r="BW118" s="340">
        <f>IF((BW116+BW117)&gt;0,0,IF(SUM(BW116:BW117)=0,0,IF(AND(SUM(BW116:BW117)&lt;0,'Table 3.0'!$K$24-Balances!BU22&gt;-SUM(BW116:BW117)),-SUM(BW116:BW117),'Table 3.0'!$K$24-Balances!BU22)))</f>
        <v>0</v>
      </c>
      <c r="BX118" s="340">
        <f>IF((BX116+BX117)&gt;0,0,IF(SUM(BX116:BX117)=0,0,IF(AND(SUM(BX116:BX117)&lt;0,'Table 3.0'!$K$24-Balances!BV22&gt;-SUM(BX116:BX117)),-SUM(BX116:BX117),'Table 3.0'!$K$24-Balances!BV22)))</f>
        <v>0</v>
      </c>
      <c r="BY118" s="340">
        <f>IF((BY116+BY117)&gt;0,0,IF(SUM(BY116:BY117)=0,0,IF(AND(SUM(BY116:BY117)&lt;0,'Table 3.0'!$K$24-Balances!BW22&gt;-SUM(BY116:BY117)),-SUM(BY116:BY117),'Table 3.0'!$K$24-Balances!BW22)))</f>
        <v>0</v>
      </c>
      <c r="BZ118" s="340">
        <f>IF((BZ116+BZ117)&gt;0,0,IF(SUM(BZ116:BZ117)=0,0,IF(AND(SUM(BZ116:BZ117)&lt;0,'Table 3.0'!$K$24-Balances!BX22&gt;-SUM(BZ116:BZ117)),-SUM(BZ116:BZ117),'Table 3.0'!$K$24-Balances!BX22)))</f>
        <v>21270.050842285516</v>
      </c>
      <c r="CA118" s="340">
        <f>IF((CA116+CA117)&gt;0,0,IF(SUM(CA116:CA117)=0,0,IF(AND(SUM(CA116:CA117)&lt;0,'Table 3.0'!$K$24-Balances!BY22&gt;-SUM(CA116:CA117)),-SUM(CA116:CA117),'Table 3.0'!$K$24-Balances!BY22)))</f>
        <v>83674.629072786993</v>
      </c>
      <c r="CB118" s="340">
        <f>IF((CB116+CB117)&gt;0,0,IF(SUM(CB116:CB117)=0,0,IF(AND(SUM(CB116:CB117)&lt;0,'Table 3.0'!$K$24-Balances!BZ22&gt;-SUM(CB116:CB117)),-SUM(CB116:CB117),'Table 3.0'!$K$24-Balances!BZ22)))</f>
        <v>6937.2828916131675</v>
      </c>
      <c r="CC118" s="340">
        <f>IF((CC116+CC117)&gt;0,0,IF(SUM(CC116:CC117)=0,0,IF(AND(SUM(CC116:CC117)&lt;0,'Table 3.0'!$K$24-Balances!CA22&gt;-SUM(CC116:CC117)),-SUM(CC116:CC117),'Table 3.0'!$K$24-Balances!CA22)))</f>
        <v>2155.7830478384431</v>
      </c>
      <c r="CD118" s="562">
        <f>IF((CD116+CD117)&gt;0,0,IF(SUM(CD116:CD117)=0,0,IF(AND(SUM(CD116:CD117)&lt;0,'Table 3.0'!$K$24-Balances!CB22&gt;-SUM(CD116:CD117)),-SUM(CD116:CD117),'Table 3.0'!$K$24-Balances!CB22)))</f>
        <v>1074.8850776075756</v>
      </c>
      <c r="CE118" s="340">
        <f>IF((CE116+CE117)&gt;0,0,IF(SUM(CE116:CE117)=0,0,IF(AND(SUM(CE116:CE117)&lt;0,'Table 3.0'!$K$24-Balances!CC22&gt;-SUM(CE116:CE117)),-SUM(CE116:CE117),'Table 3.0'!$K$24-Balances!CC22)))</f>
        <v>0</v>
      </c>
      <c r="CF118" s="340">
        <f>IF((CF116+CF117)&gt;0,0,IF(SUM(CF116:CF117)=0,0,IF(AND(SUM(CF116:CF117)&lt;0,'Table 3.0'!$K$24-Balances!CD22&gt;-SUM(CF116:CF117)),-SUM(CF116:CF117),'Table 3.0'!$K$24-Balances!CD22)))</f>
        <v>0</v>
      </c>
      <c r="CG118" s="340">
        <f>IF((CG116+CG117)&gt;0,0,IF(SUM(CG116:CG117)=0,0,IF(AND(SUM(CG116:CG117)&lt;0,'Table 3.0'!$K$24-Balances!CE22&gt;-SUM(CG116:CG117)),-SUM(CG116:CG117),'Table 3.0'!$K$24-Balances!CE22)))</f>
        <v>0</v>
      </c>
      <c r="CH118" s="340">
        <f>IF((CH116+CH117)&gt;0,0,IF(SUM(CH116:CH117)=0,0,IF(AND(SUM(CH116:CH117)&lt;0,'Table 3.0'!$K$24-Balances!CF22&gt;-SUM(CH116:CH117)),-SUM(CH116:CH117),'Table 3.0'!$K$24-Balances!CF22)))</f>
        <v>0</v>
      </c>
      <c r="CI118" s="340">
        <f>IF((CI116+CI117)&gt;0,0,IF(SUM(CI116:CI117)=0,0,IF(AND(SUM(CI116:CI117)&lt;0,'Table 3.0'!$K$24-Balances!CG22&gt;-SUM(CI116:CI117)),-SUM(CI116:CI117),'Table 3.0'!$K$24-Balances!CG22)))</f>
        <v>0</v>
      </c>
      <c r="CJ118" s="340">
        <f>IF((CJ116+CJ117)&gt;0,0,IF(SUM(CJ116:CJ117)=0,0,IF(AND(SUM(CJ116:CJ117)&lt;0,'Table 3.0'!$K$24-Balances!CH22&gt;-SUM(CJ116:CJ117)),-SUM(CJ116:CJ117),'Table 3.0'!$K$24-Balances!CH22)))</f>
        <v>0</v>
      </c>
      <c r="CK118" s="340">
        <f>IF((CK116+CK117)&gt;0,0,IF(SUM(CK116:CK117)=0,0,IF(AND(SUM(CK116:CK117)&lt;0,'Table 3.0'!$K$24-Balances!CI22&gt;-SUM(CK116:CK117)),-SUM(CK116:CK117),'Table 3.0'!$K$24-Balances!CI22)))</f>
        <v>0</v>
      </c>
      <c r="CL118" s="340">
        <f>IF((CL116+CL117)&gt;0,0,IF(SUM(CL116:CL117)=0,0,IF(AND(SUM(CL116:CL117)&lt;0,'Table 3.0'!$K$24-Balances!CJ22&gt;-SUM(CL116:CL117)),-SUM(CL116:CL117),'Table 3.0'!$K$24-Balances!CJ22)))</f>
        <v>31252.912837728745</v>
      </c>
      <c r="CM118" s="340">
        <f>IF((CM116+CM117)&gt;0,0,IF(SUM(CM116:CM117)=0,0,IF(AND(SUM(CM116:CM117)&lt;0,'Table 3.0'!$K$24-Balances!CK22&gt;-SUM(CM116:CM117)),-SUM(CM116:CM117),'Table 3.0'!$K$24-Balances!CK22)))</f>
        <v>93133.722438387456</v>
      </c>
      <c r="CN118" s="340">
        <f>IF((CN116+CN117)&gt;0,0,IF(SUM(CN116:CN117)=0,0,IF(AND(SUM(CN116:CN117)&lt;0,'Table 3.0'!$K$24-Balances!CL22&gt;-SUM(CN116:CN117)),-SUM(CN116:CN117),'Table 3.0'!$K$24-Balances!CL22)))</f>
        <v>7158.4503669979931</v>
      </c>
      <c r="CO118" s="340">
        <f>IF((CO116+CO117)&gt;0,0,IF(SUM(CO116:CO117)=0,0,IF(AND(SUM(CO116:CO117)&lt;0,'Table 3.0'!$K$24-Balances!CM22&gt;-SUM(CO116:CO117)),-SUM(CO116:CO117),'Table 3.0'!$K$24-Balances!CM22)))</f>
        <v>2294.3114324033982</v>
      </c>
      <c r="CP118" s="562">
        <f>IF((CP116+CP117)&gt;0,0,IF(SUM(CP116:CP117)=0,0,IF(AND(SUM(CP116:CP117)&lt;0,'Table 3.0'!$K$24-Balances!CN22&gt;-SUM(CP116:CP117)),-SUM(CP116:CP117),'Table 3.0'!$K$24-Balances!CN22)))</f>
        <v>1143.26438744293</v>
      </c>
      <c r="CQ118" s="340">
        <f>IF((CQ116+CQ117)&gt;0,0,IF(SUM(CQ116:CQ117)=0,0,IF(AND(SUM(CQ116:CQ117)&lt;0,'Table 3.0'!$K$24-Balances!CO22&gt;-SUM(CQ116:CQ117)),-SUM(CQ116:CQ117),'Table 3.0'!$K$24-Balances!CO22)))</f>
        <v>0</v>
      </c>
      <c r="CR118" s="340">
        <f>IF((CR116+CR117)&gt;0,0,IF(SUM(CR116:CR117)=0,0,IF(AND(SUM(CR116:CR117)&lt;0,'Table 3.0'!$K$24-Balances!CP22&gt;-SUM(CR116:CR117)),-SUM(CR116:CR117),'Table 3.0'!$K$24-Balances!CP22)))</f>
        <v>0</v>
      </c>
      <c r="CS118" s="340">
        <f>IF((CS116+CS117)&gt;0,0,IF(SUM(CS116:CS117)=0,0,IF(AND(SUM(CS116:CS117)&lt;0,'Table 3.0'!$K$24-Balances!CQ22&gt;-SUM(CS116:CS117)),-SUM(CS116:CS117),'Table 3.0'!$K$24-Balances!CQ22)))</f>
        <v>0</v>
      </c>
      <c r="CT118" s="340">
        <f>IF((CT116+CT117)&gt;0,0,IF(SUM(CT116:CT117)=0,0,IF(AND(SUM(CT116:CT117)&lt;0,'Table 3.0'!$K$24-Balances!CR22&gt;-SUM(CT116:CT117)),-SUM(CT116:CT117),'Table 3.0'!$K$24-Balances!CR22)))</f>
        <v>0</v>
      </c>
      <c r="CU118" s="340">
        <f>IF((CU116+CU117)&gt;0,0,IF(SUM(CU116:CU117)=0,0,IF(AND(SUM(CU116:CU117)&lt;0,'Table 3.0'!$K$24-Balances!CS22&gt;-SUM(CU116:CU117)),-SUM(CU116:CU117),'Table 3.0'!$K$24-Balances!CS22)))</f>
        <v>0</v>
      </c>
      <c r="CV118" s="340">
        <f>IF((CV116+CV117)&gt;0,0,IF(SUM(CV116:CV117)=0,0,IF(AND(SUM(CV116:CV117)&lt;0,'Table 3.0'!$K$24-Balances!CT22&gt;-SUM(CV116:CV117)),-SUM(CV116:CV117),'Table 3.0'!$K$24-Balances!CT22)))</f>
        <v>0</v>
      </c>
      <c r="CW118" s="340">
        <f>IF((CW116+CW117)&gt;0,0,IF(SUM(CW116:CW117)=0,0,IF(AND(SUM(CW116:CW117)&lt;0,'Table 3.0'!$K$24-Balances!CU22&gt;-SUM(CW116:CW117)),-SUM(CW116:CW117),'Table 3.0'!$K$24-Balances!CU22)))</f>
        <v>0</v>
      </c>
      <c r="CX118" s="340">
        <f>IF((CX116+CX117)&gt;0,0,IF(SUM(CX116:CX117)=0,0,IF(AND(SUM(CX116:CX117)&lt;0,'Table 3.0'!$K$24-Balances!CV22&gt;-SUM(CX116:CX117)),-SUM(CX116:CX117),'Table 3.0'!$K$24-Balances!CV22)))</f>
        <v>51294.029012139014</v>
      </c>
      <c r="CY118" s="340">
        <f>IF((CY116+CY117)&gt;0,0,IF(SUM(CY116:CY117)=0,0,IF(AND(SUM(CY116:CY117)&lt;0,'Table 3.0'!$K$24-Balances!CW22&gt;-SUM(CY116:CY117)),-SUM(CY116:CY117),'Table 3.0'!$K$24-Balances!CW22)))</f>
        <v>103831.16366806172</v>
      </c>
      <c r="CZ118" s="340">
        <f>IF((CZ116+CZ117)&gt;0,0,IF(SUM(CZ116:CZ117)=0,0,IF(AND(SUM(CZ116:CZ117)&lt;0,'Table 3.0'!$K$24-Balances!CX22&gt;-SUM(CZ116:CZ117)),-SUM(CZ116:CZ117),'Table 3.0'!$K$24-Balances!CX22)))</f>
        <v>7527.3034541906036</v>
      </c>
      <c r="DA118" s="340">
        <f>IF((DA116+DA117)&gt;0,0,IF(SUM(DA116:DA117)=0,0,IF(AND(SUM(DA116:DA117)&lt;0,'Table 3.0'!$K$24-Balances!CY22&gt;-SUM(DA116:DA117)),-SUM(DA116:DA117),'Table 3.0'!$K$24-Balances!CY22)))</f>
        <v>2581.6946065362804</v>
      </c>
      <c r="DB118" s="562">
        <f>IF((DB116+DB117)&gt;0,0,IF(SUM(DB116:DB117)=0,0,IF(AND(SUM(DB116:DB117)&lt;0,'Table 3.0'!$K$24-Balances!CZ22&gt;-SUM(DB116:DB117)),-SUM(DB116:DB117),'Table 3.0'!$K$24-Balances!CZ22)))</f>
        <v>1372.4221206992111</v>
      </c>
      <c r="DC118" s="340">
        <f>IF((DC116+DC117)&gt;0,0,IF(SUM(DC116:DC117)=0,0,IF(AND(SUM(DC116:DC117)&lt;0,'Table 3.0'!$K$24-Balances!DA22&gt;-SUM(DC116:DC117)),-SUM(DC116:DC117),'Table 3.0'!$K$24-Balances!DA22)))</f>
        <v>0</v>
      </c>
      <c r="DD118" s="340">
        <f>IF((DD116+DD117)&gt;0,0,IF(SUM(DD116:DD117)=0,0,IF(AND(SUM(DD116:DD117)&lt;0,'Table 3.0'!$K$24-Balances!DB22&gt;-SUM(DD116:DD117)),-SUM(DD116:DD117),'Table 3.0'!$K$24-Balances!DB22)))</f>
        <v>0</v>
      </c>
      <c r="DE118" s="340">
        <f>IF((DE116+DE117)&gt;0,0,IF(SUM(DE116:DE117)=0,0,IF(AND(SUM(DE116:DE117)&lt;0,'Table 3.0'!$K$24-Balances!DC22&gt;-SUM(DE116:DE117)),-SUM(DE116:DE117),'Table 3.0'!$K$24-Balances!DC22)))</f>
        <v>0</v>
      </c>
      <c r="DF118" s="340">
        <f>IF((DF116+DF117)&gt;0,0,IF(SUM(DF116:DF117)=0,0,IF(AND(SUM(DF116:DF117)&lt;0,'Table 3.0'!$K$24-Balances!DD22&gt;-SUM(DF116:DF117)),-SUM(DF116:DF117),'Table 3.0'!$K$24-Balances!DD22)))</f>
        <v>0</v>
      </c>
      <c r="DG118" s="340">
        <f>IF((DG116+DG117)&gt;0,0,IF(SUM(DG116:DG117)=0,0,IF(AND(SUM(DG116:DG117)&lt;0,'Table 3.0'!$K$24-Balances!DE22&gt;-SUM(DG116:DG117)),-SUM(DG116:DG117),'Table 3.0'!$K$24-Balances!DE22)))</f>
        <v>0</v>
      </c>
      <c r="DH118" s="340">
        <f>IF((DH116+DH117)&gt;0,0,IF(SUM(DH116:DH117)=0,0,IF(AND(SUM(DH116:DH117)&lt;0,'Table 3.0'!$K$24-Balances!DF22&gt;-SUM(DH116:DH117)),-SUM(DH116:DH117),'Table 3.0'!$K$24-Balances!DF22)))</f>
        <v>0</v>
      </c>
      <c r="DI118" s="340">
        <f>IF((DI116+DI117)&gt;0,0,IF(SUM(DI116:DI117)=0,0,IF(AND(SUM(DI116:DI117)&lt;0,'Table 3.0'!$K$24-Balances!DG22&gt;-SUM(DI116:DI117)),-SUM(DI116:DI117),'Table 3.0'!$K$24-Balances!DG22)))</f>
        <v>0</v>
      </c>
      <c r="DJ118" s="340">
        <f>IF((DJ116+DJ117)&gt;0,0,IF(SUM(DJ116:DJ117)=0,0,IF(AND(SUM(DJ116:DJ117)&lt;0,'Table 3.0'!$K$24-Balances!DH22&gt;-SUM(DJ116:DJ117)),-SUM(DJ116:DJ117),'Table 3.0'!$K$24-Balances!DH22)))</f>
        <v>61560.409187349665</v>
      </c>
      <c r="DK118" s="340">
        <f>IF((DK116+DK117)&gt;0,0,IF(SUM(DK116:DK117)=0,0,IF(AND(SUM(DK116:DK117)&lt;0,'Table 3.0'!$K$24-Balances!DI22&gt;-SUM(DK116:DK117)),-SUM(DK116:DK117),'Table 3.0'!$K$24-Balances!DI22)))</f>
        <v>94539.20967695702</v>
      </c>
      <c r="DL118" s="340">
        <f>IF((DL116+DL117)&gt;0,0,IF(SUM(DL116:DL117)=0,0,IF(AND(SUM(DL116:DL117)&lt;0,'Table 3.0'!$K$24-Balances!DJ22&gt;-SUM(DL116:DL117)),-SUM(DL116:DL117),'Table 3.0'!$K$24-Balances!DJ22)))</f>
        <v>0</v>
      </c>
      <c r="DM118" s="340">
        <f>IF((DM116+DM117)&gt;0,0,IF(SUM(DM116:DM117)=0,0,IF(AND(SUM(DM116:DM117)&lt;0,'Table 3.0'!$K$24-Balances!DK22&gt;-SUM(DM116:DM117)),-SUM(DM116:DM117),'Table 3.0'!$K$24-Balances!DK22)))</f>
        <v>0</v>
      </c>
      <c r="DN118" s="340">
        <f>IF((DN116+DN117)&gt;0,0,IF(SUM(DN116:DN117)=0,0,IF(AND(SUM(DN116:DN117)&lt;0,'Table 3.0'!$K$24-Balances!DL22&gt;-SUM(DN116:DN117)),-SUM(DN116:DN117),'Table 3.0'!$K$24-Balances!DL22)))</f>
        <v>0</v>
      </c>
      <c r="DO118" s="340"/>
      <c r="DP118" s="340">
        <f>SUM(J118:DJ118)</f>
        <v>2889638.7698096493</v>
      </c>
    </row>
    <row r="119" spans="3:120" x14ac:dyDescent="0.3">
      <c r="C119" s="346"/>
      <c r="D119" s="346" t="str">
        <f>'Table 3.0'!D147</f>
        <v>Refinance Proceeds - Perm. Loan</v>
      </c>
      <c r="E119" s="342"/>
      <c r="F119" s="342"/>
      <c r="G119" s="344"/>
      <c r="H119" s="344"/>
      <c r="I119" s="344"/>
      <c r="J119" s="344"/>
      <c r="K119" s="344">
        <v>0</v>
      </c>
      <c r="L119" s="344">
        <v>0</v>
      </c>
      <c r="M119" s="344">
        <v>0</v>
      </c>
      <c r="N119" s="344">
        <v>0</v>
      </c>
      <c r="O119" s="344">
        <v>0</v>
      </c>
      <c r="P119" s="344">
        <v>0</v>
      </c>
      <c r="Q119" s="344">
        <v>0</v>
      </c>
      <c r="R119" s="344">
        <v>0</v>
      </c>
      <c r="S119" s="344">
        <v>0</v>
      </c>
      <c r="T119" s="344">
        <v>0</v>
      </c>
      <c r="U119" s="344">
        <v>0</v>
      </c>
      <c r="V119" s="563">
        <v>0</v>
      </c>
      <c r="W119" s="344">
        <v>0</v>
      </c>
      <c r="X119" s="344">
        <v>0</v>
      </c>
      <c r="Y119" s="344">
        <v>0</v>
      </c>
      <c r="Z119" s="344">
        <v>0</v>
      </c>
      <c r="AA119" s="344">
        <v>0</v>
      </c>
      <c r="AB119" s="344">
        <v>0</v>
      </c>
      <c r="AC119" s="344">
        <v>0</v>
      </c>
      <c r="AD119" s="344">
        <v>0</v>
      </c>
      <c r="AE119" s="344">
        <v>0</v>
      </c>
      <c r="AF119" s="344">
        <v>0</v>
      </c>
      <c r="AG119" s="344">
        <v>0</v>
      </c>
      <c r="AH119" s="563">
        <f>'Perm Loan'!D13</f>
        <v>2370000</v>
      </c>
      <c r="AI119" s="563">
        <f>'Perm Loan'!E13</f>
        <v>0</v>
      </c>
      <c r="AJ119" s="563">
        <f>'Perm Loan'!F13</f>
        <v>0</v>
      </c>
      <c r="AK119" s="563">
        <f>'Perm Loan'!G13</f>
        <v>0</v>
      </c>
      <c r="AL119" s="563">
        <f>'Perm Loan'!H13</f>
        <v>0</v>
      </c>
      <c r="AM119" s="563">
        <f>'Perm Loan'!I13</f>
        <v>0</v>
      </c>
      <c r="AN119" s="563">
        <f>'Perm Loan'!J13</f>
        <v>0</v>
      </c>
      <c r="AO119" s="563">
        <f>'Perm Loan'!K13</f>
        <v>0</v>
      </c>
      <c r="AP119" s="563">
        <f>'Perm Loan'!L13</f>
        <v>0</v>
      </c>
      <c r="AQ119" s="563">
        <f>'Perm Loan'!M13</f>
        <v>0</v>
      </c>
      <c r="AR119" s="563">
        <f>'Perm Loan'!N13</f>
        <v>0</v>
      </c>
      <c r="AS119" s="563">
        <f>'Perm Loan'!O13</f>
        <v>0</v>
      </c>
      <c r="AT119" s="563">
        <f>'Perm Loan'!P13</f>
        <v>20000</v>
      </c>
      <c r="AU119" s="563">
        <f>'Perm Loan'!Q13</f>
        <v>0</v>
      </c>
      <c r="AV119" s="563">
        <f>'Perm Loan'!R13</f>
        <v>0</v>
      </c>
      <c r="AW119" s="563">
        <f>'Perm Loan'!S13</f>
        <v>0</v>
      </c>
      <c r="AX119" s="563">
        <f>'Perm Loan'!T13</f>
        <v>0</v>
      </c>
      <c r="AY119" s="563">
        <f>'Perm Loan'!U13</f>
        <v>0</v>
      </c>
      <c r="AZ119" s="563">
        <f>'Perm Loan'!V13</f>
        <v>0</v>
      </c>
      <c r="BA119" s="563">
        <f>'Perm Loan'!W13</f>
        <v>0</v>
      </c>
      <c r="BB119" s="563">
        <f>'Perm Loan'!X13</f>
        <v>0</v>
      </c>
      <c r="BC119" s="563">
        <f>'Perm Loan'!Y13</f>
        <v>0</v>
      </c>
      <c r="BD119" s="563">
        <f>'Perm Loan'!Z13</f>
        <v>0</v>
      </c>
      <c r="BE119" s="563">
        <f>'Perm Loan'!AA13</f>
        <v>0</v>
      </c>
      <c r="BF119" s="563">
        <f>'Perm Loan'!AB13</f>
        <v>0</v>
      </c>
      <c r="BG119" s="563">
        <f>'Perm Loan'!AC13</f>
        <v>0</v>
      </c>
      <c r="BH119" s="563">
        <f>'Perm Loan'!AD13</f>
        <v>0</v>
      </c>
      <c r="BI119" s="563">
        <f>'Perm Loan'!AE13</f>
        <v>0</v>
      </c>
      <c r="BJ119" s="563">
        <f>'Perm Loan'!AF13</f>
        <v>0</v>
      </c>
      <c r="BK119" s="563">
        <f>'Perm Loan'!AG13</f>
        <v>0</v>
      </c>
      <c r="BL119" s="563">
        <f>'Perm Loan'!AH13</f>
        <v>0</v>
      </c>
      <c r="BM119" s="563">
        <f>'Perm Loan'!AI13</f>
        <v>0</v>
      </c>
      <c r="BN119" s="563">
        <f>'Perm Loan'!AJ13</f>
        <v>0</v>
      </c>
      <c r="BO119" s="563">
        <f>'Perm Loan'!AK13</f>
        <v>0</v>
      </c>
      <c r="BP119" s="563">
        <f>'Perm Loan'!AL13</f>
        <v>0</v>
      </c>
      <c r="BQ119" s="563">
        <f>'Perm Loan'!AM13</f>
        <v>0</v>
      </c>
      <c r="BR119" s="563">
        <f>'Perm Loan'!AN13</f>
        <v>-20000</v>
      </c>
      <c r="BS119" s="563">
        <f>'Perm Loan'!AO13</f>
        <v>0</v>
      </c>
      <c r="BT119" s="563">
        <f>'Perm Loan'!AP13</f>
        <v>0</v>
      </c>
      <c r="BU119" s="563">
        <f>'Perm Loan'!AQ13</f>
        <v>0</v>
      </c>
      <c r="BV119" s="563">
        <f>'Perm Loan'!AR13</f>
        <v>0</v>
      </c>
      <c r="BW119" s="563">
        <f>'Perm Loan'!AS13</f>
        <v>0</v>
      </c>
      <c r="BX119" s="563">
        <f>'Perm Loan'!AT13</f>
        <v>0</v>
      </c>
      <c r="BY119" s="563">
        <f>'Perm Loan'!AU13</f>
        <v>0</v>
      </c>
      <c r="BZ119" s="563">
        <f>'Perm Loan'!AV13</f>
        <v>0</v>
      </c>
      <c r="CA119" s="563">
        <f>'Perm Loan'!AW13</f>
        <v>0</v>
      </c>
      <c r="CB119" s="563">
        <f>'Perm Loan'!AX13</f>
        <v>0</v>
      </c>
      <c r="CC119" s="563">
        <f>'Perm Loan'!AY13</f>
        <v>0</v>
      </c>
      <c r="CD119" s="563">
        <f>'Perm Loan'!AZ13</f>
        <v>-30000</v>
      </c>
      <c r="CE119" s="563">
        <f>'Perm Loan'!BA13</f>
        <v>0</v>
      </c>
      <c r="CF119" s="563">
        <f>'Perm Loan'!BB13</f>
        <v>0</v>
      </c>
      <c r="CG119" s="563">
        <f>'Perm Loan'!BC13</f>
        <v>0</v>
      </c>
      <c r="CH119" s="563">
        <f>'Perm Loan'!BD13</f>
        <v>0</v>
      </c>
      <c r="CI119" s="563">
        <f>'Perm Loan'!BE13</f>
        <v>0</v>
      </c>
      <c r="CJ119" s="563">
        <f>'Perm Loan'!BF13</f>
        <v>0</v>
      </c>
      <c r="CK119" s="563">
        <f>'Perm Loan'!BG13</f>
        <v>0</v>
      </c>
      <c r="CL119" s="563">
        <f>'Perm Loan'!BH13</f>
        <v>0</v>
      </c>
      <c r="CM119" s="563">
        <f>'Perm Loan'!BI13</f>
        <v>0</v>
      </c>
      <c r="CN119" s="563">
        <f>'Perm Loan'!BJ13</f>
        <v>0</v>
      </c>
      <c r="CO119" s="563">
        <f>'Perm Loan'!BK13</f>
        <v>0</v>
      </c>
      <c r="CP119" s="563">
        <f>'Perm Loan'!BL13</f>
        <v>-50000</v>
      </c>
      <c r="CQ119" s="563">
        <f>'Perm Loan'!BM13</f>
        <v>0</v>
      </c>
      <c r="CR119" s="563">
        <f>'Perm Loan'!BN13</f>
        <v>0</v>
      </c>
      <c r="CS119" s="563">
        <f>'Perm Loan'!BO13</f>
        <v>0</v>
      </c>
      <c r="CT119" s="563">
        <f>'Perm Loan'!BP13</f>
        <v>0</v>
      </c>
      <c r="CU119" s="563">
        <f>'Perm Loan'!BQ13</f>
        <v>0</v>
      </c>
      <c r="CV119" s="563">
        <f>'Perm Loan'!BR13</f>
        <v>0</v>
      </c>
      <c r="CW119" s="563">
        <f>'Perm Loan'!BS13</f>
        <v>0</v>
      </c>
      <c r="CX119" s="563">
        <f>'Perm Loan'!BT13</f>
        <v>0</v>
      </c>
      <c r="CY119" s="563">
        <f>'Perm Loan'!BU13</f>
        <v>0</v>
      </c>
      <c r="CZ119" s="563">
        <f>'Perm Loan'!BV13</f>
        <v>0</v>
      </c>
      <c r="DA119" s="563">
        <f>'Perm Loan'!BW13</f>
        <v>0</v>
      </c>
      <c r="DB119" s="563">
        <f>'Perm Loan'!BX13</f>
        <v>-60000</v>
      </c>
      <c r="DC119" s="563">
        <f>'Perm Loan'!BY13</f>
        <v>0</v>
      </c>
      <c r="DD119" s="563">
        <f>'Perm Loan'!BZ13</f>
        <v>0</v>
      </c>
      <c r="DE119" s="563">
        <f>'Perm Loan'!CA13</f>
        <v>0</v>
      </c>
      <c r="DF119" s="563">
        <f>'Perm Loan'!CB13</f>
        <v>0</v>
      </c>
      <c r="DG119" s="563">
        <f>'Perm Loan'!CC13</f>
        <v>0</v>
      </c>
      <c r="DH119" s="563">
        <f>'Perm Loan'!CD13</f>
        <v>0</v>
      </c>
      <c r="DI119" s="563">
        <f>'Perm Loan'!CE13</f>
        <v>0</v>
      </c>
      <c r="DJ119" s="563">
        <f>'Perm Loan'!CF13</f>
        <v>0</v>
      </c>
      <c r="DK119" s="563">
        <f>'Perm Loan'!CG13</f>
        <v>0</v>
      </c>
      <c r="DL119" s="563">
        <f>'Perm Loan'!CH13</f>
        <v>0</v>
      </c>
      <c r="DM119" s="563">
        <f>'Perm Loan'!CI13</f>
        <v>0</v>
      </c>
      <c r="DN119" s="563">
        <f>'Perm Loan'!CJ13</f>
        <v>0</v>
      </c>
      <c r="DO119" s="344"/>
      <c r="DP119" s="344"/>
    </row>
    <row r="120" spans="3:120" x14ac:dyDescent="0.3">
      <c r="C120" s="331" t="str">
        <f>'Table 3.0'!C148</f>
        <v>SUB-TOTAL</v>
      </c>
      <c r="J120" s="340"/>
      <c r="K120" s="340">
        <f t="shared" ref="K120" si="332">SUM(K116:K119)</f>
        <v>0</v>
      </c>
      <c r="L120" s="340">
        <f t="shared" ref="L120:BW120" si="333">SUM(L116:L119)</f>
        <v>0</v>
      </c>
      <c r="M120" s="340">
        <f t="shared" si="333"/>
        <v>0</v>
      </c>
      <c r="N120" s="340">
        <f t="shared" si="333"/>
        <v>0</v>
      </c>
      <c r="O120" s="340">
        <f t="shared" si="333"/>
        <v>0</v>
      </c>
      <c r="P120" s="340">
        <f t="shared" si="333"/>
        <v>0</v>
      </c>
      <c r="Q120" s="340">
        <f t="shared" si="333"/>
        <v>0</v>
      </c>
      <c r="R120" s="340">
        <f t="shared" si="333"/>
        <v>0</v>
      </c>
      <c r="S120" s="340">
        <f t="shared" si="333"/>
        <v>0</v>
      </c>
      <c r="T120" s="340">
        <f t="shared" si="333"/>
        <v>0</v>
      </c>
      <c r="U120" s="340">
        <f t="shared" si="333"/>
        <v>0</v>
      </c>
      <c r="V120" s="562">
        <f t="shared" si="333"/>
        <v>0</v>
      </c>
      <c r="W120" s="340">
        <f t="shared" si="333"/>
        <v>0</v>
      </c>
      <c r="X120" s="340">
        <f t="shared" si="333"/>
        <v>0</v>
      </c>
      <c r="Y120" s="340">
        <f t="shared" si="333"/>
        <v>2364.1738528049827</v>
      </c>
      <c r="Z120" s="340">
        <f t="shared" si="333"/>
        <v>2382.890229139688</v>
      </c>
      <c r="AA120" s="340">
        <f t="shared" si="333"/>
        <v>423.92477678705109</v>
      </c>
      <c r="AB120" s="340">
        <f t="shared" si="333"/>
        <v>0</v>
      </c>
      <c r="AC120" s="340">
        <f t="shared" si="333"/>
        <v>0</v>
      </c>
      <c r="AD120" s="340">
        <f t="shared" si="333"/>
        <v>0</v>
      </c>
      <c r="AE120" s="340">
        <f t="shared" si="333"/>
        <v>0</v>
      </c>
      <c r="AF120" s="340">
        <f t="shared" si="333"/>
        <v>0</v>
      </c>
      <c r="AG120" s="340">
        <f t="shared" si="333"/>
        <v>0</v>
      </c>
      <c r="AH120" s="562">
        <f t="shared" si="333"/>
        <v>2370000</v>
      </c>
      <c r="AI120" s="340">
        <f t="shared" si="333"/>
        <v>902.56575361384284</v>
      </c>
      <c r="AJ120" s="340">
        <f t="shared" si="333"/>
        <v>3320.1610658299473</v>
      </c>
      <c r="AK120" s="340">
        <f t="shared" si="333"/>
        <v>6843.2956742677652</v>
      </c>
      <c r="AL120" s="340">
        <f t="shared" si="333"/>
        <v>6897.4717650223847</v>
      </c>
      <c r="AM120" s="340">
        <f t="shared" si="333"/>
        <v>4932.0517498288136</v>
      </c>
      <c r="AN120" s="340">
        <f t="shared" si="333"/>
        <v>4037.4721595149567</v>
      </c>
      <c r="AO120" s="340">
        <f t="shared" si="333"/>
        <v>572.58548077778278</v>
      </c>
      <c r="AP120" s="340">
        <f t="shared" si="333"/>
        <v>0</v>
      </c>
      <c r="AQ120" s="340">
        <f t="shared" si="333"/>
        <v>0</v>
      </c>
      <c r="AR120" s="340">
        <f t="shared" si="333"/>
        <v>0</v>
      </c>
      <c r="AS120" s="340">
        <f t="shared" si="333"/>
        <v>0</v>
      </c>
      <c r="AT120" s="562">
        <f t="shared" si="333"/>
        <v>20000</v>
      </c>
      <c r="AU120" s="340">
        <f t="shared" si="333"/>
        <v>1174.0407277629852</v>
      </c>
      <c r="AV120" s="340">
        <f t="shared" si="333"/>
        <v>3678.1752168577796</v>
      </c>
      <c r="AW120" s="340">
        <f t="shared" si="333"/>
        <v>7288.5341039912364</v>
      </c>
      <c r="AX120" s="340">
        <f t="shared" si="333"/>
        <v>7346.2349989811673</v>
      </c>
      <c r="AY120" s="340">
        <f t="shared" si="333"/>
        <v>5342.1726927230993</v>
      </c>
      <c r="AZ120" s="340">
        <f t="shared" si="333"/>
        <v>4408.6448932071562</v>
      </c>
      <c r="BA120" s="340">
        <f t="shared" si="333"/>
        <v>862.30666527838184</v>
      </c>
      <c r="BB120" s="340">
        <f t="shared" si="333"/>
        <v>0</v>
      </c>
      <c r="BC120" s="340">
        <f t="shared" si="333"/>
        <v>0</v>
      </c>
      <c r="BD120" s="340">
        <f t="shared" si="333"/>
        <v>0</v>
      </c>
      <c r="BE120" s="340">
        <f t="shared" si="333"/>
        <v>0</v>
      </c>
      <c r="BF120" s="562">
        <f t="shared" si="333"/>
        <v>0</v>
      </c>
      <c r="BG120" s="340">
        <f t="shared" si="333"/>
        <v>1393.9024021255909</v>
      </c>
      <c r="BH120" s="340">
        <f t="shared" si="333"/>
        <v>3984.1674628090886</v>
      </c>
      <c r="BI120" s="340">
        <f t="shared" si="333"/>
        <v>7681.3387885563261</v>
      </c>
      <c r="BJ120" s="340">
        <f t="shared" si="333"/>
        <v>7742.1493872990595</v>
      </c>
      <c r="BK120" s="340">
        <f t="shared" si="333"/>
        <v>5699.0264032818432</v>
      </c>
      <c r="BL120" s="340">
        <f t="shared" si="333"/>
        <v>4726.1286956411623</v>
      </c>
      <c r="BM120" s="340">
        <f t="shared" si="333"/>
        <v>1097.9138811483208</v>
      </c>
      <c r="BN120" s="340">
        <f t="shared" si="333"/>
        <v>0</v>
      </c>
      <c r="BO120" s="340">
        <f t="shared" si="333"/>
        <v>0</v>
      </c>
      <c r="BP120" s="340">
        <f t="shared" si="333"/>
        <v>0</v>
      </c>
      <c r="BQ120" s="340">
        <f t="shared" si="333"/>
        <v>0</v>
      </c>
      <c r="BR120" s="562">
        <f t="shared" si="333"/>
        <v>-20000</v>
      </c>
      <c r="BS120" s="340">
        <f t="shared" si="333"/>
        <v>1660.5972951850767</v>
      </c>
      <c r="BT120" s="340">
        <f t="shared" si="333"/>
        <v>4337.3636904386221</v>
      </c>
      <c r="BU120" s="340">
        <f t="shared" si="333"/>
        <v>8121.7211529879351</v>
      </c>
      <c r="BV120" s="340">
        <f t="shared" si="333"/>
        <v>8186.018112115753</v>
      </c>
      <c r="BW120" s="340">
        <f t="shared" si="333"/>
        <v>6104.2140888366703</v>
      </c>
      <c r="BX120" s="340">
        <f t="shared" ref="BX120:DN120" si="334">SUM(BX116:BX119)</f>
        <v>5092.3291170399534</v>
      </c>
      <c r="BY120" s="340">
        <f t="shared" si="334"/>
        <v>1382.6233892165224</v>
      </c>
      <c r="BZ120" s="340">
        <f t="shared" si="334"/>
        <v>0</v>
      </c>
      <c r="CA120" s="340">
        <f t="shared" si="334"/>
        <v>0</v>
      </c>
      <c r="CB120" s="340">
        <f t="shared" si="334"/>
        <v>0</v>
      </c>
      <c r="CC120" s="340">
        <f t="shared" si="334"/>
        <v>0</v>
      </c>
      <c r="CD120" s="562">
        <f t="shared" si="334"/>
        <v>-30000</v>
      </c>
      <c r="CE120" s="340">
        <f t="shared" si="334"/>
        <v>1751.8151139560223</v>
      </c>
      <c r="CF120" s="340">
        <f t="shared" si="334"/>
        <v>4513.6936502748322</v>
      </c>
      <c r="CG120" s="340">
        <f t="shared" si="334"/>
        <v>8383.8370583395154</v>
      </c>
      <c r="CH120" s="340">
        <f t="shared" si="334"/>
        <v>8450.2091017180337</v>
      </c>
      <c r="CI120" s="340">
        <f t="shared" si="334"/>
        <v>6328.3015904399708</v>
      </c>
      <c r="CJ120" s="340">
        <f t="shared" si="334"/>
        <v>5275.995644697623</v>
      </c>
      <c r="CK120" s="340">
        <f t="shared" si="334"/>
        <v>1483.353943551474</v>
      </c>
      <c r="CL120" s="340">
        <f t="shared" si="334"/>
        <v>0</v>
      </c>
      <c r="CM120" s="340">
        <f t="shared" si="334"/>
        <v>0</v>
      </c>
      <c r="CN120" s="340">
        <f t="shared" si="334"/>
        <v>0</v>
      </c>
      <c r="CO120" s="340">
        <f t="shared" si="334"/>
        <v>0</v>
      </c>
      <c r="CP120" s="562">
        <f t="shared" si="334"/>
        <v>-50000</v>
      </c>
      <c r="CQ120" s="340">
        <f t="shared" si="334"/>
        <v>1787.9071588706674</v>
      </c>
      <c r="CR120" s="340">
        <f t="shared" si="334"/>
        <v>4634.4614238783906</v>
      </c>
      <c r="CS120" s="340">
        <f t="shared" si="334"/>
        <v>8589.950910150761</v>
      </c>
      <c r="CT120" s="340">
        <f t="shared" si="334"/>
        <v>8657.954688189453</v>
      </c>
      <c r="CU120" s="340">
        <f t="shared" si="334"/>
        <v>6495.4968294709561</v>
      </c>
      <c r="CV120" s="340">
        <f t="shared" si="334"/>
        <v>5402.3195127042591</v>
      </c>
      <c r="CW120" s="340">
        <f t="shared" si="334"/>
        <v>1526.2878755131751</v>
      </c>
      <c r="CX120" s="340">
        <f t="shared" si="334"/>
        <v>0</v>
      </c>
      <c r="CY120" s="340">
        <f t="shared" si="334"/>
        <v>0</v>
      </c>
      <c r="CZ120" s="340">
        <f t="shared" si="334"/>
        <v>0</v>
      </c>
      <c r="DA120" s="340">
        <f t="shared" si="334"/>
        <v>0</v>
      </c>
      <c r="DB120" s="562">
        <f t="shared" si="334"/>
        <v>-60000</v>
      </c>
      <c r="DC120" s="340">
        <f t="shared" si="334"/>
        <v>1610.8324819075069</v>
      </c>
      <c r="DD120" s="340">
        <f t="shared" si="334"/>
        <v>4540.3749057226069</v>
      </c>
      <c r="DE120" s="340">
        <f t="shared" si="334"/>
        <v>8579.5095403929099</v>
      </c>
      <c r="DF120" s="340">
        <f t="shared" si="334"/>
        <v>8647.4306575876872</v>
      </c>
      <c r="DG120" s="340">
        <f t="shared" si="334"/>
        <v>6442.6944836269304</v>
      </c>
      <c r="DH120" s="340">
        <f t="shared" si="334"/>
        <v>5306.9041482889734</v>
      </c>
      <c r="DI120" s="340">
        <f t="shared" si="334"/>
        <v>1345.7271394629311</v>
      </c>
      <c r="DJ120" s="340">
        <f t="shared" si="334"/>
        <v>0</v>
      </c>
      <c r="DK120" s="340">
        <f t="shared" si="334"/>
        <v>0</v>
      </c>
      <c r="DL120" s="340">
        <f t="shared" si="334"/>
        <v>14214.195483275587</v>
      </c>
      <c r="DM120" s="340">
        <f t="shared" si="334"/>
        <v>19287.160185792938</v>
      </c>
      <c r="DN120" s="340">
        <f t="shared" si="334"/>
        <v>20457.246761822887</v>
      </c>
      <c r="DO120" s="340"/>
      <c r="DP120" s="340">
        <f>SUM(J120:DJ120)</f>
        <v>2469741.2535318169</v>
      </c>
    </row>
    <row r="121" spans="3:120" x14ac:dyDescent="0.3">
      <c r="V121" s="561"/>
      <c r="AH121" s="561"/>
      <c r="AT121" s="561"/>
      <c r="BF121" s="561"/>
      <c r="BR121" s="561"/>
      <c r="CD121" s="561"/>
      <c r="CP121" s="561"/>
      <c r="DB121" s="561"/>
      <c r="DP121" s="340"/>
    </row>
    <row r="122" spans="3:120" x14ac:dyDescent="0.3">
      <c r="C122" s="747" t="str">
        <f>'Table 3.0'!C150</f>
        <v>CASH FLOW AVAILABLE</v>
      </c>
      <c r="D122" s="747"/>
      <c r="E122" s="747"/>
      <c r="F122" s="747"/>
      <c r="G122" s="747"/>
      <c r="H122" s="747"/>
      <c r="I122" s="747"/>
      <c r="J122" s="748"/>
      <c r="K122" s="748">
        <f t="shared" ref="K122:AM122" si="335">K120</f>
        <v>0</v>
      </c>
      <c r="L122" s="748">
        <f t="shared" si="335"/>
        <v>0</v>
      </c>
      <c r="M122" s="748">
        <f t="shared" si="335"/>
        <v>0</v>
      </c>
      <c r="N122" s="748">
        <f t="shared" si="335"/>
        <v>0</v>
      </c>
      <c r="O122" s="748">
        <f t="shared" si="335"/>
        <v>0</v>
      </c>
      <c r="P122" s="748">
        <f t="shared" si="335"/>
        <v>0</v>
      </c>
      <c r="Q122" s="748">
        <f t="shared" si="335"/>
        <v>0</v>
      </c>
      <c r="R122" s="748">
        <f t="shared" si="335"/>
        <v>0</v>
      </c>
      <c r="S122" s="748">
        <f t="shared" si="335"/>
        <v>0</v>
      </c>
      <c r="T122" s="748">
        <f t="shared" si="335"/>
        <v>0</v>
      </c>
      <c r="U122" s="748">
        <f t="shared" si="335"/>
        <v>0</v>
      </c>
      <c r="V122" s="749">
        <f t="shared" si="335"/>
        <v>0</v>
      </c>
      <c r="W122" s="748">
        <f t="shared" si="335"/>
        <v>0</v>
      </c>
      <c r="X122" s="748">
        <f t="shared" si="335"/>
        <v>0</v>
      </c>
      <c r="Y122" s="748">
        <f t="shared" si="335"/>
        <v>2364.1738528049827</v>
      </c>
      <c r="Z122" s="748">
        <f t="shared" si="335"/>
        <v>2382.890229139688</v>
      </c>
      <c r="AA122" s="748">
        <f t="shared" si="335"/>
        <v>423.92477678705109</v>
      </c>
      <c r="AB122" s="748">
        <f t="shared" si="335"/>
        <v>0</v>
      </c>
      <c r="AC122" s="748">
        <f t="shared" si="335"/>
        <v>0</v>
      </c>
      <c r="AD122" s="748">
        <f t="shared" si="335"/>
        <v>0</v>
      </c>
      <c r="AE122" s="748">
        <f t="shared" si="335"/>
        <v>0</v>
      </c>
      <c r="AF122" s="748">
        <f t="shared" si="335"/>
        <v>0</v>
      </c>
      <c r="AG122" s="748">
        <f t="shared" si="335"/>
        <v>0</v>
      </c>
      <c r="AH122" s="749">
        <f t="shared" si="335"/>
        <v>2370000</v>
      </c>
      <c r="AI122" s="748">
        <f t="shared" si="335"/>
        <v>902.56575361384284</v>
      </c>
      <c r="AJ122" s="748">
        <f t="shared" si="335"/>
        <v>3320.1610658299473</v>
      </c>
      <c r="AK122" s="748">
        <f t="shared" si="335"/>
        <v>6843.2956742677652</v>
      </c>
      <c r="AL122" s="748">
        <f t="shared" si="335"/>
        <v>6897.4717650223847</v>
      </c>
      <c r="AM122" s="748">
        <f t="shared" si="335"/>
        <v>4932.0517498288136</v>
      </c>
      <c r="AN122" s="748">
        <f t="shared" ref="AN122:AP122" si="336">AN120</f>
        <v>4037.4721595149567</v>
      </c>
      <c r="AO122" s="748">
        <f t="shared" si="336"/>
        <v>572.58548077778278</v>
      </c>
      <c r="AP122" s="748">
        <f t="shared" si="336"/>
        <v>0</v>
      </c>
      <c r="AQ122" s="748">
        <f t="shared" ref="AQ122:BN122" si="337">AQ120</f>
        <v>0</v>
      </c>
      <c r="AR122" s="748">
        <f t="shared" si="337"/>
        <v>0</v>
      </c>
      <c r="AS122" s="748">
        <f t="shared" si="337"/>
        <v>0</v>
      </c>
      <c r="AT122" s="749">
        <f t="shared" si="337"/>
        <v>20000</v>
      </c>
      <c r="AU122" s="748">
        <f t="shared" si="337"/>
        <v>1174.0407277629852</v>
      </c>
      <c r="AV122" s="748">
        <f t="shared" si="337"/>
        <v>3678.1752168577796</v>
      </c>
      <c r="AW122" s="748">
        <f t="shared" si="337"/>
        <v>7288.5341039912364</v>
      </c>
      <c r="AX122" s="748">
        <f t="shared" si="337"/>
        <v>7346.2349989811673</v>
      </c>
      <c r="AY122" s="748">
        <f t="shared" si="337"/>
        <v>5342.1726927230993</v>
      </c>
      <c r="AZ122" s="748">
        <f t="shared" si="337"/>
        <v>4408.6448932071562</v>
      </c>
      <c r="BA122" s="748">
        <f t="shared" si="337"/>
        <v>862.30666527838184</v>
      </c>
      <c r="BB122" s="748">
        <f t="shared" si="337"/>
        <v>0</v>
      </c>
      <c r="BC122" s="748">
        <f t="shared" si="337"/>
        <v>0</v>
      </c>
      <c r="BD122" s="748">
        <f t="shared" si="337"/>
        <v>0</v>
      </c>
      <c r="BE122" s="748">
        <f t="shared" si="337"/>
        <v>0</v>
      </c>
      <c r="BF122" s="749">
        <f t="shared" si="337"/>
        <v>0</v>
      </c>
      <c r="BG122" s="748">
        <f t="shared" si="337"/>
        <v>1393.9024021255909</v>
      </c>
      <c r="BH122" s="748">
        <f t="shared" si="337"/>
        <v>3984.1674628090886</v>
      </c>
      <c r="BI122" s="748">
        <f t="shared" si="337"/>
        <v>7681.3387885563261</v>
      </c>
      <c r="BJ122" s="748">
        <f t="shared" si="337"/>
        <v>7742.1493872990595</v>
      </c>
      <c r="BK122" s="748">
        <f t="shared" si="337"/>
        <v>5699.0264032818432</v>
      </c>
      <c r="BL122" s="748">
        <f t="shared" si="337"/>
        <v>4726.1286956411623</v>
      </c>
      <c r="BM122" s="748">
        <f t="shared" si="337"/>
        <v>1097.9138811483208</v>
      </c>
      <c r="BN122" s="748">
        <f t="shared" si="337"/>
        <v>0</v>
      </c>
      <c r="BO122" s="748">
        <f t="shared" ref="BO122:CL122" si="338">BO120</f>
        <v>0</v>
      </c>
      <c r="BP122" s="748">
        <f t="shared" si="338"/>
        <v>0</v>
      </c>
      <c r="BQ122" s="748">
        <f t="shared" si="338"/>
        <v>0</v>
      </c>
      <c r="BR122" s="749">
        <f t="shared" si="338"/>
        <v>-20000</v>
      </c>
      <c r="BS122" s="748">
        <f t="shared" si="338"/>
        <v>1660.5972951850767</v>
      </c>
      <c r="BT122" s="748">
        <f t="shared" si="338"/>
        <v>4337.3636904386221</v>
      </c>
      <c r="BU122" s="748">
        <f t="shared" si="338"/>
        <v>8121.7211529879351</v>
      </c>
      <c r="BV122" s="748">
        <f t="shared" si="338"/>
        <v>8186.018112115753</v>
      </c>
      <c r="BW122" s="748">
        <f t="shared" si="338"/>
        <v>6104.2140888366703</v>
      </c>
      <c r="BX122" s="748">
        <f t="shared" si="338"/>
        <v>5092.3291170399534</v>
      </c>
      <c r="BY122" s="748">
        <f t="shared" si="338"/>
        <v>1382.6233892165224</v>
      </c>
      <c r="BZ122" s="748">
        <f t="shared" si="338"/>
        <v>0</v>
      </c>
      <c r="CA122" s="748">
        <f t="shared" si="338"/>
        <v>0</v>
      </c>
      <c r="CB122" s="748">
        <f t="shared" si="338"/>
        <v>0</v>
      </c>
      <c r="CC122" s="748">
        <f t="shared" si="338"/>
        <v>0</v>
      </c>
      <c r="CD122" s="749">
        <f t="shared" si="338"/>
        <v>-30000</v>
      </c>
      <c r="CE122" s="748">
        <f t="shared" si="338"/>
        <v>1751.8151139560223</v>
      </c>
      <c r="CF122" s="748">
        <f t="shared" si="338"/>
        <v>4513.6936502748322</v>
      </c>
      <c r="CG122" s="748">
        <f t="shared" si="338"/>
        <v>8383.8370583395154</v>
      </c>
      <c r="CH122" s="748">
        <f t="shared" si="338"/>
        <v>8450.2091017180337</v>
      </c>
      <c r="CI122" s="748">
        <f t="shared" si="338"/>
        <v>6328.3015904399708</v>
      </c>
      <c r="CJ122" s="748">
        <f t="shared" si="338"/>
        <v>5275.995644697623</v>
      </c>
      <c r="CK122" s="748">
        <f t="shared" si="338"/>
        <v>1483.353943551474</v>
      </c>
      <c r="CL122" s="748">
        <f t="shared" si="338"/>
        <v>0</v>
      </c>
      <c r="CM122" s="748">
        <f t="shared" ref="CM122:DN122" si="339">CM120</f>
        <v>0</v>
      </c>
      <c r="CN122" s="748">
        <f t="shared" si="339"/>
        <v>0</v>
      </c>
      <c r="CO122" s="748">
        <f t="shared" si="339"/>
        <v>0</v>
      </c>
      <c r="CP122" s="749">
        <f t="shared" si="339"/>
        <v>-50000</v>
      </c>
      <c r="CQ122" s="748">
        <f t="shared" si="339"/>
        <v>1787.9071588706674</v>
      </c>
      <c r="CR122" s="748">
        <f t="shared" si="339"/>
        <v>4634.4614238783906</v>
      </c>
      <c r="CS122" s="748">
        <f t="shared" si="339"/>
        <v>8589.950910150761</v>
      </c>
      <c r="CT122" s="748">
        <f t="shared" si="339"/>
        <v>8657.954688189453</v>
      </c>
      <c r="CU122" s="748">
        <f t="shared" si="339"/>
        <v>6495.4968294709561</v>
      </c>
      <c r="CV122" s="748">
        <f t="shared" si="339"/>
        <v>5402.3195127042591</v>
      </c>
      <c r="CW122" s="748">
        <f t="shared" si="339"/>
        <v>1526.2878755131751</v>
      </c>
      <c r="CX122" s="748">
        <f t="shared" si="339"/>
        <v>0</v>
      </c>
      <c r="CY122" s="748">
        <f t="shared" si="339"/>
        <v>0</v>
      </c>
      <c r="CZ122" s="748">
        <f t="shared" si="339"/>
        <v>0</v>
      </c>
      <c r="DA122" s="748">
        <f t="shared" si="339"/>
        <v>0</v>
      </c>
      <c r="DB122" s="749">
        <f t="shared" si="339"/>
        <v>-60000</v>
      </c>
      <c r="DC122" s="748">
        <f t="shared" si="339"/>
        <v>1610.8324819075069</v>
      </c>
      <c r="DD122" s="748">
        <f t="shared" si="339"/>
        <v>4540.3749057226069</v>
      </c>
      <c r="DE122" s="748">
        <f t="shared" si="339"/>
        <v>8579.5095403929099</v>
      </c>
      <c r="DF122" s="748">
        <f t="shared" si="339"/>
        <v>8647.4306575876872</v>
      </c>
      <c r="DG122" s="748">
        <f t="shared" si="339"/>
        <v>6442.6944836269304</v>
      </c>
      <c r="DH122" s="748">
        <f t="shared" si="339"/>
        <v>5306.9041482889734</v>
      </c>
      <c r="DI122" s="748">
        <f t="shared" si="339"/>
        <v>1345.7271394629311</v>
      </c>
      <c r="DJ122" s="748">
        <f t="shared" si="339"/>
        <v>0</v>
      </c>
      <c r="DK122" s="748">
        <f t="shared" si="339"/>
        <v>0</v>
      </c>
      <c r="DL122" s="748">
        <f t="shared" si="339"/>
        <v>14214.195483275587</v>
      </c>
      <c r="DM122" s="748">
        <f t="shared" si="339"/>
        <v>19287.160185792938</v>
      </c>
      <c r="DN122" s="748">
        <f t="shared" si="339"/>
        <v>20457.246761822887</v>
      </c>
      <c r="DO122" s="748"/>
      <c r="DP122" s="748">
        <f>SUM(J122:DJ122)</f>
        <v>2469741.2535318169</v>
      </c>
    </row>
    <row r="123" spans="3:120" x14ac:dyDescent="0.3">
      <c r="V123" s="561"/>
      <c r="AH123" s="561"/>
      <c r="AT123" s="561"/>
      <c r="BF123" s="561"/>
      <c r="BR123" s="561"/>
      <c r="CD123" s="561"/>
      <c r="CP123" s="561"/>
      <c r="DB123" s="561"/>
      <c r="DP123" s="340"/>
    </row>
    <row r="124" spans="3:120" x14ac:dyDescent="0.3">
      <c r="C124" s="331" t="str">
        <f>'Table 3.0'!C152</f>
        <v xml:space="preserve">LOAN PAYMENTS </v>
      </c>
      <c r="V124" s="561"/>
      <c r="AH124" s="561"/>
      <c r="AT124" s="561"/>
      <c r="BF124" s="561"/>
      <c r="BR124" s="561"/>
      <c r="CD124" s="561"/>
      <c r="CP124" s="561"/>
      <c r="DB124" s="561"/>
      <c r="DP124" s="340"/>
    </row>
    <row r="125" spans="3:120" x14ac:dyDescent="0.3">
      <c r="D125" s="323" t="str">
        <f>'Table 3.0'!D153</f>
        <v>Construction Loan - Principal Payments</v>
      </c>
      <c r="J125" s="340"/>
      <c r="K125" s="340">
        <f>IF(K122&lt;0,0,IF(SUM(Balances!I22:I23)=0,0,IF(K122=0,0,IF(K122&gt;=SUM(Balances!I22:I23),SUM(Balances!I22:I23),Monthly!K122))))</f>
        <v>0</v>
      </c>
      <c r="L125" s="340">
        <f>IF(L122&lt;0,0,IF(SUM(Balances!J22:J23)=0,0,IF(L122=0,0,IF(L122&gt;=SUM(Balances!J22:J23),SUM(Balances!J22:J23),Monthly!L122))))</f>
        <v>0</v>
      </c>
      <c r="M125" s="340">
        <f>IF(M122&lt;0,0,IF(SUM(Balances!K22:K23)=0,0,IF(M122=0,0,IF(M122&gt;=SUM(Balances!K22:K23),SUM(Balances!K22:K23),Monthly!M122))))</f>
        <v>0</v>
      </c>
      <c r="N125" s="340">
        <f>IF(N122&lt;0,0,IF(SUM(Balances!L22:L23)=0,0,IF(N122=0,0,IF(N122&gt;=SUM(Balances!L22:L23),SUM(Balances!L22:L23),Monthly!N122))))</f>
        <v>0</v>
      </c>
      <c r="O125" s="340">
        <f>IF(O122&lt;0,0,IF(SUM(Balances!M22:M23)=0,0,IF(O122=0,0,IF(O122&gt;=SUM(Balances!M22:M23),SUM(Balances!M22:M23),Monthly!O122))))</f>
        <v>0</v>
      </c>
      <c r="P125" s="340">
        <f>IF(P122&lt;0,0,IF(SUM(Balances!N22:N23)=0,0,IF(P122=0,0,IF(P122&gt;=SUM(Balances!N22:N23),SUM(Balances!N22:N23),Monthly!P122))))</f>
        <v>0</v>
      </c>
      <c r="Q125" s="340">
        <f>IF(Q122&lt;0,0,IF(SUM(Balances!O22:O23)=0,0,IF(Q122=0,0,IF(Q122&gt;=SUM(Balances!O22:O23),SUM(Balances!O22:O23),Monthly!Q122))))</f>
        <v>0</v>
      </c>
      <c r="R125" s="340">
        <f>IF(R122&lt;0,0,IF(SUM(Balances!P22:P23)=0,0,IF(R122=0,0,IF(R122&gt;=SUM(Balances!P22:P23),SUM(Balances!P22:P23),Monthly!R122))))</f>
        <v>0</v>
      </c>
      <c r="S125" s="340">
        <f>IF(S122&lt;0,0,IF(SUM(Balances!Q22:Q23)=0,0,IF(S122=0,0,IF(S122&gt;=SUM(Balances!Q22:Q23),SUM(Balances!Q22:Q23),Monthly!S122))))</f>
        <v>0</v>
      </c>
      <c r="T125" s="340">
        <f>IF(T122&lt;0,0,IF(SUM(Balances!R22:R23)=0,0,IF(T122=0,0,IF(T122&gt;=SUM(Balances!R22:R23),SUM(Balances!R22:R23),Monthly!T122))))</f>
        <v>0</v>
      </c>
      <c r="U125" s="340">
        <f>IF(U122&lt;0,0,IF(SUM(Balances!S22:S23)=0,0,IF(U122=0,0,IF(U122&gt;=SUM(Balances!S22:S23),SUM(Balances!S22:S23),Monthly!U122))))</f>
        <v>0</v>
      </c>
      <c r="V125" s="562">
        <f>IF(V122&lt;0,0,IF(SUM(Balances!T22:T23)=0,0,IF(V122=0,0,IF(V122&gt;=SUM(Balances!T22:T23),SUM(Balances!T22:T23),Monthly!V122))))</f>
        <v>0</v>
      </c>
      <c r="W125" s="340">
        <f>IF(W122&lt;0,0,IF(SUM(Balances!U22:U23)=0,0,IF(W122=0,0,IF(W122&gt;=SUM(Balances!U22:U23),SUM(Balances!U22:U23),Monthly!W122))))</f>
        <v>0</v>
      </c>
      <c r="X125" s="340">
        <f>IF(X122&lt;0,0,IF(SUM(Balances!V22:V23)=0,0,IF(X122=0,0,IF(X122&gt;=SUM(Balances!V22:V23),SUM(Balances!V22:V23),Monthly!X122))))</f>
        <v>0</v>
      </c>
      <c r="Y125" s="340">
        <f>IF(Y122&lt;0,0,IF(SUM(Balances!W22:W23)=0,0,IF(Y122=0,0,IF(Y122&gt;=SUM(Balances!W22:W23),SUM(Balances!W22:W23),Monthly!Y122))))</f>
        <v>2364.1738528049827</v>
      </c>
      <c r="Z125" s="340">
        <f>IF(Z122&lt;0,0,IF(SUM(Balances!X22:X23)=0,0,IF(Z122=0,0,IF(Z122&gt;=SUM(Balances!X22:X23),SUM(Balances!X22:X23),Monthly!Z122))))</f>
        <v>2382.890229139688</v>
      </c>
      <c r="AA125" s="340">
        <f>IF(AA122&lt;0,0,IF(SUM(Balances!Y22:Y23)=0,0,IF(AA122=0,0,IF(AA122&gt;=SUM(Balances!Y22:Y23),SUM(Balances!Y22:Y23),Monthly!AA122))))</f>
        <v>423.92477678705109</v>
      </c>
      <c r="AB125" s="340">
        <f>IF(AB122&lt;0,0,IF(SUM(Balances!Z22:Z23)=0,0,IF(AB122=0,0,IF(AB122&gt;=SUM(Balances!Z22:Z23),SUM(Balances!Z22:Z23),Monthly!AB122))))</f>
        <v>0</v>
      </c>
      <c r="AC125" s="340">
        <f>IF(AC122&lt;0,0,IF(SUM(Balances!AA22:AA23)=0,0,IF(AC122=0,0,IF(AC122&gt;=SUM(Balances!AA22:AA23),SUM(Balances!AA22:AA23),Monthly!AC122))))</f>
        <v>0</v>
      </c>
      <c r="AD125" s="340">
        <f>IF(AD122&lt;0,0,IF(SUM(Balances!AB22:AB23)=0,0,IF(AD122=0,0,IF(AD122&gt;=SUM(Balances!AB22:AB23),SUM(Balances!AB22:AB23),Monthly!AD122))))</f>
        <v>0</v>
      </c>
      <c r="AE125" s="340">
        <f>IF(AE122&lt;0,0,IF(SUM(Balances!AC22:AC23)=0,0,IF(AE122=0,0,IF(AE122&gt;=SUM(Balances!AC22:AC23),SUM(Balances!AC22:AC23),Monthly!AE122))))</f>
        <v>0</v>
      </c>
      <c r="AF125" s="340">
        <f>IF(AF122&lt;0,0,IF(SUM(Balances!AD22:AD23)=0,0,IF(AF122=0,0,IF(AF122&gt;=SUM(Balances!AD22:AD23),SUM(Balances!AD22:AD23),Monthly!AF122))))</f>
        <v>0</v>
      </c>
      <c r="AG125" s="340">
        <f>IF(AG122&lt;0,0,IF(SUM(Balances!AE22:AE23)=0,0,IF(AG122=0,0,IF(AG122&gt;=SUM(Balances!AE22:AE23),SUM(Balances!AE22:AE23),Monthly!AG122))))</f>
        <v>0</v>
      </c>
      <c r="AH125" s="562">
        <f>IF(AH122&lt;0,0,IF(SUM(Balances!AF22:AF23)=0,0,IF(AH122=0,0,IF(AH122&gt;=SUM(Balances!AF22:AF23),SUM(Balances!AF22:AF23),Monthly!AH122))))</f>
        <v>2160755.5958230644</v>
      </c>
      <c r="AI125" s="340">
        <f>IF(AI122&lt;0,0,IF(SUM(Balances!AG22:AG23)=0,0,IF(AI122=0,0,IF(AI122&gt;=SUM(Balances!AG22:AG23),SUM(Balances!AG22:AG23),Monthly!AI122))))</f>
        <v>0</v>
      </c>
      <c r="AJ125" s="340">
        <f>IF(AJ122&lt;0,0,IF(SUM(Balances!AH22:AH23)=0,0,IF(AJ122=0,0,IF(AJ122&gt;=SUM(Balances!AH22:AH23),SUM(Balances!AH22:AH23),Monthly!AJ122))))</f>
        <v>0</v>
      </c>
      <c r="AK125" s="340">
        <f>IF(AK122&lt;0,0,IF(SUM(Balances!AI22:AI23)=0,0,IF(AK122=0,0,IF(AK122&gt;=SUM(Balances!AI22:AI23),SUM(Balances!AI22:AI23),Monthly!AK122))))</f>
        <v>0</v>
      </c>
      <c r="AL125" s="340">
        <f>IF(AL122&lt;0,0,IF(SUM(Balances!AJ22:AJ23)=0,0,IF(AL122=0,0,IF(AL122&gt;=SUM(Balances!AJ22:AJ23),SUM(Balances!AJ22:AJ23),Monthly!AL122))))</f>
        <v>0</v>
      </c>
      <c r="AM125" s="340">
        <f>IF(AM122&lt;0,0,IF(SUM(Balances!AK22:AK23)=0,0,IF(AM122=0,0,IF(AM122&gt;=SUM(Balances!AK22:AK23),SUM(Balances!AK22:AK23),Monthly!AM122))))</f>
        <v>0</v>
      </c>
      <c r="AN125" s="340">
        <f>IF(AN122&lt;0,0,IF(SUM(Balances!AL22:AL23)=0,0,IF(AN122=0,0,IF(AN122&gt;=SUM(Balances!AL22:AL23),SUM(Balances!AL22:AL23),Monthly!AN122))))</f>
        <v>0</v>
      </c>
      <c r="AO125" s="340">
        <f>IF(AO122&lt;0,0,IF(SUM(Balances!AM22:AM23)=0,0,IF(AO122=0,0,IF(AO122&gt;=SUM(Balances!AM22:AM23),SUM(Balances!AM22:AM23),Monthly!AO122))))</f>
        <v>0</v>
      </c>
      <c r="AP125" s="340">
        <f>IF(AP122&lt;0,0,IF(SUM(Balances!AN22:AN23)=0,0,IF(AP122=0,0,IF(AP122&gt;=SUM(Balances!AN22:AN23),SUM(Balances!AN22:AN23),Monthly!AP122))))</f>
        <v>0</v>
      </c>
      <c r="AQ125" s="340">
        <f>IF(AQ122&lt;0,0,IF(SUM(Balances!AO22:AO23)=0,0,IF(AQ122=0,0,IF(AQ122&gt;=SUM(Balances!AO22:AO23),SUM(Balances!AO22:AO23),Monthly!AQ122))))</f>
        <v>0</v>
      </c>
      <c r="AR125" s="340">
        <f>IF(AR122&lt;0,0,IF(SUM(Balances!AP22:AP23)=0,0,IF(AR122=0,0,IF(AR122&gt;=SUM(Balances!AP22:AP23),SUM(Balances!AP22:AP23),Monthly!AR122))))</f>
        <v>0</v>
      </c>
      <c r="AS125" s="340">
        <f>IF(AS122&lt;0,0,IF(SUM(Balances!AQ22:AQ23)=0,0,IF(AS122=0,0,IF(AS122&gt;=SUM(Balances!AQ22:AQ23),SUM(Balances!AQ22:AQ23),Monthly!AS122))))</f>
        <v>0</v>
      </c>
      <c r="AT125" s="562">
        <f>IF(AT122&lt;0,0,IF(SUM(Balances!AR22:AR23)=0,0,IF(AT122=0,0,IF(AT122&gt;=SUM(Balances!AR22:AR23),SUM(Balances!AR22:AR23),Monthly!AT122))))</f>
        <v>20000</v>
      </c>
      <c r="AU125" s="340">
        <f>IF(AU122&lt;0,0,IF(SUM(Balances!AS22:AS23)=0,0,IF(AU122=0,0,IF(AU122&gt;=SUM(Balances!AS22:AS23),SUM(Balances!AS22:AS23),Monthly!AU122))))</f>
        <v>1174.0407277629852</v>
      </c>
      <c r="AV125" s="340">
        <f>IF(AV122&lt;0,0,IF(SUM(Balances!AT22:AT23)=0,0,IF(AV122=0,0,IF(AV122&gt;=SUM(Balances!AT22:AT23),SUM(Balances!AT22:AT23),Monthly!AV122))))</f>
        <v>3678.1752168577796</v>
      </c>
      <c r="AW125" s="340">
        <f>IF(AW122&lt;0,0,IF(SUM(Balances!AU22:AU23)=0,0,IF(AW122=0,0,IF(AW122&gt;=SUM(Balances!AU22:AU23),SUM(Balances!AU22:AU23),Monthly!AW122))))</f>
        <v>7288.5341039912364</v>
      </c>
      <c r="AX125" s="340">
        <f>IF(AX122&lt;0,0,IF(SUM(Balances!AV22:AV23)=0,0,IF(AX122=0,0,IF(AX122&gt;=SUM(Balances!AV22:AV23),SUM(Balances!AV22:AV23),Monthly!AX122))))</f>
        <v>7346.2349989811673</v>
      </c>
      <c r="AY125" s="340">
        <f>IF(AY122&lt;0,0,IF(SUM(Balances!AW22:AW23)=0,0,IF(AY122=0,0,IF(AY122&gt;=SUM(Balances!AW22:AW23),SUM(Balances!AW22:AW23),Monthly!AY122))))</f>
        <v>5342.1726927230993</v>
      </c>
      <c r="AZ125" s="340">
        <f>IF(AZ122&lt;0,0,IF(SUM(Balances!AX22:AX23)=0,0,IF(AZ122=0,0,IF(AZ122&gt;=SUM(Balances!AX22:AX23),SUM(Balances!AX22:AX23),Monthly!AZ122))))</f>
        <v>4408.6448932071562</v>
      </c>
      <c r="BA125" s="340">
        <f>IF(BA122&lt;0,0,IF(SUM(Balances!AY22:AY23)=0,0,IF(BA122=0,0,IF(BA122&gt;=SUM(Balances!AY22:AY23),SUM(Balances!AY22:AY23),Monthly!BA122))))</f>
        <v>862.30666527838184</v>
      </c>
      <c r="BB125" s="340">
        <f>IF(BB122&lt;0,0,IF(SUM(Balances!AZ22:AZ23)=0,0,IF(BB122=0,0,IF(BB122&gt;=SUM(Balances!AZ22:AZ23),SUM(Balances!AZ22:AZ23),Monthly!BB122))))</f>
        <v>0</v>
      </c>
      <c r="BC125" s="340">
        <f>IF(BC122&lt;0,0,IF(SUM(Balances!BA22:BA23)=0,0,IF(BC122=0,0,IF(BC122&gt;=SUM(Balances!BA22:BA23),SUM(Balances!BA22:BA23),Monthly!BC122))))</f>
        <v>0</v>
      </c>
      <c r="BD125" s="340">
        <f>IF(BD122&lt;0,0,IF(SUM(Balances!BB22:BB23)=0,0,IF(BD122=0,0,IF(BD122&gt;=SUM(Balances!BB22:BB23),SUM(Balances!BB22:BB23),Monthly!BD122))))</f>
        <v>0</v>
      </c>
      <c r="BE125" s="340">
        <f>IF(BE122&lt;0,0,IF(SUM(Balances!BC22:BC23)=0,0,IF(BE122=0,0,IF(BE122&gt;=SUM(Balances!BC22:BC23),SUM(Balances!BC22:BC23),Monthly!BE122))))</f>
        <v>0</v>
      </c>
      <c r="BF125" s="562">
        <f>IF(BF122&lt;0,0,IF(SUM(Balances!BD22:BD23)=0,0,IF(BF122=0,0,IF(BF122&gt;=SUM(Balances!BD22:BD23),SUM(Balances!BD22:BD23),Monthly!BF122))))</f>
        <v>0</v>
      </c>
      <c r="BG125" s="340">
        <f>IF(BG122&lt;0,0,IF(SUM(Balances!BE22:BE23)=0,0,IF(BG122=0,0,IF(BG122&gt;=SUM(Balances!BE22:BE23),SUM(Balances!BE22:BE23),Monthly!BG122))))</f>
        <v>1393.9024021255909</v>
      </c>
      <c r="BH125" s="340">
        <f>IF(BH122&lt;0,0,IF(SUM(Balances!BF22:BF23)=0,0,IF(BH122=0,0,IF(BH122&gt;=SUM(Balances!BF22:BF23),SUM(Balances!BF22:BF23),Monthly!BH122))))</f>
        <v>3984.1674628090886</v>
      </c>
      <c r="BI125" s="340">
        <f>IF(BI122&lt;0,0,IF(SUM(Balances!BG22:BG23)=0,0,IF(BI122=0,0,IF(BI122&gt;=SUM(Balances!BG22:BG23),SUM(Balances!BG22:BG23),Monthly!BI122))))</f>
        <v>7681.3387885563261</v>
      </c>
      <c r="BJ125" s="340">
        <f>IF(BJ122&lt;0,0,IF(SUM(Balances!BH22:BH23)=0,0,IF(BJ122=0,0,IF(BJ122&gt;=SUM(Balances!BH22:BH23),SUM(Balances!BH22:BH23),Monthly!BJ122))))</f>
        <v>7742.1493872990595</v>
      </c>
      <c r="BK125" s="340">
        <f>IF(BK122&lt;0,0,IF(SUM(Balances!BI22:BI23)=0,0,IF(BK122=0,0,IF(BK122&gt;=SUM(Balances!BI22:BI23),SUM(Balances!BI22:BI23),Monthly!BK122))))</f>
        <v>5699.0264032818432</v>
      </c>
      <c r="BL125" s="340">
        <f>IF(BL122&lt;0,0,IF(SUM(Balances!BJ22:BJ23)=0,0,IF(BL122=0,0,IF(BL122&gt;=SUM(Balances!BJ22:BJ23),SUM(Balances!BJ22:BJ23),Monthly!BL122))))</f>
        <v>4726.1286956411623</v>
      </c>
      <c r="BM125" s="340">
        <f>IF(BM122&lt;0,0,IF(SUM(Balances!BK22:BK23)=0,0,IF(BM122=0,0,IF(BM122&gt;=SUM(Balances!BK22:BK23),SUM(Balances!BK22:BK23),Monthly!BM122))))</f>
        <v>1097.9138811483208</v>
      </c>
      <c r="BN125" s="340">
        <f>IF(BN122&lt;0,0,IF(SUM(Balances!BL22:BL23)=0,0,IF(BN122=0,0,IF(BN122&gt;=SUM(Balances!BL22:BL23),SUM(Balances!BL22:BL23),Monthly!BN122))))</f>
        <v>0</v>
      </c>
      <c r="BO125" s="340">
        <f>IF(BO122&lt;0,0,IF(SUM(Balances!BM22:BM23)=0,0,IF(BO122=0,0,IF(BO122&gt;=SUM(Balances!BM22:BM23),SUM(Balances!BM22:BM23),Monthly!BO122))))</f>
        <v>0</v>
      </c>
      <c r="BP125" s="340">
        <f>IF(BP122&lt;0,0,IF(SUM(Balances!BN22:BN23)=0,0,IF(BP122=0,0,IF(BP122&gt;=SUM(Balances!BN22:BN23),SUM(Balances!BN22:BN23),Monthly!BP122))))</f>
        <v>0</v>
      </c>
      <c r="BQ125" s="340">
        <f>IF(BQ122&lt;0,0,IF(SUM(Balances!BO22:BO23)=0,0,IF(BQ122=0,0,IF(BQ122&gt;=SUM(Balances!BO22:BO23),SUM(Balances!BO22:BO23),Monthly!BQ122))))</f>
        <v>0</v>
      </c>
      <c r="BR125" s="562">
        <f>IF(BR122&lt;0,0,IF(SUM(Balances!BP22:BP23)=0,0,IF(BR122=0,0,IF(BR122&gt;=SUM(Balances!BP22:BP23),SUM(Balances!BP22:BP23),Monthly!BR122))))</f>
        <v>0</v>
      </c>
      <c r="BS125" s="340">
        <f>IF(BS122&lt;0,0,IF(SUM(Balances!BQ22:BQ23)=0,0,IF(BS122=0,0,IF(BS122&gt;=SUM(Balances!BQ22:BQ23),SUM(Balances!BQ22:BQ23),Monthly!BS122))))</f>
        <v>1660.5972951850767</v>
      </c>
      <c r="BT125" s="340">
        <f>IF(BT122&lt;0,0,IF(SUM(Balances!BR22:BR23)=0,0,IF(BT122=0,0,IF(BT122&gt;=SUM(Balances!BR22:BR23),SUM(Balances!BR22:BR23),Monthly!BT122))))</f>
        <v>4337.3636904386221</v>
      </c>
      <c r="BU125" s="340">
        <f>IF(BU122&lt;0,0,IF(SUM(Balances!BS22:BS23)=0,0,IF(BU122=0,0,IF(BU122&gt;=SUM(Balances!BS22:BS23),SUM(Balances!BS22:BS23),Monthly!BU122))))</f>
        <v>8121.7211529879351</v>
      </c>
      <c r="BV125" s="340">
        <f>IF(BV122&lt;0,0,IF(SUM(Balances!BT22:BT23)=0,0,IF(BV122=0,0,IF(BV122&gt;=SUM(Balances!BT22:BT23),SUM(Balances!BT22:BT23),Monthly!BV122))))</f>
        <v>8186.018112115753</v>
      </c>
      <c r="BW125" s="340">
        <f>IF(BW122&lt;0,0,IF(SUM(Balances!BU22:BU23)=0,0,IF(BW122=0,0,IF(BW122&gt;=SUM(Balances!BU22:BU23),SUM(Balances!BU22:BU23),Monthly!BW122))))</f>
        <v>6104.2140888366703</v>
      </c>
      <c r="BX125" s="340">
        <f>IF(BX122&lt;0,0,IF(SUM(Balances!BV22:BV23)=0,0,IF(BX122=0,0,IF(BX122&gt;=SUM(Balances!BV22:BV23),SUM(Balances!BV22:BV23),Monthly!BX122))))</f>
        <v>5092.3291170399534</v>
      </c>
      <c r="BY125" s="340">
        <f>IF(BY122&lt;0,0,IF(SUM(Balances!BW22:BW23)=0,0,IF(BY122=0,0,IF(BY122&gt;=SUM(Balances!BW22:BW23),SUM(Balances!BW22:BW23),Monthly!BY122))))</f>
        <v>1382.6233892165224</v>
      </c>
      <c r="BZ125" s="340">
        <f>IF(BZ122&lt;0,0,IF(SUM(Balances!BX22:BX23)=0,0,IF(BZ122=0,0,IF(BZ122&gt;=SUM(Balances!BX22:BX23),SUM(Balances!BX22:BX23),Monthly!BZ122))))</f>
        <v>0</v>
      </c>
      <c r="CA125" s="340">
        <f>IF(CA122&lt;0,0,IF(SUM(Balances!BY22:BY23)=0,0,IF(CA122=0,0,IF(CA122&gt;=SUM(Balances!BY22:BY23),SUM(Balances!BY22:BY23),Monthly!CA122))))</f>
        <v>0</v>
      </c>
      <c r="CB125" s="340">
        <f>IF(CB122&lt;0,0,IF(SUM(Balances!BZ22:BZ23)=0,0,IF(CB122=0,0,IF(CB122&gt;=SUM(Balances!BZ22:BZ23),SUM(Balances!BZ22:BZ23),Monthly!CB122))))</f>
        <v>0</v>
      </c>
      <c r="CC125" s="340">
        <f>IF(CC122&lt;0,0,IF(SUM(Balances!CA22:CA23)=0,0,IF(CC122=0,0,IF(CC122&gt;=SUM(Balances!CA22:CA23),SUM(Balances!CA22:CA23),Monthly!CC122))))</f>
        <v>0</v>
      </c>
      <c r="CD125" s="562">
        <f>IF(CD122&lt;0,0,IF(SUM(Balances!CB22:CB23)=0,0,IF(CD122=0,0,IF(CD122&gt;=SUM(Balances!CB22:CB23),SUM(Balances!CB22:CB23),Monthly!CD122))))</f>
        <v>0</v>
      </c>
      <c r="CE125" s="340">
        <f>IF(CE122&lt;0,0,IF(SUM(Balances!CC22:CC23)=0,0,IF(CE122=0,0,IF(CE122&gt;=SUM(Balances!CC22:CC23),SUM(Balances!CC22:CC23),Monthly!CE122))))</f>
        <v>1751.8151139560223</v>
      </c>
      <c r="CF125" s="340">
        <f>IF(CF122&lt;0,0,IF(SUM(Balances!CD22:CD23)=0,0,IF(CF122=0,0,IF(CF122&gt;=SUM(Balances!CD22:CD23),SUM(Balances!CD22:CD23),Monthly!CF122))))</f>
        <v>4513.6936502748322</v>
      </c>
      <c r="CG125" s="340">
        <f>IF(CG122&lt;0,0,IF(SUM(Balances!CE22:CE23)=0,0,IF(CG122=0,0,IF(CG122&gt;=SUM(Balances!CE22:CE23),SUM(Balances!CE22:CE23),Monthly!CG122))))</f>
        <v>8383.8370583395154</v>
      </c>
      <c r="CH125" s="340">
        <f>IF(CH122&lt;0,0,IF(SUM(Balances!CF22:CF23)=0,0,IF(CH122=0,0,IF(CH122&gt;=SUM(Balances!CF22:CF23),SUM(Balances!CF22:CF23),Monthly!CH122))))</f>
        <v>8450.2091017180337</v>
      </c>
      <c r="CI125" s="340">
        <f>IF(CI122&lt;0,0,IF(SUM(Balances!CG22:CG23)=0,0,IF(CI122=0,0,IF(CI122&gt;=SUM(Balances!CG22:CG23),SUM(Balances!CG22:CG23),Monthly!CI122))))</f>
        <v>6328.3015904399708</v>
      </c>
      <c r="CJ125" s="340">
        <f>IF(CJ122&lt;0,0,IF(SUM(Balances!CH22:CH23)=0,0,IF(CJ122=0,0,IF(CJ122&gt;=SUM(Balances!CH22:CH23),SUM(Balances!CH22:CH23),Monthly!CJ122))))</f>
        <v>5275.995644697623</v>
      </c>
      <c r="CK125" s="340">
        <f>IF(CK122&lt;0,0,IF(SUM(Balances!CI22:CI23)=0,0,IF(CK122=0,0,IF(CK122&gt;=SUM(Balances!CI22:CI23),SUM(Balances!CI22:CI23),Monthly!CK122))))</f>
        <v>1483.353943551474</v>
      </c>
      <c r="CL125" s="340">
        <f>IF(CL122&lt;0,0,IF(SUM(Balances!CJ22:CJ23)=0,0,IF(CL122=0,0,IF(CL122&gt;=SUM(Balances!CJ22:CJ23),SUM(Balances!CJ22:CJ23),Monthly!CL122))))</f>
        <v>0</v>
      </c>
      <c r="CM125" s="340">
        <f>IF(CM122&lt;0,0,IF(SUM(Balances!CK22:CK23)=0,0,IF(CM122=0,0,IF(CM122&gt;=SUM(Balances!CK22:CK23),SUM(Balances!CK22:CK23),Monthly!CM122))))</f>
        <v>0</v>
      </c>
      <c r="CN125" s="340">
        <f>IF(CN122&lt;0,0,IF(SUM(Balances!CL22:CL23)=0,0,IF(CN122=0,0,IF(CN122&gt;=SUM(Balances!CL22:CL23),SUM(Balances!CL22:CL23),Monthly!CN122))))</f>
        <v>0</v>
      </c>
      <c r="CO125" s="340">
        <f>IF(CO122&lt;0,0,IF(SUM(Balances!CM22:CM23)=0,0,IF(CO122=0,0,IF(CO122&gt;=SUM(Balances!CM22:CM23),SUM(Balances!CM22:CM23),Monthly!CO122))))</f>
        <v>0</v>
      </c>
      <c r="CP125" s="562">
        <f>IF(CP122&lt;0,0,IF(SUM(Balances!CN22:CN23)=0,0,IF(CP122=0,0,IF(CP122&gt;=SUM(Balances!CN22:CN23),SUM(Balances!CN22:CN23),Monthly!CP122))))</f>
        <v>0</v>
      </c>
      <c r="CQ125" s="340">
        <f>IF(CQ122&lt;0,0,IF(SUM(Balances!CO22:CO23)=0,0,IF(CQ122=0,0,IF(CQ122&gt;=SUM(Balances!CO22:CO23),SUM(Balances!CO22:CO23),Monthly!CQ122))))</f>
        <v>1787.9071588706674</v>
      </c>
      <c r="CR125" s="340">
        <f>IF(CR122&lt;0,0,IF(SUM(Balances!CP22:CP23)=0,0,IF(CR122=0,0,IF(CR122&gt;=SUM(Balances!CP22:CP23),SUM(Balances!CP22:CP23),Monthly!CR122))))</f>
        <v>4634.4614238783906</v>
      </c>
      <c r="CS125" s="340">
        <f>IF(CS122&lt;0,0,IF(SUM(Balances!CQ22:CQ23)=0,0,IF(CS122=0,0,IF(CS122&gt;=SUM(Balances!CQ22:CQ23),SUM(Balances!CQ22:CQ23),Monthly!CS122))))</f>
        <v>8589.950910150761</v>
      </c>
      <c r="CT125" s="340">
        <f>IF(CT122&lt;0,0,IF(SUM(Balances!CR22:CR23)=0,0,IF(CT122=0,0,IF(CT122&gt;=SUM(Balances!CR22:CR23),SUM(Balances!CR22:CR23),Monthly!CT122))))</f>
        <v>8657.954688189453</v>
      </c>
      <c r="CU125" s="340">
        <f>IF(CU122&lt;0,0,IF(SUM(Balances!CS22:CS23)=0,0,IF(CU122=0,0,IF(CU122&gt;=SUM(Balances!CS22:CS23),SUM(Balances!CS22:CS23),Monthly!CU122))))</f>
        <v>6495.4968294709561</v>
      </c>
      <c r="CV125" s="340">
        <f>IF(CV122&lt;0,0,IF(SUM(Balances!CT22:CT23)=0,0,IF(CV122=0,0,IF(CV122&gt;=SUM(Balances!CT22:CT23),SUM(Balances!CT22:CT23),Monthly!CV122))))</f>
        <v>5402.3195127042591</v>
      </c>
      <c r="CW125" s="340">
        <f>IF(CW122&lt;0,0,IF(SUM(Balances!CU22:CU23)=0,0,IF(CW122=0,0,IF(CW122&gt;=SUM(Balances!CU22:CU23),SUM(Balances!CU22:CU23),Monthly!CW122))))</f>
        <v>1526.2878755131751</v>
      </c>
      <c r="CX125" s="340">
        <f>IF(CX122&lt;0,0,IF(SUM(Balances!CV22:CV23)=0,0,IF(CX122=0,0,IF(CX122&gt;=SUM(Balances!CV22:CV23),SUM(Balances!CV22:CV23),Monthly!CX122))))</f>
        <v>0</v>
      </c>
      <c r="CY125" s="340">
        <f>IF(CY122&lt;0,0,IF(SUM(Balances!CW22:CW23)=0,0,IF(CY122=0,0,IF(CY122&gt;=SUM(Balances!CW22:CW23),SUM(Balances!CW22:CW23),Monthly!CY122))))</f>
        <v>0</v>
      </c>
      <c r="CZ125" s="340">
        <f>IF(CZ122&lt;0,0,IF(SUM(Balances!CX22:CX23)=0,0,IF(CZ122=0,0,IF(CZ122&gt;=SUM(Balances!CX22:CX23),SUM(Balances!CX22:CX23),Monthly!CZ122))))</f>
        <v>0</v>
      </c>
      <c r="DA125" s="340">
        <f>IF(DA122&lt;0,0,IF(SUM(Balances!CY22:CY23)=0,0,IF(DA122=0,0,IF(DA122&gt;=SUM(Balances!CY22:CY23),SUM(Balances!CY22:CY23),Monthly!DA122))))</f>
        <v>0</v>
      </c>
      <c r="DB125" s="562">
        <f>IF(DB122&lt;0,0,IF(SUM(Balances!CZ22:CZ23)=0,0,IF(DB122=0,0,IF(DB122&gt;=SUM(Balances!CZ22:CZ23),SUM(Balances!CZ22:CZ23),Monthly!DB122))))</f>
        <v>0</v>
      </c>
      <c r="DC125" s="340">
        <f>IF(DC122&lt;0,0,IF(SUM(Balances!DA22:DA23)=0,0,IF(DC122=0,0,IF(DC122&gt;=SUM(Balances!DA22:DA23),SUM(Balances!DA22:DA23),Monthly!DC122))))</f>
        <v>1610.8324819075069</v>
      </c>
      <c r="DD125" s="340">
        <f>IF(DD122&lt;0,0,IF(SUM(Balances!DB22:DB23)=0,0,IF(DD122=0,0,IF(DD122&gt;=SUM(Balances!DB22:DB23),SUM(Balances!DB22:DB23),Monthly!DD122))))</f>
        <v>4540.3749057226069</v>
      </c>
      <c r="DE125" s="340">
        <f>IF(DE122&lt;0,0,IF(SUM(Balances!DC22:DC23)=0,0,IF(DE122=0,0,IF(DE122&gt;=SUM(Balances!DC22:DC23),SUM(Balances!DC22:DC23),Monthly!DE122))))</f>
        <v>8579.5095403929099</v>
      </c>
      <c r="DF125" s="340">
        <f>IF(DF122&lt;0,0,IF(SUM(Balances!DD22:DD23)=0,0,IF(DF122=0,0,IF(DF122&gt;=SUM(Balances!DD22:DD23),SUM(Balances!DD22:DD23),Monthly!DF122))))</f>
        <v>8647.4306575876872</v>
      </c>
      <c r="DG125" s="340">
        <f>IF(DG122&lt;0,0,IF(SUM(Balances!DE22:DE23)=0,0,IF(DG122=0,0,IF(DG122&gt;=SUM(Balances!DE22:DE23),SUM(Balances!DE22:DE23),Monthly!DG122))))</f>
        <v>6442.6944836269304</v>
      </c>
      <c r="DH125" s="340">
        <f>IF(DH122&lt;0,0,IF(SUM(Balances!DF22:DF23)=0,0,IF(DH122=0,0,IF(DH122&gt;=SUM(Balances!DF22:DF23),SUM(Balances!DF22:DF23),Monthly!DH122))))</f>
        <v>5306.9041482889734</v>
      </c>
      <c r="DI125" s="340">
        <f>IF(DI122&lt;0,0,IF(SUM(Balances!DG22:DG23)=0,0,IF(DI122=0,0,IF(DI122&gt;=SUM(Balances!DG22:DG23),SUM(Balances!DG22:DG23),Monthly!DI122))))</f>
        <v>1345.7271394629311</v>
      </c>
      <c r="DJ125" s="340">
        <f>IF(DJ122&lt;0,0,IF(SUM(Balances!DH22:DH23)=0,0,IF(DJ122=0,0,IF(DJ122&gt;=SUM(Balances!DH22:DH23),SUM(Balances!DH22:DH23),Monthly!DJ122))))</f>
        <v>0</v>
      </c>
      <c r="DK125" s="340">
        <f>IF(DK122&lt;0,0,IF(SUM(Balances!DI22:DI23)=0,0,IF(DK122=0,0,IF(DK122&gt;=SUM(Balances!DI22:DI23),SUM(Balances!DI22:DI23),Monthly!DK122))))</f>
        <v>0</v>
      </c>
      <c r="DL125" s="340">
        <f>IF(DL122&lt;0,0,IF(SUM(Balances!DJ22:DJ23)=0,0,IF(DL122=0,0,IF(DL122&gt;=SUM(Balances!DJ22:DJ23),SUM(Balances!DJ22:DJ23),Monthly!DL122))))</f>
        <v>14214.195483275587</v>
      </c>
      <c r="DM125" s="340">
        <f>IF(DM122&lt;0,0,IF(SUM(Balances!DK22:DK23)=0,0,IF(DM122=0,0,IF(DM122&gt;=SUM(Balances!DK22:DK23),SUM(Balances!DK22:DK23),Monthly!DM122))))</f>
        <v>19287.160185792938</v>
      </c>
      <c r="DN125" s="340">
        <f>IF(DN122&lt;0,0,IF(SUM(Balances!DL22:DL23)=0,0,IF(DN122=0,0,IF(DN122&gt;=SUM(Balances!DL22:DL23),SUM(Balances!DL22:DL23),Monthly!DN122))))</f>
        <v>20457.246761822887</v>
      </c>
      <c r="DP125" s="340"/>
    </row>
    <row r="126" spans="3:120" x14ac:dyDescent="0.3">
      <c r="D126" s="323" t="str">
        <f>'Table 3.0'!D154</f>
        <v>Acquisition Loan - Principal Payments</v>
      </c>
      <c r="J126" s="340"/>
      <c r="K126" s="340">
        <f>IF(Balances!I25&gt;0,0,IF(Worksheet!E7&gt;SUM(Balances!I8:I9),SUM(Balances!I8:I9),Worksheet!E7))</f>
        <v>0</v>
      </c>
      <c r="L126" s="340">
        <f>IF(Balances!J25&gt;0,0,IF(Worksheet!F7&gt;SUM(Balances!J8:J9),SUM(Balances!J8:J9),Worksheet!F7))</f>
        <v>0</v>
      </c>
      <c r="M126" s="340">
        <f>IF(Balances!K25&gt;0,0,IF(Worksheet!G7&gt;SUM(Balances!K8:K9),SUM(Balances!K8:K9),Worksheet!G7))</f>
        <v>0</v>
      </c>
      <c r="N126" s="340">
        <f>IF(Balances!L25&gt;0,0,IF(Worksheet!H7&gt;SUM(Balances!L8:L9),SUM(Balances!L8:L9),Worksheet!H7))</f>
        <v>0</v>
      </c>
      <c r="O126" s="340">
        <f>IF(Balances!M25&gt;0,0,IF(Worksheet!I7&gt;SUM(Balances!M8:M9),SUM(Balances!M8:M9),Worksheet!I7))</f>
        <v>0</v>
      </c>
      <c r="P126" s="340">
        <f>IF(Balances!N25&gt;0,0,IF(Worksheet!J7&gt;SUM(Balances!N8:N9),SUM(Balances!N8:N9),Worksheet!J7))</f>
        <v>0</v>
      </c>
      <c r="Q126" s="340">
        <f>IF(Balances!O25&gt;0,0,IF(Worksheet!K7&gt;SUM(Balances!O8:O9),SUM(Balances!O8:O9),Worksheet!K7))</f>
        <v>0</v>
      </c>
      <c r="R126" s="340">
        <f>IF(Balances!P25&gt;0,0,IF(Worksheet!L7&gt;SUM(Balances!P8:P9),SUM(Balances!P8:P9),Worksheet!L7))</f>
        <v>0</v>
      </c>
      <c r="S126" s="340">
        <f>IF(Balances!Q25&gt;0,0,IF(Worksheet!M7&gt;SUM(Balances!Q8:Q9),SUM(Balances!Q8:Q9),Worksheet!M7))</f>
        <v>0</v>
      </c>
      <c r="T126" s="340">
        <f>IF(Balances!R25&gt;0,0,IF(Worksheet!N7&gt;SUM(Balances!R8:R9),SUM(Balances!R8:R9),Worksheet!N7))</f>
        <v>0</v>
      </c>
      <c r="U126" s="340">
        <f>IF(Balances!S25&gt;0,0,IF(Worksheet!O7&gt;SUM(Balances!S8:S9),SUM(Balances!S8:S9),Worksheet!O7))</f>
        <v>0</v>
      </c>
      <c r="V126" s="562">
        <f>IF(Balances!T25&gt;0,0,IF(Worksheet!P7&gt;SUM(Balances!T8:T9),SUM(Balances!T8:T9),Worksheet!P7))</f>
        <v>0</v>
      </c>
      <c r="W126" s="340">
        <f>IF(Balances!U25&gt;0,0,IF(Worksheet!Q7&gt;SUM(Balances!U8:U9),SUM(Balances!U8:U9),Worksheet!Q7))</f>
        <v>0</v>
      </c>
      <c r="X126" s="340">
        <f>IF(Balances!V25&gt;0,0,IF(Worksheet!R7&gt;SUM(Balances!V8:V9),SUM(Balances!V8:V9),Worksheet!R7))</f>
        <v>0</v>
      </c>
      <c r="Y126" s="340">
        <f>IF(Balances!W25&gt;0,0,IF(Worksheet!S7&gt;SUM(Balances!W8:W9),SUM(Balances!W8:W9),Worksheet!S7))</f>
        <v>0</v>
      </c>
      <c r="Z126" s="340">
        <f>IF(Balances!X25&gt;0,0,IF(Worksheet!T7&gt;SUM(Balances!X8:X9),SUM(Balances!X8:X9),Worksheet!T7))</f>
        <v>0</v>
      </c>
      <c r="AA126" s="340">
        <f>IF(Balances!Y25&gt;0,0,IF(Worksheet!U7&gt;SUM(Balances!Y8:Y9),SUM(Balances!Y8:Y9),Worksheet!U7))</f>
        <v>0</v>
      </c>
      <c r="AB126" s="340">
        <f>IF(Balances!Z25&gt;0,0,IF(Worksheet!V7&gt;SUM(Balances!Z8:Z9),SUM(Balances!Z8:Z9),Worksheet!V7))</f>
        <v>0</v>
      </c>
      <c r="AC126" s="340">
        <f>IF(Balances!AA25&gt;0,0,IF(Worksheet!W7&gt;SUM(Balances!AA8:AA9),SUM(Balances!AA8:AA9),Worksheet!W7))</f>
        <v>0</v>
      </c>
      <c r="AD126" s="340">
        <f>IF(Balances!AB25&gt;0,0,IF(Worksheet!X7&gt;SUM(Balances!AB8:AB9),SUM(Balances!AB8:AB9),Worksheet!X7))</f>
        <v>0</v>
      </c>
      <c r="AE126" s="340">
        <f>IF(Balances!AC25&gt;0,0,IF(Worksheet!Y7&gt;SUM(Balances!AC8:AC9),SUM(Balances!AC8:AC9),Worksheet!Y7))</f>
        <v>0</v>
      </c>
      <c r="AF126" s="340">
        <f>IF(Balances!AD25&gt;0,0,IF(Worksheet!Z7&gt;SUM(Balances!AD8:AD9),SUM(Balances!AD8:AD9),Worksheet!Z7))</f>
        <v>0</v>
      </c>
      <c r="AG126" s="340">
        <f>IF(Balances!AE25&gt;0,0,IF(Worksheet!AA7&gt;SUM(Balances!AE8:AE9),SUM(Balances!AE8:AE9),Worksheet!AA7))</f>
        <v>0</v>
      </c>
      <c r="AH126" s="562">
        <f>IF(Balances!AF25&gt;0,0,IF(Worksheet!AB7&gt;SUM(Balances!AF8:AF9),SUM(Balances!AF8:AF9),Worksheet!AB7))</f>
        <v>209244.40417693555</v>
      </c>
      <c r="AI126" s="340">
        <f>IF(Balances!AG25&gt;0,0,IF(Worksheet!AC7&gt;SUM(Balances!AG8:AG9),SUM(Balances!AG8:AG9),Worksheet!AC7))</f>
        <v>902.56575361384284</v>
      </c>
      <c r="AJ126" s="340">
        <f>IF(Balances!AH25&gt;0,0,IF(Worksheet!AD7&gt;SUM(Balances!AH8:AH9),SUM(Balances!AH8:AH9),Worksheet!AD7))</f>
        <v>3320.1610658299473</v>
      </c>
      <c r="AK126" s="340">
        <f>IF(Balances!AI25&gt;0,0,IF(Worksheet!AE7&gt;SUM(Balances!AI8:AI9),SUM(Balances!AI8:AI9),Worksheet!AE7))</f>
        <v>6843.2956742677652</v>
      </c>
      <c r="AL126" s="340">
        <f>IF(Balances!AJ25&gt;0,0,IF(Worksheet!AF7&gt;SUM(Balances!AJ8:AJ9),SUM(Balances!AJ8:AJ9),Worksheet!AF7))</f>
        <v>6897.4717650223847</v>
      </c>
      <c r="AM126" s="340">
        <f>IF(Balances!AK25&gt;0,0,IF(Worksheet!AG7&gt;SUM(Balances!AK8:AK9),SUM(Balances!AK8:AK9),Worksheet!AG7))</f>
        <v>4932.0517498288136</v>
      </c>
      <c r="AN126" s="340">
        <f>IF(Balances!AL25&gt;0,0,IF(Worksheet!AH7&gt;SUM(Balances!AL8:AL9),SUM(Balances!AL8:AL9),Worksheet!AH7))</f>
        <v>4037.4721595149567</v>
      </c>
      <c r="AO126" s="340">
        <f>IF(Balances!AM25&gt;0,0,IF(Worksheet!AI7&gt;SUM(Balances!AM8:AM9),SUM(Balances!AM8:AM9),Worksheet!AI7))</f>
        <v>572.58548077778278</v>
      </c>
      <c r="AP126" s="340">
        <f>IF(Balances!AN25&gt;0,0,IF(Worksheet!AJ7&gt;SUM(Balances!AN8:AN9),SUM(Balances!AN8:AN9),Worksheet!AJ7))</f>
        <v>0</v>
      </c>
      <c r="AQ126" s="340">
        <f>IF(Balances!AO25&gt;0,0,IF(Worksheet!AK7&gt;SUM(Balances!AO8:AO9),SUM(Balances!AO8:AO9),Worksheet!AK7))</f>
        <v>0</v>
      </c>
      <c r="AR126" s="340">
        <f>IF(Balances!AP25&gt;0,0,IF(Worksheet!AL7&gt;SUM(Balances!AP8:AP9),SUM(Balances!AP8:AP9),Worksheet!AL7))</f>
        <v>0</v>
      </c>
      <c r="AS126" s="340">
        <f>IF(Balances!AQ25&gt;0,0,IF(Worksheet!AM7&gt;SUM(Balances!AQ8:AQ9),SUM(Balances!AQ8:AQ9),Worksheet!AM7))</f>
        <v>0</v>
      </c>
      <c r="AT126" s="562">
        <f>IF(Balances!AR25&gt;0,0,IF(Worksheet!AN7&gt;SUM(Balances!AR8:AR9),SUM(Balances!AR8:AR9),Worksheet!AN7))</f>
        <v>0</v>
      </c>
      <c r="AU126" s="340">
        <f>IF(Balances!AS25&gt;0,0,IF(Worksheet!AO7&gt;SUM(Balances!AS8:AS9),SUM(Balances!AS8:AS9),Worksheet!AO7))</f>
        <v>0</v>
      </c>
      <c r="AV126" s="340">
        <f>IF(Balances!AT25&gt;0,0,IF(Worksheet!AP7&gt;SUM(Balances!AT8:AT9),SUM(Balances!AT8:AT9),Worksheet!AP7))</f>
        <v>0</v>
      </c>
      <c r="AW126" s="340">
        <f>IF(Balances!AU25&gt;0,0,IF(Worksheet!AQ7&gt;SUM(Balances!AU8:AU9),SUM(Balances!AU8:AU9),Worksheet!AQ7))</f>
        <v>0</v>
      </c>
      <c r="AX126" s="340">
        <f>IF(Balances!AV25&gt;0,0,IF(Worksheet!AR7&gt;SUM(Balances!AV8:AV9),SUM(Balances!AV8:AV9),Worksheet!AR7))</f>
        <v>0</v>
      </c>
      <c r="AY126" s="340">
        <f>IF(Balances!AW25&gt;0,0,IF(Worksheet!AS7&gt;SUM(Balances!AW8:AW9),SUM(Balances!AW8:AW9),Worksheet!AS7))</f>
        <v>0</v>
      </c>
      <c r="AZ126" s="340">
        <f>IF(Balances!AX25&gt;0,0,IF(Worksheet!AT7&gt;SUM(Balances!AX8:AX9),SUM(Balances!AX8:AX9),Worksheet!AT7))</f>
        <v>0</v>
      </c>
      <c r="BA126" s="340">
        <f>IF(Balances!AY25&gt;0,0,IF(Worksheet!AU7&gt;SUM(Balances!AY8:AY9),SUM(Balances!AY8:AY9),Worksheet!AU7))</f>
        <v>0</v>
      </c>
      <c r="BB126" s="340">
        <f>IF(Balances!AZ25&gt;0,0,IF(Worksheet!AV7&gt;SUM(Balances!AZ8:AZ9),SUM(Balances!AZ8:AZ9),Worksheet!AV7))</f>
        <v>0</v>
      </c>
      <c r="BC126" s="340">
        <f>IF(Balances!BA25&gt;0,0,IF(Worksheet!AW7&gt;SUM(Balances!BA8:BA9),SUM(Balances!BA8:BA9),Worksheet!AW7))</f>
        <v>0</v>
      </c>
      <c r="BD126" s="340">
        <f>IF(Balances!BB25&gt;0,0,IF(Worksheet!AX7&gt;SUM(Balances!BB8:BB9),SUM(Balances!BB8:BB9),Worksheet!AX7))</f>
        <v>0</v>
      </c>
      <c r="BE126" s="340">
        <f>IF(Balances!BC25&gt;0,0,IF(Worksheet!AY7&gt;SUM(Balances!BC8:BC9),SUM(Balances!BC8:BC9),Worksheet!AY7))</f>
        <v>0</v>
      </c>
      <c r="BF126" s="562">
        <f>IF(Balances!BD25&gt;0,0,IF(Worksheet!AZ7&gt;SUM(Balances!BD8:BD9),SUM(Balances!BD8:BD9),Worksheet!AZ7))</f>
        <v>0</v>
      </c>
      <c r="BG126" s="340">
        <f>IF(Balances!BE25&gt;0,0,IF(Worksheet!BA7&gt;SUM(Balances!BE8:BE9),SUM(Balances!BE8:BE9),Worksheet!BA7))</f>
        <v>0</v>
      </c>
      <c r="BH126" s="340">
        <f>IF(Balances!BF25&gt;0,0,IF(Worksheet!BB7&gt;SUM(Balances!BF8:BF9),SUM(Balances!BF8:BF9),Worksheet!BB7))</f>
        <v>0</v>
      </c>
      <c r="BI126" s="340">
        <f>IF(Balances!BG25&gt;0,0,IF(Worksheet!BC7&gt;SUM(Balances!BG8:BG9),SUM(Balances!BG8:BG9),Worksheet!BC7))</f>
        <v>0</v>
      </c>
      <c r="BJ126" s="340">
        <f>IF(Balances!BH25&gt;0,0,IF(Worksheet!BD7&gt;SUM(Balances!BH8:BH9),SUM(Balances!BH8:BH9),Worksheet!BD7))</f>
        <v>0</v>
      </c>
      <c r="BK126" s="340">
        <f>IF(Balances!BI25&gt;0,0,IF(Worksheet!BE7&gt;SUM(Balances!BI8:BI9),SUM(Balances!BI8:BI9),Worksheet!BE7))</f>
        <v>0</v>
      </c>
      <c r="BL126" s="340">
        <f>IF(Balances!BJ25&gt;0,0,IF(Worksheet!BF7&gt;SUM(Balances!BJ8:BJ9),SUM(Balances!BJ8:BJ9),Worksheet!BF7))</f>
        <v>0</v>
      </c>
      <c r="BM126" s="340">
        <f>IF(Balances!BK25&gt;0,0,IF(Worksheet!BG7&gt;SUM(Balances!BK8:BK9),SUM(Balances!BK8:BK9),Worksheet!BG7))</f>
        <v>0</v>
      </c>
      <c r="BN126" s="340">
        <f>IF(Balances!BL25&gt;0,0,IF(Worksheet!BH7&gt;SUM(Balances!BL8:BL9),SUM(Balances!BL8:BL9),Worksheet!BH7))</f>
        <v>0</v>
      </c>
      <c r="BO126" s="340">
        <f>IF(Balances!BM25&gt;0,0,IF(Worksheet!BI7&gt;SUM(Balances!BM8:BM9),SUM(Balances!BM8:BM9),Worksheet!BI7))</f>
        <v>0</v>
      </c>
      <c r="BP126" s="340">
        <f>IF(Balances!BN25&gt;0,0,IF(Worksheet!BJ7&gt;SUM(Balances!BN8:BN9),SUM(Balances!BN8:BN9),Worksheet!BJ7))</f>
        <v>0</v>
      </c>
      <c r="BQ126" s="340">
        <f>IF(Balances!BO25&gt;0,0,IF(Worksheet!BK7&gt;SUM(Balances!BO8:BO9),SUM(Balances!BO8:BO9),Worksheet!BK7))</f>
        <v>0</v>
      </c>
      <c r="BR126" s="562">
        <f>IF(Balances!BP25&gt;0,0,IF(Worksheet!BL7&gt;SUM(Balances!BP8:BP9),SUM(Balances!BP8:BP9),Worksheet!BL7))</f>
        <v>0</v>
      </c>
      <c r="BS126" s="340">
        <f>IF(Balances!BQ25&gt;0,0,IF(Worksheet!BM7&gt;SUM(Balances!BQ8:BQ9),SUM(Balances!BQ8:BQ9),Worksheet!BM7))</f>
        <v>0</v>
      </c>
      <c r="BT126" s="340">
        <f>IF(Balances!BR25&gt;0,0,IF(Worksheet!BN7&gt;SUM(Balances!BR8:BR9),SUM(Balances!BR8:BR9),Worksheet!BN7))</f>
        <v>0</v>
      </c>
      <c r="BU126" s="340">
        <f>IF(Balances!BS25&gt;0,0,IF(Worksheet!BO7&gt;SUM(Balances!BS8:BS9),SUM(Balances!BS8:BS9),Worksheet!BO7))</f>
        <v>0</v>
      </c>
      <c r="BV126" s="340">
        <f>IF(Balances!BT25&gt;0,0,IF(Worksheet!BP7&gt;SUM(Balances!BT8:BT9),SUM(Balances!BT8:BT9),Worksheet!BP7))</f>
        <v>0</v>
      </c>
      <c r="BW126" s="340">
        <f>IF(Balances!BU25&gt;0,0,IF(Worksheet!BQ7&gt;SUM(Balances!BU8:BU9),SUM(Balances!BU8:BU9),Worksheet!BQ7))</f>
        <v>0</v>
      </c>
      <c r="BX126" s="340">
        <f>IF(Balances!BV25&gt;0,0,IF(Worksheet!BR7&gt;SUM(Balances!BV8:BV9),SUM(Balances!BV8:BV9),Worksheet!BR7))</f>
        <v>0</v>
      </c>
      <c r="BY126" s="340">
        <f>IF(Balances!BW25&gt;0,0,IF(Worksheet!BS7&gt;SUM(Balances!BW8:BW9),SUM(Balances!BW8:BW9),Worksheet!BS7))</f>
        <v>0</v>
      </c>
      <c r="BZ126" s="340">
        <f>IF(Balances!BX25&gt;0,0,IF(Worksheet!BT7&gt;SUM(Balances!BX8:BX9),SUM(Balances!BX8:BX9),Worksheet!BT7))</f>
        <v>0</v>
      </c>
      <c r="CA126" s="340">
        <f>IF(Balances!BY25&gt;0,0,IF(Worksheet!BU7&gt;SUM(Balances!BY8:BY9),SUM(Balances!BY8:BY9),Worksheet!BU7))</f>
        <v>0</v>
      </c>
      <c r="CB126" s="340">
        <f>IF(Balances!BZ25&gt;0,0,IF(Worksheet!BV7&gt;SUM(Balances!BZ8:BZ9),SUM(Balances!BZ8:BZ9),Worksheet!BV7))</f>
        <v>0</v>
      </c>
      <c r="CC126" s="340">
        <f>IF(Balances!CA25&gt;0,0,IF(Worksheet!BW7&gt;SUM(Balances!CA8:CA9),SUM(Balances!CA8:CA9),Worksheet!BW7))</f>
        <v>0</v>
      </c>
      <c r="CD126" s="562">
        <f>IF(Balances!CB25&gt;0,0,IF(Worksheet!BX7&gt;SUM(Balances!CB8:CB9),SUM(Balances!CB8:CB9),Worksheet!BX7))</f>
        <v>0</v>
      </c>
      <c r="CE126" s="340">
        <f>IF(Balances!CC25&gt;0,0,IF(Worksheet!BY7&gt;SUM(Balances!CC8:CC9),SUM(Balances!CC8:CC9),Worksheet!BY7))</f>
        <v>0</v>
      </c>
      <c r="CF126" s="340">
        <f>IF(Balances!CD25&gt;0,0,IF(Worksheet!BZ7&gt;SUM(Balances!CD8:CD9),SUM(Balances!CD8:CD9),Worksheet!BZ7))</f>
        <v>0</v>
      </c>
      <c r="CG126" s="340">
        <f>IF(Balances!CE25&gt;0,0,IF(Worksheet!CA7&gt;SUM(Balances!CE8:CE9),SUM(Balances!CE8:CE9),Worksheet!CA7))</f>
        <v>0</v>
      </c>
      <c r="CH126" s="340">
        <f>IF(Balances!CF25&gt;0,0,IF(Worksheet!CB7&gt;SUM(Balances!CF8:CF9),SUM(Balances!CF8:CF9),Worksheet!CB7))</f>
        <v>0</v>
      </c>
      <c r="CI126" s="340">
        <f>IF(Balances!CG25&gt;0,0,IF(Worksheet!CC7&gt;SUM(Balances!CG8:CG9),SUM(Balances!CG8:CG9),Worksheet!CC7))</f>
        <v>0</v>
      </c>
      <c r="CJ126" s="340">
        <f>IF(Balances!CH25&gt;0,0,IF(Worksheet!CD7&gt;SUM(Balances!CH8:CH9),SUM(Balances!CH8:CH9),Worksheet!CD7))</f>
        <v>0</v>
      </c>
      <c r="CK126" s="340">
        <f>IF(Balances!CI25&gt;0,0,IF(Worksheet!CE7&gt;SUM(Balances!CI8:CI9),SUM(Balances!CI8:CI9),Worksheet!CE7))</f>
        <v>0</v>
      </c>
      <c r="CL126" s="340">
        <f>IF(Balances!CJ25&gt;0,0,IF(Worksheet!CF7&gt;SUM(Balances!CJ8:CJ9),SUM(Balances!CJ8:CJ9),Worksheet!CF7))</f>
        <v>0</v>
      </c>
      <c r="CM126" s="340">
        <f>IF(Balances!CK25&gt;0,0,IF(Worksheet!CG7&gt;SUM(Balances!CK8:CK9),SUM(Balances!CK8:CK9),Worksheet!CG7))</f>
        <v>0</v>
      </c>
      <c r="CN126" s="340">
        <f>IF(Balances!CL25&gt;0,0,IF(Worksheet!CH7&gt;SUM(Balances!CL8:CL9),SUM(Balances!CL8:CL9),Worksheet!CH7))</f>
        <v>0</v>
      </c>
      <c r="CO126" s="340">
        <f>IF(Balances!CM25&gt;0,0,IF(Worksheet!CI7&gt;SUM(Balances!CM8:CM9),SUM(Balances!CM8:CM9),Worksheet!CI7))</f>
        <v>0</v>
      </c>
      <c r="CP126" s="562">
        <f>IF(Balances!CN25&gt;0,0,IF(Worksheet!CJ7&gt;SUM(Balances!CN8:CN9),SUM(Balances!CN8:CN9),Worksheet!CJ7))</f>
        <v>0</v>
      </c>
      <c r="CQ126" s="340">
        <f>IF(Balances!CO25&gt;0,0,IF(Worksheet!CK7&gt;SUM(Balances!CO8:CO9),SUM(Balances!CO8:CO9),Worksheet!CK7))</f>
        <v>0</v>
      </c>
      <c r="CR126" s="340">
        <f>IF(Balances!CP25&gt;0,0,IF(Worksheet!CL7&gt;SUM(Balances!CP8:CP9),SUM(Balances!CP8:CP9),Worksheet!CL7))</f>
        <v>0</v>
      </c>
      <c r="CS126" s="340">
        <f>IF(Balances!CQ25&gt;0,0,IF(Worksheet!CM7&gt;SUM(Balances!CQ8:CQ9),SUM(Balances!CQ8:CQ9),Worksheet!CM7))</f>
        <v>0</v>
      </c>
      <c r="CT126" s="340">
        <f>IF(Balances!CR25&gt;0,0,IF(Worksheet!CN7&gt;SUM(Balances!CR8:CR9),SUM(Balances!CR8:CR9),Worksheet!CN7))</f>
        <v>0</v>
      </c>
      <c r="CU126" s="340">
        <f>IF(Balances!CS25&gt;0,0,IF(Worksheet!CO7&gt;SUM(Balances!CS8:CS9),SUM(Balances!CS8:CS9),Worksheet!CO7))</f>
        <v>0</v>
      </c>
      <c r="CV126" s="340">
        <f>IF(Balances!CT25&gt;0,0,IF(Worksheet!CP7&gt;SUM(Balances!CT8:CT9),SUM(Balances!CT8:CT9),Worksheet!CP7))</f>
        <v>0</v>
      </c>
      <c r="CW126" s="340">
        <f>IF(Balances!CU25&gt;0,0,IF(Worksheet!CQ7&gt;SUM(Balances!CU8:CU9),SUM(Balances!CU8:CU9),Worksheet!CQ7))</f>
        <v>0</v>
      </c>
      <c r="CX126" s="340">
        <f>IF(Balances!CV25&gt;0,0,IF(Worksheet!CR7&gt;SUM(Balances!CV8:CV9),SUM(Balances!CV8:CV9),Worksheet!CR7))</f>
        <v>0</v>
      </c>
      <c r="CY126" s="340">
        <f>IF(Balances!CW25&gt;0,0,IF(Worksheet!CS7&gt;SUM(Balances!CW8:CW9),SUM(Balances!CW8:CW9),Worksheet!CS7))</f>
        <v>0</v>
      </c>
      <c r="CZ126" s="340">
        <f>IF(Balances!CX25&gt;0,0,IF(Worksheet!CT7&gt;SUM(Balances!CX8:CX9),SUM(Balances!CX8:CX9),Worksheet!CT7))</f>
        <v>0</v>
      </c>
      <c r="DA126" s="340">
        <f>IF(Balances!CY25&gt;0,0,IF(Worksheet!CU7&gt;SUM(Balances!CY8:CY9),SUM(Balances!CY8:CY9),Worksheet!CU7))</f>
        <v>0</v>
      </c>
      <c r="DB126" s="562">
        <f>IF(Balances!CZ25&gt;0,0,IF(Worksheet!CV7&gt;SUM(Balances!CZ8:CZ9),SUM(Balances!CZ8:CZ9),Worksheet!CV7))</f>
        <v>0</v>
      </c>
      <c r="DC126" s="340">
        <f>IF(Balances!DA25&gt;0,0,IF(Worksheet!CW7&gt;SUM(Balances!DA8:DA9),SUM(Balances!DA8:DA9),Worksheet!CW7))</f>
        <v>0</v>
      </c>
      <c r="DD126" s="340">
        <f>IF(Balances!DB25&gt;0,0,IF(Worksheet!CX7&gt;SUM(Balances!DB8:DB9),SUM(Balances!DB8:DB9),Worksheet!CX7))</f>
        <v>0</v>
      </c>
      <c r="DE126" s="340">
        <f>IF(Balances!DC25&gt;0,0,IF(Worksheet!CY7&gt;SUM(Balances!DC8:DC9),SUM(Balances!DC8:DC9),Worksheet!CY7))</f>
        <v>0</v>
      </c>
      <c r="DF126" s="340">
        <f>IF(Balances!DD25&gt;0,0,IF(Worksheet!CZ7&gt;SUM(Balances!DD8:DD9),SUM(Balances!DD8:DD9),Worksheet!CZ7))</f>
        <v>0</v>
      </c>
      <c r="DG126" s="340">
        <f>IF(Balances!DE25&gt;0,0,IF(Worksheet!DA7&gt;SUM(Balances!DE8:DE9),SUM(Balances!DE8:DE9),Worksheet!DA7))</f>
        <v>0</v>
      </c>
      <c r="DH126" s="340">
        <f>IF(Balances!DF25&gt;0,0,IF(Worksheet!DB7&gt;SUM(Balances!DF8:DF9),SUM(Balances!DF8:DF9),Worksheet!DB7))</f>
        <v>0</v>
      </c>
      <c r="DI126" s="340">
        <f>IF(Balances!DG25&gt;0,0,IF(Worksheet!DC7&gt;SUM(Balances!DG8:DG9),SUM(Balances!DG8:DG9),Worksheet!DC7))</f>
        <v>0</v>
      </c>
      <c r="DJ126" s="340">
        <f>IF(Balances!DH25&gt;0,0,IF(Worksheet!DD7&gt;SUM(Balances!DH8:DH9),SUM(Balances!DH8:DH9),Worksheet!DD7))</f>
        <v>0</v>
      </c>
      <c r="DK126" s="340">
        <f>IF(Balances!DI25&gt;0,0,IF(Worksheet!DE7&gt;SUM(Balances!DI8:DI9),SUM(Balances!DI8:DI9),Worksheet!DE7))</f>
        <v>0</v>
      </c>
      <c r="DL126" s="340">
        <f>IF(Balances!DJ25&gt;0,0,IF(Worksheet!DF7&gt;SUM(Balances!DJ8:DJ9),SUM(Balances!DJ8:DJ9),Worksheet!DF7))</f>
        <v>0</v>
      </c>
      <c r="DM126" s="340">
        <f>IF(Balances!DK25&gt;0,0,IF(Worksheet!DG7&gt;SUM(Balances!DK8:DK9),SUM(Balances!DK8:DK9),Worksheet!DG7))</f>
        <v>0</v>
      </c>
      <c r="DN126" s="340">
        <f>IF(Balances!DL25&gt;0,0,IF(Worksheet!DH7&gt;SUM(Balances!DL8:DL9),SUM(Balances!DL8:DL9),Worksheet!DH7))</f>
        <v>0</v>
      </c>
      <c r="DP126" s="340"/>
    </row>
    <row r="127" spans="3:120" x14ac:dyDescent="0.3">
      <c r="C127" s="342"/>
      <c r="D127" s="342" t="str">
        <f>'Table 3.0'!D155</f>
        <v>Seller Carryback - Principal Payments</v>
      </c>
      <c r="E127" s="342"/>
      <c r="F127" s="342"/>
      <c r="G127" s="342"/>
      <c r="H127" s="342"/>
      <c r="I127" s="342"/>
      <c r="J127" s="344"/>
      <c r="K127" s="344">
        <f>IF('Table 3.0'!$K$23=0,0,IF(Balances!Y11&gt;0,0,IF(Worksheet!U10&gt;SUM(Balances!Y15:Y16),SUM(Balances!Y15:Y16),Worksheet!U10)))</f>
        <v>0</v>
      </c>
      <c r="L127" s="344">
        <f>IF('Table 3.0'!$K$23=0,0,IF(Balances!Z11&gt;0,0,IF(Worksheet!V10&gt;SUM(Balances!Z15:Z16),SUM(Balances!Z15:Z16),Worksheet!V10)))</f>
        <v>0</v>
      </c>
      <c r="M127" s="344">
        <f>IF('Table 3.0'!$K$23=0,0,IF(Balances!AA11&gt;0,0,IF(Worksheet!W10&gt;SUM(Balances!AA15:AA16),SUM(Balances!AA15:AA16),Worksheet!W10)))</f>
        <v>0</v>
      </c>
      <c r="N127" s="344">
        <f>IF('Table 3.0'!$K$23=0,0,IF(Balances!AB11&gt;0,0,IF(Worksheet!X10&gt;SUM(Balances!AB15:AB16),SUM(Balances!AB15:AB16),Worksheet!X10)))</f>
        <v>0</v>
      </c>
      <c r="O127" s="344">
        <f>IF('Table 3.0'!$K$23=0,0,IF(Balances!AC11&gt;0,0,IF(Worksheet!Y10&gt;SUM(Balances!AC15:AC16),SUM(Balances!AC15:AC16),Worksheet!Y10)))</f>
        <v>0</v>
      </c>
      <c r="P127" s="344">
        <f>IF('Table 3.0'!$K$23=0,0,IF(Balances!AD11&gt;0,0,IF(Worksheet!Z10&gt;SUM(Balances!AD15:AD16),SUM(Balances!AD15:AD16),Worksheet!Z10)))</f>
        <v>0</v>
      </c>
      <c r="Q127" s="344">
        <f>IF('Table 3.0'!$K$23=0,0,IF(Balances!AE11&gt;0,0,IF(Worksheet!AA10&gt;SUM(Balances!AE15:AE16),SUM(Balances!AE15:AE16),Worksheet!AA10)))</f>
        <v>0</v>
      </c>
      <c r="R127" s="344">
        <f>IF('Table 3.0'!$K$23=0,0,IF(Balances!AF11&gt;0,0,IF(Worksheet!AB10&gt;SUM(Balances!AF15:AF16),SUM(Balances!AF15:AF16),Worksheet!AB10)))</f>
        <v>0</v>
      </c>
      <c r="S127" s="344">
        <f>IF('Table 3.0'!$K$23=0,0,IF(Balances!AG11&gt;0,0,IF(Worksheet!AC10&gt;SUM(Balances!AG15:AG16),SUM(Balances!AG15:AG16),Worksheet!AC10)))</f>
        <v>0</v>
      </c>
      <c r="T127" s="344">
        <f>IF('Table 3.0'!$K$23=0,0,IF(Balances!AH11&gt;0,0,IF(Worksheet!AD10&gt;SUM(Balances!AH15:AH16),SUM(Balances!AH15:AH16),Worksheet!AD10)))</f>
        <v>0</v>
      </c>
      <c r="U127" s="344">
        <f>IF('Table 3.0'!$K$23=0,0,IF(Balances!AI11&gt;0,0,IF(Worksheet!AE10&gt;SUM(Balances!AI15:AI16),SUM(Balances!AI15:AI16),Worksheet!AE10)))</f>
        <v>0</v>
      </c>
      <c r="V127" s="563">
        <f>IF('Table 3.0'!$K$23=0,0,IF(Balances!AJ11&gt;0,0,IF(Worksheet!AF10&gt;SUM(Balances!AJ15:AJ16),SUM(Balances!AJ15:AJ16),Worksheet!AF10)))</f>
        <v>0</v>
      </c>
      <c r="W127" s="344">
        <f>IF('Table 3.0'!$K$23=0,0,IF(Balances!AK11&gt;0,0,IF(Worksheet!AG10&gt;SUM(Balances!AK15:AK16),SUM(Balances!AK15:AK16),Worksheet!AG10)))</f>
        <v>0</v>
      </c>
      <c r="X127" s="344">
        <f>IF('Table 3.0'!$K$23=0,0,IF(Balances!AL11&gt;0,0,IF(Worksheet!AH10&gt;SUM(Balances!AL15:AL16),SUM(Balances!AL15:AL16),Worksheet!AH10)))</f>
        <v>0</v>
      </c>
      <c r="Y127" s="344">
        <f>IF('Table 3.0'!$K$23=0,0,IF(Balances!AM11&gt;0,0,IF(Worksheet!AI10&gt;SUM(Balances!AM15:AM16),SUM(Balances!AM15:AM16),Worksheet!AI10)))</f>
        <v>0</v>
      </c>
      <c r="Z127" s="344">
        <f>IF('Table 3.0'!$K$23=0,0,IF(Balances!AN11&gt;0,0,IF(Worksheet!AJ10&gt;SUM(Balances!AN15:AN16),SUM(Balances!AN15:AN16),Worksheet!AJ10)))</f>
        <v>0</v>
      </c>
      <c r="AA127" s="344">
        <f>IF('Table 3.0'!$K$23=0,0,IF(Balances!AO11&gt;0,0,IF(Worksheet!AK10&gt;SUM(Balances!AO15:AO16),SUM(Balances!AO15:AO16),Worksheet!AK10)))</f>
        <v>0</v>
      </c>
      <c r="AB127" s="344">
        <f>IF('Table 3.0'!$K$23=0,0,IF(Balances!AP11&gt;0,0,IF(Worksheet!AL10&gt;SUM(Balances!AP15:AP16),SUM(Balances!AP15:AP16),Worksheet!AL10)))</f>
        <v>0</v>
      </c>
      <c r="AC127" s="344">
        <f>IF('Table 3.0'!$K$23=0,0,IF(Balances!AQ11&gt;0,0,IF(Worksheet!AM10&gt;SUM(Balances!AQ15:AQ16),SUM(Balances!AQ15:AQ16),Worksheet!AM10)))</f>
        <v>0</v>
      </c>
      <c r="AD127" s="344">
        <f>IF('Table 3.0'!$K$23=0,0,IF(Balances!AR11&gt;0,0,IF(Worksheet!AN10&gt;SUM(Balances!AR15:AR16),SUM(Balances!AR15:AR16),Worksheet!AN10)))</f>
        <v>0</v>
      </c>
      <c r="AE127" s="344">
        <f>IF('Table 3.0'!$K$23=0,0,IF(Balances!AS11&gt;0,0,IF(Worksheet!AO10&gt;SUM(Balances!AS15:AS16),SUM(Balances!AS15:AS16),Worksheet!AO10)))</f>
        <v>0</v>
      </c>
      <c r="AF127" s="344">
        <f>IF('Table 3.0'!$K$23=0,0,IF(Balances!AT11&gt;0,0,IF(Worksheet!AP10&gt;SUM(Balances!AT15:AT16),SUM(Balances!AT15:AT16),Worksheet!AP10)))</f>
        <v>0</v>
      </c>
      <c r="AG127" s="344">
        <f>IF('Table 3.0'!$K$23=0,0,IF(Balances!AU11&gt;0,0,IF(Worksheet!AQ10&gt;SUM(Balances!AU15:AU16),SUM(Balances!AU15:AU16),Worksheet!AQ10)))</f>
        <v>0</v>
      </c>
      <c r="AH127" s="563">
        <f>IF('Table 3.0'!$K$23=0,0,IF(Balances!AV11&gt;0,0,IF(Worksheet!AR10&gt;SUM(Balances!AV15:AV16),SUM(Balances!AV15:AV16),Worksheet!AR10)))</f>
        <v>0</v>
      </c>
      <c r="AI127" s="344">
        <f>IF('Table 3.0'!$K$23=0,0,IF(Balances!AW11&gt;0,0,IF(Worksheet!AS10&gt;SUM(Balances!AW15:AW16),SUM(Balances!AW15:AW16),Worksheet!AS10)))</f>
        <v>0</v>
      </c>
      <c r="AJ127" s="344">
        <f>IF('Table 3.0'!$K$23=0,0,IF(Balances!AX11&gt;0,0,IF(Worksheet!AT10&gt;SUM(Balances!AX15:AX16),SUM(Balances!AX15:AX16),Worksheet!AT10)))</f>
        <v>0</v>
      </c>
      <c r="AK127" s="344">
        <f>IF('Table 3.0'!$K$23=0,0,IF(Balances!AY11&gt;0,0,IF(Worksheet!AU10&gt;SUM(Balances!AY15:AY16),SUM(Balances!AY15:AY16),Worksheet!AU10)))</f>
        <v>0</v>
      </c>
      <c r="AL127" s="344">
        <f>IF('Table 3.0'!$K$23=0,0,IF(Balances!AZ11&gt;0,0,IF(Worksheet!AV10&gt;SUM(Balances!AZ15:AZ16),SUM(Balances!AZ15:AZ16),Worksheet!AV10)))</f>
        <v>0</v>
      </c>
      <c r="AM127" s="344">
        <f>IF('Table 3.0'!$K$23=0,0,IF(Balances!BA11&gt;0,0,IF(Worksheet!AW10&gt;SUM(Balances!BA15:BA16),SUM(Balances!BA15:BA16),Worksheet!AW10)))</f>
        <v>0</v>
      </c>
      <c r="AN127" s="344">
        <f>IF('Table 3.0'!$K$23=0,0,IF(Balances!BB11&gt;0,0,IF(Worksheet!AX10&gt;SUM(Balances!BB15:BB16),SUM(Balances!BB15:BB16),Worksheet!AX10)))</f>
        <v>0</v>
      </c>
      <c r="AO127" s="344">
        <f>IF('Table 3.0'!$K$23=0,0,IF(Balances!BC11&gt;0,0,IF(Worksheet!AY10&gt;SUM(Balances!BC15:BC16),SUM(Balances!BC15:BC16),Worksheet!AY10)))</f>
        <v>0</v>
      </c>
      <c r="AP127" s="344">
        <f>IF('Table 3.0'!$K$23=0,0,IF(Balances!BD11&gt;0,0,IF(Worksheet!AZ10&gt;SUM(Balances!BD15:BD16),SUM(Balances!BD15:BD16),Worksheet!AZ10)))</f>
        <v>0</v>
      </c>
      <c r="AQ127" s="344">
        <f>IF('Table 3.0'!$K$23=0,0,IF(Balances!BE11&gt;0,0,IF(Worksheet!BA10&gt;SUM(Balances!BE15:BE16),SUM(Balances!BE15:BE16),Worksheet!BA10)))</f>
        <v>0</v>
      </c>
      <c r="AR127" s="344">
        <f>IF('Table 3.0'!$K$23=0,0,IF(Balances!BF11&gt;0,0,IF(Worksheet!BB10&gt;SUM(Balances!BF15:BF16),SUM(Balances!BF15:BF16),Worksheet!BB10)))</f>
        <v>0</v>
      </c>
      <c r="AS127" s="344">
        <f>IF('Table 3.0'!$K$23=0,0,IF(Balances!BG11&gt;0,0,IF(Worksheet!BC10&gt;SUM(Balances!BG15:BG16),SUM(Balances!BG15:BG16),Worksheet!BC10)))</f>
        <v>0</v>
      </c>
      <c r="AT127" s="563">
        <f>IF('Table 3.0'!$K$23=0,0,IF(Balances!BH11&gt;0,0,IF(Worksheet!BD10&gt;SUM(Balances!BH15:BH16),SUM(Balances!BH15:BH16),Worksheet!BD10)))</f>
        <v>0</v>
      </c>
      <c r="AU127" s="344">
        <f>IF('Table 3.0'!$K$23=0,0,IF(Balances!BI11&gt;0,0,IF(Worksheet!BE10&gt;SUM(Balances!BI15:BI16),SUM(Balances!BI15:BI16),Worksheet!BE10)))</f>
        <v>0</v>
      </c>
      <c r="AV127" s="344">
        <f>IF('Table 3.0'!$K$23=0,0,IF(Balances!BJ11&gt;0,0,IF(Worksheet!BF10&gt;SUM(Balances!BJ15:BJ16),SUM(Balances!BJ15:BJ16),Worksheet!BF10)))</f>
        <v>0</v>
      </c>
      <c r="AW127" s="344">
        <f>IF('Table 3.0'!$K$23=0,0,IF(Balances!BK11&gt;0,0,IF(Worksheet!BG10&gt;SUM(Balances!BK15:BK16),SUM(Balances!BK15:BK16),Worksheet!BG10)))</f>
        <v>0</v>
      </c>
      <c r="AX127" s="344">
        <f>IF('Table 3.0'!$K$23=0,0,IF(Balances!BL11&gt;0,0,IF(Worksheet!BH10&gt;SUM(Balances!BL15:BL16),SUM(Balances!BL15:BL16),Worksheet!BH10)))</f>
        <v>0</v>
      </c>
      <c r="AY127" s="344">
        <f>IF('Table 3.0'!$K$23=0,0,IF(Balances!BM11&gt;0,0,IF(Worksheet!BI10&gt;SUM(Balances!BM15:BM16),SUM(Balances!BM15:BM16),Worksheet!BI10)))</f>
        <v>0</v>
      </c>
      <c r="AZ127" s="344">
        <f>IF('Table 3.0'!$K$23=0,0,IF(Balances!BN11&gt;0,0,IF(Worksheet!BJ10&gt;SUM(Balances!BN15:BN16),SUM(Balances!BN15:BN16),Worksheet!BJ10)))</f>
        <v>0</v>
      </c>
      <c r="BA127" s="344">
        <f>IF('Table 3.0'!$K$23=0,0,IF(Balances!BO11&gt;0,0,IF(Worksheet!BK10&gt;SUM(Balances!BO15:BO16),SUM(Balances!BO15:BO16),Worksheet!BK10)))</f>
        <v>0</v>
      </c>
      <c r="BB127" s="344">
        <f>IF('Table 3.0'!$K$23=0,0,IF(Balances!BP11&gt;0,0,IF(Worksheet!BL10&gt;SUM(Balances!BP15:BP16),SUM(Balances!BP15:BP16),Worksheet!BL10)))</f>
        <v>0</v>
      </c>
      <c r="BC127" s="344">
        <f>IF('Table 3.0'!$K$23=0,0,IF(Balances!BQ11&gt;0,0,IF(Worksheet!BM10&gt;SUM(Balances!BQ15:BQ16),SUM(Balances!BQ15:BQ16),Worksheet!BM10)))</f>
        <v>0</v>
      </c>
      <c r="BD127" s="344">
        <f>IF('Table 3.0'!$K$23=0,0,IF(Balances!BR11&gt;0,0,IF(Worksheet!BN10&gt;SUM(Balances!BR15:BR16),SUM(Balances!BR15:BR16),Worksheet!BN10)))</f>
        <v>0</v>
      </c>
      <c r="BE127" s="344">
        <f>IF('Table 3.0'!$K$23=0,0,IF(Balances!BS11&gt;0,0,IF(Worksheet!BO10&gt;SUM(Balances!BS15:BS16),SUM(Balances!BS15:BS16),Worksheet!BO10)))</f>
        <v>0</v>
      </c>
      <c r="BF127" s="563">
        <f>IF('Table 3.0'!$K$23=0,0,IF(Balances!BT11&gt;0,0,IF(Worksheet!BP10&gt;SUM(Balances!BT15:BT16),SUM(Balances!BT15:BT16),Worksheet!BP10)))</f>
        <v>0</v>
      </c>
      <c r="BG127" s="344">
        <f>IF('Table 3.0'!$K$23=0,0,IF(Balances!BU11&gt;0,0,IF(Worksheet!BQ10&gt;SUM(Balances!BU15:BU16),SUM(Balances!BU15:BU16),Worksheet!BQ10)))</f>
        <v>0</v>
      </c>
      <c r="BH127" s="344">
        <f>IF('Table 3.0'!$K$23=0,0,IF(Balances!BV11&gt;0,0,IF(Worksheet!BR10&gt;SUM(Balances!BV15:BV16),SUM(Balances!BV15:BV16),Worksheet!BR10)))</f>
        <v>0</v>
      </c>
      <c r="BI127" s="344">
        <f>IF('Table 3.0'!$K$23=0,0,IF(Balances!BW11&gt;0,0,IF(Worksheet!BS10&gt;SUM(Balances!BW15:BW16),SUM(Balances!BW15:BW16),Worksheet!BS10)))</f>
        <v>0</v>
      </c>
      <c r="BJ127" s="344">
        <f>IF('Table 3.0'!$K$23=0,0,IF(Balances!BX11&gt;0,0,IF(Worksheet!BT10&gt;SUM(Balances!BX15:BX16),SUM(Balances!BX15:BX16),Worksheet!BT10)))</f>
        <v>0</v>
      </c>
      <c r="BK127" s="344">
        <f>IF('Table 3.0'!$K$23=0,0,IF(Balances!BY11&gt;0,0,IF(Worksheet!BU10&gt;SUM(Balances!BY15:BY16),SUM(Balances!BY15:BY16),Worksheet!BU10)))</f>
        <v>0</v>
      </c>
      <c r="BL127" s="344">
        <f>IF('Table 3.0'!$K$23=0,0,IF(Balances!BZ11&gt;0,0,IF(Worksheet!BV10&gt;SUM(Balances!BZ15:BZ16),SUM(Balances!BZ15:BZ16),Worksheet!BV10)))</f>
        <v>0</v>
      </c>
      <c r="BM127" s="344">
        <f>IF('Table 3.0'!$K$23=0,0,IF(Balances!CA11&gt;0,0,IF(Worksheet!BW10&gt;SUM(Balances!CA15:CA16),SUM(Balances!CA15:CA16),Worksheet!BW10)))</f>
        <v>0</v>
      </c>
      <c r="BN127" s="344">
        <f>IF('Table 3.0'!$K$23=0,0,IF(Balances!CB11&gt;0,0,IF(Worksheet!BX10&gt;SUM(Balances!CB15:CB16),SUM(Balances!CB15:CB16),Worksheet!BX10)))</f>
        <v>0</v>
      </c>
      <c r="BO127" s="344">
        <f>IF('Table 3.0'!$K$23=0,0,IF(Balances!CC11&gt;0,0,IF(Worksheet!BY10&gt;SUM(Balances!CC15:CC16),SUM(Balances!CC15:CC16),Worksheet!BY10)))</f>
        <v>0</v>
      </c>
      <c r="BP127" s="344">
        <f>IF('Table 3.0'!$K$23=0,0,IF(Balances!CD11&gt;0,0,IF(Worksheet!BZ10&gt;SUM(Balances!CD15:CD16),SUM(Balances!CD15:CD16),Worksheet!BZ10)))</f>
        <v>0</v>
      </c>
      <c r="BQ127" s="344">
        <f>IF('Table 3.0'!$K$23=0,0,IF(Balances!CE11&gt;0,0,IF(Worksheet!CA10&gt;SUM(Balances!CE15:CE16),SUM(Balances!CE15:CE16),Worksheet!CA10)))</f>
        <v>0</v>
      </c>
      <c r="BR127" s="563">
        <f>IF('Table 3.0'!$K$23=0,0,IF(Balances!CF11&gt;0,0,IF(Worksheet!CB10&gt;SUM(Balances!CF15:CF16),SUM(Balances!CF15:CF16),Worksheet!CB10)))</f>
        <v>0</v>
      </c>
      <c r="BS127" s="344">
        <f>IF('Table 3.0'!$K$23=0,0,IF(Balances!CG11&gt;0,0,IF(Worksheet!CC10&gt;SUM(Balances!CG15:CG16),SUM(Balances!CG15:CG16),Worksheet!CC10)))</f>
        <v>0</v>
      </c>
      <c r="BT127" s="344">
        <f>IF('Table 3.0'!$K$23=0,0,IF(Balances!CH11&gt;0,0,IF(Worksheet!CD10&gt;SUM(Balances!CH15:CH16),SUM(Balances!CH15:CH16),Worksheet!CD10)))</f>
        <v>0</v>
      </c>
      <c r="BU127" s="344">
        <f>IF('Table 3.0'!$K$23=0,0,IF(Balances!CI11&gt;0,0,IF(Worksheet!CE10&gt;SUM(Balances!CI15:CI16),SUM(Balances!CI15:CI16),Worksheet!CE10)))</f>
        <v>0</v>
      </c>
      <c r="BV127" s="344">
        <f>IF('Table 3.0'!$K$23=0,0,IF(Balances!CJ11&gt;0,0,IF(Worksheet!CF10&gt;SUM(Balances!CJ15:CJ16),SUM(Balances!CJ15:CJ16),Worksheet!CF10)))</f>
        <v>0</v>
      </c>
      <c r="BW127" s="344">
        <f>IF('Table 3.0'!$K$23=0,0,IF(Balances!CK11&gt;0,0,IF(Worksheet!CG10&gt;SUM(Balances!CK15:CK16),SUM(Balances!CK15:CK16),Worksheet!CG10)))</f>
        <v>0</v>
      </c>
      <c r="BX127" s="344">
        <f>IF('Table 3.0'!$K$23=0,0,IF(Balances!CL11&gt;0,0,IF(Worksheet!CH10&gt;SUM(Balances!CL15:CL16),SUM(Balances!CL15:CL16),Worksheet!CH10)))</f>
        <v>0</v>
      </c>
      <c r="BY127" s="344">
        <f>IF('Table 3.0'!$K$23=0,0,IF(Balances!CM11&gt;0,0,IF(Worksheet!CI10&gt;SUM(Balances!CM15:CM16),SUM(Balances!CM15:CM16),Worksheet!CI10)))</f>
        <v>0</v>
      </c>
      <c r="BZ127" s="344">
        <f>IF('Table 3.0'!$K$23=0,0,IF(Balances!CN11&gt;0,0,IF(Worksheet!CJ10&gt;SUM(Balances!CN15:CN16),SUM(Balances!CN15:CN16),Worksheet!CJ10)))</f>
        <v>0</v>
      </c>
      <c r="CA127" s="344">
        <f>IF('Table 3.0'!$K$23=0,0,IF(Balances!CO11&gt;0,0,IF(Worksheet!CK10&gt;SUM(Balances!CO15:CO16),SUM(Balances!CO15:CO16),Worksheet!CK10)))</f>
        <v>0</v>
      </c>
      <c r="CB127" s="344">
        <f>IF('Table 3.0'!$K$23=0,0,IF(Balances!CP11&gt;0,0,IF(Worksheet!CL10&gt;SUM(Balances!CP15:CP16),SUM(Balances!CP15:CP16),Worksheet!CL10)))</f>
        <v>0</v>
      </c>
      <c r="CC127" s="344">
        <f>IF('Table 3.0'!$K$23=0,0,IF(Balances!CQ11&gt;0,0,IF(Worksheet!CM10&gt;SUM(Balances!CQ15:CQ16),SUM(Balances!CQ15:CQ16),Worksheet!CM10)))</f>
        <v>0</v>
      </c>
      <c r="CD127" s="563">
        <f>IF('Table 3.0'!$K$23=0,0,IF(Balances!CR11&gt;0,0,IF(Worksheet!CN10&gt;SUM(Balances!CR15:CR16),SUM(Balances!CR15:CR16),Worksheet!CN10)))</f>
        <v>0</v>
      </c>
      <c r="CE127" s="344">
        <f>IF('Table 3.0'!$K$23=0,0,IF(Balances!CS11&gt;0,0,IF(Worksheet!CO10&gt;SUM(Balances!CS15:CS16),SUM(Balances!CS15:CS16),Worksheet!CO10)))</f>
        <v>0</v>
      </c>
      <c r="CF127" s="344">
        <f>IF('Table 3.0'!$K$23=0,0,IF(Balances!CT11&gt;0,0,IF(Worksheet!CP10&gt;SUM(Balances!CT15:CT16),SUM(Balances!CT15:CT16),Worksheet!CP10)))</f>
        <v>0</v>
      </c>
      <c r="CG127" s="344">
        <f>IF('Table 3.0'!$K$23=0,0,IF(Balances!CU11&gt;0,0,IF(Worksheet!CQ10&gt;SUM(Balances!CU15:CU16),SUM(Balances!CU15:CU16),Worksheet!CQ10)))</f>
        <v>0</v>
      </c>
      <c r="CH127" s="344">
        <f>IF('Table 3.0'!$K$23=0,0,IF(Balances!CV11&gt;0,0,IF(Worksheet!CR10&gt;SUM(Balances!CV15:CV16),SUM(Balances!CV15:CV16),Worksheet!CR10)))</f>
        <v>0</v>
      </c>
      <c r="CI127" s="344">
        <f>IF('Table 3.0'!$K$23=0,0,IF(Balances!CW11&gt;0,0,IF(Worksheet!CS10&gt;SUM(Balances!CW15:CW16),SUM(Balances!CW15:CW16),Worksheet!CS10)))</f>
        <v>0</v>
      </c>
      <c r="CJ127" s="344">
        <f>IF('Table 3.0'!$K$23=0,0,IF(Balances!CX11&gt;0,0,IF(Worksheet!CT10&gt;SUM(Balances!CX15:CX16),SUM(Balances!CX15:CX16),Worksheet!CT10)))</f>
        <v>0</v>
      </c>
      <c r="CK127" s="344">
        <f>IF('Table 3.0'!$K$23=0,0,IF(Balances!CY11&gt;0,0,IF(Worksheet!CU10&gt;SUM(Balances!CY15:CY16),SUM(Balances!CY15:CY16),Worksheet!CU10)))</f>
        <v>0</v>
      </c>
      <c r="CL127" s="344">
        <f>IF('Table 3.0'!$K$23=0,0,IF(Balances!CZ11&gt;0,0,IF(Worksheet!CV10&gt;SUM(Balances!CZ15:CZ16),SUM(Balances!CZ15:CZ16),Worksheet!CV10)))</f>
        <v>0</v>
      </c>
      <c r="CM127" s="344">
        <f>IF('Table 3.0'!$K$23=0,0,IF(Balances!DA11&gt;0,0,IF(Worksheet!CW10&gt;SUM(Balances!DA15:DA16),SUM(Balances!DA15:DA16),Worksheet!CW10)))</f>
        <v>0</v>
      </c>
      <c r="CN127" s="344">
        <f>IF('Table 3.0'!$K$23=0,0,IF(Balances!DB11&gt;0,0,IF(Worksheet!CX10&gt;SUM(Balances!DB15:DB16),SUM(Balances!DB15:DB16),Worksheet!CX10)))</f>
        <v>0</v>
      </c>
      <c r="CO127" s="344">
        <f>IF('Table 3.0'!$K$23=0,0,IF(Balances!DC11&gt;0,0,IF(Worksheet!CY10&gt;SUM(Balances!DC15:DC16),SUM(Balances!DC15:DC16),Worksheet!CY10)))</f>
        <v>0</v>
      </c>
      <c r="CP127" s="563">
        <f>IF('Table 3.0'!$K$23=0,0,IF(Balances!DD11&gt;0,0,IF(Worksheet!CZ10&gt;SUM(Balances!DD15:DD16),SUM(Balances!DD15:DD16),Worksheet!CZ10)))</f>
        <v>0</v>
      </c>
      <c r="CQ127" s="344">
        <f>IF('Table 3.0'!$K$23=0,0,IF(Balances!DE11&gt;0,0,IF(Worksheet!DA10&gt;SUM(Balances!DE15:DE16),SUM(Balances!DE15:DE16),Worksheet!DA10)))</f>
        <v>0</v>
      </c>
      <c r="CR127" s="344">
        <f>IF('Table 3.0'!$K$23=0,0,IF(Balances!DF11&gt;0,0,IF(Worksheet!DB10&gt;SUM(Balances!DF15:DF16),SUM(Balances!DF15:DF16),Worksheet!DB10)))</f>
        <v>0</v>
      </c>
      <c r="CS127" s="344">
        <f>IF('Table 3.0'!$K$23=0,0,IF(Balances!DG11&gt;0,0,IF(Worksheet!DC10&gt;SUM(Balances!DG15:DG16),SUM(Balances!DG15:DG16),Worksheet!DC10)))</f>
        <v>0</v>
      </c>
      <c r="CT127" s="344">
        <f>IF('Table 3.0'!$K$23=0,0,IF(Balances!DH11&gt;0,0,IF(Worksheet!DD10&gt;SUM(Balances!DH15:DH16),SUM(Balances!DH15:DH16),Worksheet!DD10)))</f>
        <v>0</v>
      </c>
      <c r="CU127" s="344">
        <f>IF('Table 3.0'!$K$23=0,0,IF(Balances!DI11&gt;0,0,IF(Worksheet!DE10&gt;SUM(Balances!DI15:DI16),SUM(Balances!DI15:DI16),Worksheet!DE10)))</f>
        <v>0</v>
      </c>
      <c r="CV127" s="344">
        <f>IF('Table 3.0'!$K$23=0,0,IF(Balances!DJ11&gt;0,0,IF(Worksheet!DF10&gt;SUM(Balances!DJ15:DJ16),SUM(Balances!DJ15:DJ16),Worksheet!DF10)))</f>
        <v>0</v>
      </c>
      <c r="CW127" s="344">
        <f>IF('Table 3.0'!$K$23=0,0,IF(Balances!DK11&gt;0,0,IF(Worksheet!DG10&gt;SUM(Balances!DK15:DK16),SUM(Balances!DK15:DK16),Worksheet!DG10)))</f>
        <v>0</v>
      </c>
      <c r="CX127" s="344">
        <f>IF('Table 3.0'!$K$23=0,0,IF(Balances!DL11&gt;0,0,IF(Worksheet!DH10&gt;SUM(Balances!DL15:DL16),SUM(Balances!DL15:DL16),Worksheet!DH10)))</f>
        <v>0</v>
      </c>
      <c r="CY127" s="344">
        <f>IF('Table 3.0'!$K$23=0,0,IF(Balances!DM11&gt;0,0,IF(Worksheet!DI10&gt;SUM(Balances!DM15:DM16),SUM(Balances!DM15:DM16),Worksheet!DI10)))</f>
        <v>0</v>
      </c>
      <c r="CZ127" s="344">
        <f>IF('Table 3.0'!$K$23=0,0,IF(Balances!DN11&gt;0,0,IF(Worksheet!DJ10&gt;SUM(Balances!DN15:DN16),SUM(Balances!DN15:DN16),Worksheet!DJ10)))</f>
        <v>0</v>
      </c>
      <c r="DA127" s="344">
        <f>IF('Table 3.0'!$K$23=0,0,IF(Balances!DO11&gt;0,0,IF(Worksheet!DK10&gt;SUM(Balances!DO15:DO16),SUM(Balances!DO15:DO16),Worksheet!DK10)))</f>
        <v>0</v>
      </c>
      <c r="DB127" s="563">
        <f>IF('Table 3.0'!$K$23=0,0,IF(Balances!DP11&gt;0,0,IF(Worksheet!DL10&gt;SUM(Balances!DP15:DP16),SUM(Balances!DP15:DP16),Worksheet!DL10)))</f>
        <v>0</v>
      </c>
      <c r="DC127" s="344">
        <f>IF('Table 3.0'!$K$23=0,0,IF(Balances!DQ11&gt;0,0,IF(Worksheet!DM10&gt;SUM(Balances!DQ15:DQ16),SUM(Balances!DQ15:DQ16),Worksheet!DM10)))</f>
        <v>0</v>
      </c>
      <c r="DD127" s="344">
        <f>IF('Table 3.0'!$K$23=0,0,IF(Balances!DR11&gt;0,0,IF(Worksheet!DN10&gt;SUM(Balances!DR15:DR16),SUM(Balances!DR15:DR16),Worksheet!DN10)))</f>
        <v>0</v>
      </c>
      <c r="DE127" s="344">
        <f>IF('Table 3.0'!$K$23=0,0,IF(Balances!DS11&gt;0,0,IF(Worksheet!DO10&gt;SUM(Balances!DS15:DS16),SUM(Balances!DS15:DS16),Worksheet!DO10)))</f>
        <v>0</v>
      </c>
      <c r="DF127" s="344">
        <f>IF('Table 3.0'!$K$23=0,0,IF(Balances!DT11&gt;0,0,IF(Worksheet!DP10&gt;SUM(Balances!DT15:DT16),SUM(Balances!DT15:DT16),Worksheet!DP10)))</f>
        <v>0</v>
      </c>
      <c r="DG127" s="344">
        <f>IF('Table 3.0'!$K$23=0,0,IF(Balances!DU11&gt;0,0,IF(Worksheet!DQ10&gt;SUM(Balances!DU15:DU16),SUM(Balances!DU15:DU16),Worksheet!DQ10)))</f>
        <v>0</v>
      </c>
      <c r="DH127" s="344">
        <f>IF('Table 3.0'!$K$23=0,0,IF(Balances!DV11&gt;0,0,IF(Worksheet!DR10&gt;SUM(Balances!DV15:DV16),SUM(Balances!DV15:DV16),Worksheet!DR10)))</f>
        <v>0</v>
      </c>
      <c r="DI127" s="344">
        <f>IF('Table 3.0'!$K$23=0,0,IF(Balances!DW11&gt;0,0,IF(Worksheet!DS10&gt;SUM(Balances!DW15:DW16),SUM(Balances!DW15:DW16),Worksheet!DS10)))</f>
        <v>0</v>
      </c>
      <c r="DJ127" s="344">
        <f>IF('Table 3.0'!$K$23=0,0,IF(Balances!DX11&gt;0,0,IF(Worksheet!DT10&gt;SUM(Balances!DX15:DX16),SUM(Balances!DX15:DX16),Worksheet!DT10)))</f>
        <v>0</v>
      </c>
      <c r="DK127" s="344">
        <f>IF('Table 3.0'!$K$23=0,0,IF(Balances!DY11&gt;0,0,IF(Worksheet!DU10&gt;SUM(Balances!DY15:DY16),SUM(Balances!DY15:DY16),Worksheet!DU10)))</f>
        <v>0</v>
      </c>
      <c r="DL127" s="344">
        <f>IF('Table 3.0'!$K$23=0,0,IF(Balances!DZ11&gt;0,0,IF(Worksheet!DV10&gt;SUM(Balances!DZ15:DZ16),SUM(Balances!DZ15:DZ16),Worksheet!DV10)))</f>
        <v>0</v>
      </c>
      <c r="DM127" s="344">
        <f>IF('Table 3.0'!$K$23=0,0,IF(Balances!EA11&gt;0,0,IF(Worksheet!DW10&gt;SUM(Balances!EA15:EA16),SUM(Balances!EA15:EA16),Worksheet!DW10)))</f>
        <v>0</v>
      </c>
      <c r="DN127" s="344">
        <f>IF('Table 3.0'!$K$23=0,0,IF(Balances!EB11&gt;0,0,IF(Worksheet!DX10&gt;SUM(Balances!EB15:EB16),SUM(Balances!EB15:EB16),Worksheet!DX10)))</f>
        <v>0</v>
      </c>
      <c r="DO127" s="342"/>
      <c r="DP127" s="344"/>
    </row>
    <row r="128" spans="3:120" x14ac:dyDescent="0.3">
      <c r="C128" s="323" t="s">
        <v>396</v>
      </c>
      <c r="J128" s="340"/>
      <c r="K128" s="340">
        <f t="shared" ref="K128:BG128" si="340">K122-SUM(K125:K127)</f>
        <v>0</v>
      </c>
      <c r="L128" s="340">
        <f t="shared" si="340"/>
        <v>0</v>
      </c>
      <c r="M128" s="340">
        <f t="shared" si="340"/>
        <v>0</v>
      </c>
      <c r="N128" s="340">
        <f t="shared" si="340"/>
        <v>0</v>
      </c>
      <c r="O128" s="340">
        <f t="shared" si="340"/>
        <v>0</v>
      </c>
      <c r="P128" s="340">
        <f t="shared" si="340"/>
        <v>0</v>
      </c>
      <c r="Q128" s="340">
        <f t="shared" si="340"/>
        <v>0</v>
      </c>
      <c r="R128" s="340">
        <f t="shared" si="340"/>
        <v>0</v>
      </c>
      <c r="S128" s="340">
        <f t="shared" si="340"/>
        <v>0</v>
      </c>
      <c r="T128" s="340">
        <f t="shared" si="340"/>
        <v>0</v>
      </c>
      <c r="U128" s="340">
        <f t="shared" si="340"/>
        <v>0</v>
      </c>
      <c r="V128" s="562">
        <f t="shared" si="340"/>
        <v>0</v>
      </c>
      <c r="W128" s="340">
        <f t="shared" si="340"/>
        <v>0</v>
      </c>
      <c r="X128" s="340">
        <f t="shared" si="340"/>
        <v>0</v>
      </c>
      <c r="Y128" s="340">
        <f t="shared" si="340"/>
        <v>0</v>
      </c>
      <c r="Z128" s="340">
        <f t="shared" si="340"/>
        <v>0</v>
      </c>
      <c r="AA128" s="340">
        <f t="shared" si="340"/>
        <v>0</v>
      </c>
      <c r="AB128" s="340">
        <f t="shared" si="340"/>
        <v>0</v>
      </c>
      <c r="AC128" s="340">
        <f t="shared" si="340"/>
        <v>0</v>
      </c>
      <c r="AD128" s="340">
        <f t="shared" si="340"/>
        <v>0</v>
      </c>
      <c r="AE128" s="340">
        <f t="shared" si="340"/>
        <v>0</v>
      </c>
      <c r="AF128" s="340">
        <f t="shared" si="340"/>
        <v>0</v>
      </c>
      <c r="AG128" s="340">
        <f t="shared" si="340"/>
        <v>0</v>
      </c>
      <c r="AH128" s="562">
        <f t="shared" si="340"/>
        <v>0</v>
      </c>
      <c r="AI128" s="340">
        <f t="shared" si="340"/>
        <v>0</v>
      </c>
      <c r="AJ128" s="340">
        <f t="shared" si="340"/>
        <v>0</v>
      </c>
      <c r="AK128" s="340">
        <f t="shared" si="340"/>
        <v>0</v>
      </c>
      <c r="AL128" s="340">
        <f t="shared" si="340"/>
        <v>0</v>
      </c>
      <c r="AM128" s="340">
        <f t="shared" si="340"/>
        <v>0</v>
      </c>
      <c r="AN128" s="340">
        <f t="shared" si="340"/>
        <v>0</v>
      </c>
      <c r="AO128" s="340">
        <f t="shared" si="340"/>
        <v>0</v>
      </c>
      <c r="AP128" s="340">
        <f t="shared" si="340"/>
        <v>0</v>
      </c>
      <c r="AQ128" s="340">
        <f t="shared" si="340"/>
        <v>0</v>
      </c>
      <c r="AR128" s="340">
        <f t="shared" si="340"/>
        <v>0</v>
      </c>
      <c r="AS128" s="340">
        <f t="shared" si="340"/>
        <v>0</v>
      </c>
      <c r="AT128" s="562">
        <f t="shared" si="340"/>
        <v>0</v>
      </c>
      <c r="AU128" s="340">
        <f t="shared" si="340"/>
        <v>0</v>
      </c>
      <c r="AV128" s="340">
        <f t="shared" si="340"/>
        <v>0</v>
      </c>
      <c r="AW128" s="340">
        <f t="shared" si="340"/>
        <v>0</v>
      </c>
      <c r="AX128" s="340">
        <f t="shared" si="340"/>
        <v>0</v>
      </c>
      <c r="AY128" s="340">
        <f t="shared" si="340"/>
        <v>0</v>
      </c>
      <c r="AZ128" s="340">
        <f t="shared" si="340"/>
        <v>0</v>
      </c>
      <c r="BA128" s="340">
        <f t="shared" si="340"/>
        <v>0</v>
      </c>
      <c r="BB128" s="340">
        <f t="shared" si="340"/>
        <v>0</v>
      </c>
      <c r="BC128" s="340">
        <f t="shared" si="340"/>
        <v>0</v>
      </c>
      <c r="BD128" s="340">
        <f t="shared" si="340"/>
        <v>0</v>
      </c>
      <c r="BE128" s="340">
        <f t="shared" si="340"/>
        <v>0</v>
      </c>
      <c r="BF128" s="562">
        <f t="shared" si="340"/>
        <v>0</v>
      </c>
      <c r="BG128" s="340">
        <f t="shared" si="340"/>
        <v>0</v>
      </c>
      <c r="BH128" s="340">
        <f t="shared" ref="BH128:DN128" si="341">BH122-SUM(BH125:BH127)</f>
        <v>0</v>
      </c>
      <c r="BI128" s="340">
        <f t="shared" si="341"/>
        <v>0</v>
      </c>
      <c r="BJ128" s="340">
        <f t="shared" si="341"/>
        <v>0</v>
      </c>
      <c r="BK128" s="340">
        <f t="shared" si="341"/>
        <v>0</v>
      </c>
      <c r="BL128" s="340">
        <f t="shared" si="341"/>
        <v>0</v>
      </c>
      <c r="BM128" s="340">
        <f t="shared" si="341"/>
        <v>0</v>
      </c>
      <c r="BN128" s="340">
        <f t="shared" si="341"/>
        <v>0</v>
      </c>
      <c r="BO128" s="340">
        <f t="shared" si="341"/>
        <v>0</v>
      </c>
      <c r="BP128" s="340">
        <f t="shared" si="341"/>
        <v>0</v>
      </c>
      <c r="BQ128" s="340">
        <f t="shared" si="341"/>
        <v>0</v>
      </c>
      <c r="BR128" s="562">
        <f t="shared" si="341"/>
        <v>-20000</v>
      </c>
      <c r="BS128" s="340">
        <f t="shared" si="341"/>
        <v>0</v>
      </c>
      <c r="BT128" s="340">
        <f t="shared" si="341"/>
        <v>0</v>
      </c>
      <c r="BU128" s="340">
        <f t="shared" si="341"/>
        <v>0</v>
      </c>
      <c r="BV128" s="340">
        <f t="shared" si="341"/>
        <v>0</v>
      </c>
      <c r="BW128" s="340">
        <f t="shared" si="341"/>
        <v>0</v>
      </c>
      <c r="BX128" s="340">
        <f t="shared" si="341"/>
        <v>0</v>
      </c>
      <c r="BY128" s="340">
        <f t="shared" si="341"/>
        <v>0</v>
      </c>
      <c r="BZ128" s="340">
        <f t="shared" si="341"/>
        <v>0</v>
      </c>
      <c r="CA128" s="340">
        <f t="shared" si="341"/>
        <v>0</v>
      </c>
      <c r="CB128" s="340">
        <f t="shared" si="341"/>
        <v>0</v>
      </c>
      <c r="CC128" s="340">
        <f t="shared" si="341"/>
        <v>0</v>
      </c>
      <c r="CD128" s="562">
        <f t="shared" si="341"/>
        <v>-30000</v>
      </c>
      <c r="CE128" s="340">
        <f t="shared" si="341"/>
        <v>0</v>
      </c>
      <c r="CF128" s="340">
        <f t="shared" si="341"/>
        <v>0</v>
      </c>
      <c r="CG128" s="340">
        <f t="shared" si="341"/>
        <v>0</v>
      </c>
      <c r="CH128" s="340">
        <f t="shared" si="341"/>
        <v>0</v>
      </c>
      <c r="CI128" s="340">
        <f t="shared" si="341"/>
        <v>0</v>
      </c>
      <c r="CJ128" s="340">
        <f t="shared" si="341"/>
        <v>0</v>
      </c>
      <c r="CK128" s="340">
        <f t="shared" si="341"/>
        <v>0</v>
      </c>
      <c r="CL128" s="340">
        <f t="shared" si="341"/>
        <v>0</v>
      </c>
      <c r="CM128" s="340">
        <f t="shared" si="341"/>
        <v>0</v>
      </c>
      <c r="CN128" s="340">
        <f t="shared" si="341"/>
        <v>0</v>
      </c>
      <c r="CO128" s="340">
        <f t="shared" si="341"/>
        <v>0</v>
      </c>
      <c r="CP128" s="562">
        <f t="shared" si="341"/>
        <v>-50000</v>
      </c>
      <c r="CQ128" s="340">
        <f t="shared" si="341"/>
        <v>0</v>
      </c>
      <c r="CR128" s="340">
        <f t="shared" si="341"/>
        <v>0</v>
      </c>
      <c r="CS128" s="340">
        <f t="shared" si="341"/>
        <v>0</v>
      </c>
      <c r="CT128" s="340">
        <f t="shared" si="341"/>
        <v>0</v>
      </c>
      <c r="CU128" s="340">
        <f t="shared" si="341"/>
        <v>0</v>
      </c>
      <c r="CV128" s="340">
        <f t="shared" si="341"/>
        <v>0</v>
      </c>
      <c r="CW128" s="340">
        <f t="shared" si="341"/>
        <v>0</v>
      </c>
      <c r="CX128" s="340">
        <f t="shared" si="341"/>
        <v>0</v>
      </c>
      <c r="CY128" s="340">
        <f t="shared" si="341"/>
        <v>0</v>
      </c>
      <c r="CZ128" s="340">
        <f t="shared" si="341"/>
        <v>0</v>
      </c>
      <c r="DA128" s="340">
        <f t="shared" si="341"/>
        <v>0</v>
      </c>
      <c r="DB128" s="562">
        <f t="shared" si="341"/>
        <v>-60000</v>
      </c>
      <c r="DC128" s="340">
        <f t="shared" si="341"/>
        <v>0</v>
      </c>
      <c r="DD128" s="340">
        <f t="shared" si="341"/>
        <v>0</v>
      </c>
      <c r="DE128" s="340">
        <f t="shared" si="341"/>
        <v>0</v>
      </c>
      <c r="DF128" s="340">
        <f t="shared" si="341"/>
        <v>0</v>
      </c>
      <c r="DG128" s="340">
        <f t="shared" si="341"/>
        <v>0</v>
      </c>
      <c r="DH128" s="340">
        <f t="shared" si="341"/>
        <v>0</v>
      </c>
      <c r="DI128" s="340">
        <f t="shared" si="341"/>
        <v>0</v>
      </c>
      <c r="DJ128" s="340">
        <f t="shared" si="341"/>
        <v>0</v>
      </c>
      <c r="DK128" s="340">
        <f t="shared" si="341"/>
        <v>0</v>
      </c>
      <c r="DL128" s="340">
        <f t="shared" si="341"/>
        <v>0</v>
      </c>
      <c r="DM128" s="340">
        <f t="shared" si="341"/>
        <v>0</v>
      </c>
      <c r="DN128" s="340">
        <f t="shared" si="341"/>
        <v>0</v>
      </c>
      <c r="DP128" s="340"/>
    </row>
    <row r="129" spans="3:120" x14ac:dyDescent="0.3">
      <c r="J129" s="340"/>
      <c r="K129" s="340"/>
      <c r="L129" s="340"/>
      <c r="M129" s="340"/>
      <c r="N129" s="340"/>
      <c r="O129" s="340"/>
      <c r="P129" s="340"/>
      <c r="Q129" s="340"/>
      <c r="R129" s="340"/>
      <c r="S129" s="340"/>
      <c r="T129" s="340"/>
      <c r="U129" s="340"/>
      <c r="V129" s="562"/>
      <c r="W129" s="340"/>
      <c r="X129" s="340"/>
      <c r="Y129" s="340"/>
      <c r="Z129" s="340"/>
      <c r="AA129" s="340"/>
      <c r="AB129" s="340"/>
      <c r="AC129" s="340"/>
      <c r="AD129" s="340"/>
      <c r="AE129" s="340"/>
      <c r="AF129" s="340"/>
      <c r="AG129" s="340"/>
      <c r="AH129" s="562"/>
      <c r="AI129" s="340"/>
      <c r="AJ129" s="340"/>
      <c r="AK129" s="340"/>
      <c r="AL129" s="340"/>
      <c r="AM129" s="340"/>
      <c r="AN129" s="340"/>
      <c r="AO129" s="340"/>
      <c r="AP129" s="340"/>
      <c r="AQ129" s="340"/>
      <c r="AR129" s="340"/>
      <c r="AS129" s="340"/>
      <c r="AT129" s="562"/>
      <c r="AU129" s="340"/>
      <c r="AV129" s="340"/>
      <c r="AW129" s="340"/>
      <c r="AX129" s="340"/>
      <c r="AY129" s="340"/>
      <c r="AZ129" s="340"/>
      <c r="BA129" s="340"/>
      <c r="BB129" s="340"/>
      <c r="BC129" s="340"/>
      <c r="BD129" s="340"/>
      <c r="BE129" s="340"/>
      <c r="BF129" s="562"/>
      <c r="BG129" s="340"/>
      <c r="BH129" s="340"/>
      <c r="BI129" s="340"/>
      <c r="BJ129" s="340"/>
      <c r="BK129" s="340"/>
      <c r="BL129" s="340"/>
      <c r="BM129" s="340"/>
      <c r="BN129" s="340"/>
      <c r="BO129" s="340"/>
      <c r="BP129" s="340"/>
      <c r="BQ129" s="340"/>
      <c r="BR129" s="562"/>
      <c r="BS129" s="340"/>
      <c r="BT129" s="340"/>
      <c r="BU129" s="340"/>
      <c r="BV129" s="340"/>
      <c r="BW129" s="340"/>
      <c r="BX129" s="340"/>
      <c r="BY129" s="340"/>
      <c r="BZ129" s="340"/>
      <c r="CA129" s="340"/>
      <c r="CB129" s="340"/>
      <c r="CC129" s="340"/>
      <c r="CD129" s="562"/>
      <c r="CE129" s="340"/>
      <c r="CF129" s="340"/>
      <c r="CG129" s="340"/>
      <c r="CH129" s="340"/>
      <c r="CI129" s="340"/>
      <c r="CJ129" s="340"/>
      <c r="CK129" s="340"/>
      <c r="CL129" s="340"/>
      <c r="CM129" s="340"/>
      <c r="CN129" s="340"/>
      <c r="CO129" s="340"/>
      <c r="CP129" s="562"/>
      <c r="CQ129" s="340"/>
      <c r="CR129" s="340"/>
      <c r="CS129" s="340"/>
      <c r="CT129" s="340"/>
      <c r="CU129" s="340"/>
      <c r="CV129" s="340"/>
      <c r="CW129" s="340"/>
      <c r="CX129" s="340"/>
      <c r="CY129" s="340"/>
      <c r="CZ129" s="340"/>
      <c r="DA129" s="340"/>
      <c r="DB129" s="562"/>
      <c r="DC129" s="340"/>
      <c r="DD129" s="340"/>
      <c r="DE129" s="340"/>
      <c r="DF129" s="340"/>
      <c r="DG129" s="340"/>
      <c r="DH129" s="340"/>
      <c r="DI129" s="340"/>
      <c r="DJ129" s="340"/>
      <c r="DK129" s="340"/>
      <c r="DL129" s="340"/>
      <c r="DM129" s="340"/>
      <c r="DN129" s="340"/>
      <c r="DP129" s="340"/>
    </row>
    <row r="130" spans="3:120" x14ac:dyDescent="0.3">
      <c r="C130" s="342"/>
      <c r="D130" s="342" t="str">
        <f>'Table 3.0'!D158</f>
        <v>Alloc. To/From Working Capital</v>
      </c>
      <c r="E130" s="342"/>
      <c r="F130" s="342"/>
      <c r="G130" s="342"/>
      <c r="H130" s="342"/>
      <c r="I130" s="342"/>
      <c r="J130" s="344"/>
      <c r="K130" s="344">
        <f>Balances!I41+Balances!I42-Balances!I44</f>
        <v>932633.16666666674</v>
      </c>
      <c r="L130" s="344">
        <f>Balances!J41+Balances!J42-Balances!J44</f>
        <v>666358.33333333349</v>
      </c>
      <c r="M130" s="344">
        <f>Balances!K41+Balances!K42-Balances!K44</f>
        <v>453726.00000000012</v>
      </c>
      <c r="N130" s="344">
        <f>Balances!L41+Balances!L42-Balances!L44</f>
        <v>172906.4166666668</v>
      </c>
      <c r="O130" s="344">
        <f>Balances!M41+Balances!M42-Balances!M44</f>
        <v>0</v>
      </c>
      <c r="P130" s="344">
        <f>Balances!N41+Balances!N42-Balances!N44</f>
        <v>0</v>
      </c>
      <c r="Q130" s="344">
        <f>Balances!O41+Balances!O42-Balances!O44</f>
        <v>0</v>
      </c>
      <c r="R130" s="344">
        <f>Balances!P41+Balances!P42-Balances!P44</f>
        <v>0</v>
      </c>
      <c r="S130" s="344">
        <f>Balances!Q41+Balances!Q42-Balances!Q44</f>
        <v>0</v>
      </c>
      <c r="T130" s="344">
        <f>Balances!R41+Balances!R42-Balances!R44</f>
        <v>0</v>
      </c>
      <c r="U130" s="344">
        <f>Balances!S41+Balances!S42-Balances!S44</f>
        <v>0</v>
      </c>
      <c r="V130" s="563">
        <f>Balances!T41+Balances!T42-Balances!T44</f>
        <v>0</v>
      </c>
      <c r="W130" s="344">
        <f>Balances!U41+Balances!U42-Balances!U44</f>
        <v>0</v>
      </c>
      <c r="X130" s="344">
        <f>Balances!V41+Balances!V42-Balances!V44</f>
        <v>0</v>
      </c>
      <c r="Y130" s="344">
        <f>Balances!W41+Balances!W42-Balances!W44</f>
        <v>0</v>
      </c>
      <c r="Z130" s="344">
        <f>Balances!X41+Balances!X42-Balances!X44</f>
        <v>0</v>
      </c>
      <c r="AA130" s="344">
        <f>Balances!Y41+Balances!Y42-Balances!Y44</f>
        <v>0</v>
      </c>
      <c r="AB130" s="344">
        <f>Balances!Z41+Balances!Z42-Balances!Z44</f>
        <v>0</v>
      </c>
      <c r="AC130" s="344">
        <f>Balances!AA41+Balances!AA42-Balances!AA44</f>
        <v>0</v>
      </c>
      <c r="AD130" s="344">
        <f>Balances!AB41+Balances!AB42-Balances!AB44</f>
        <v>0</v>
      </c>
      <c r="AE130" s="344">
        <f>Balances!AC41+Balances!AC42-Balances!AC44</f>
        <v>0</v>
      </c>
      <c r="AF130" s="344">
        <f>Balances!AD41+Balances!AD42-Balances!AD44</f>
        <v>0</v>
      </c>
      <c r="AG130" s="344">
        <f>Balances!AE41+Balances!AE42-Balances!AE44</f>
        <v>0</v>
      </c>
      <c r="AH130" s="563">
        <f>Balances!AF41+Balances!AF42-Balances!AF44</f>
        <v>0</v>
      </c>
      <c r="AI130" s="344">
        <f>Balances!AG41+Balances!AG42-Balances!AG44</f>
        <v>0</v>
      </c>
      <c r="AJ130" s="344">
        <f>Balances!AH41+Balances!AH42-Balances!AH44</f>
        <v>0</v>
      </c>
      <c r="AK130" s="344">
        <f>Balances!AI41+Balances!AI42-Balances!AI44</f>
        <v>0</v>
      </c>
      <c r="AL130" s="344">
        <f>Balances!AJ41+Balances!AJ42-Balances!AJ44</f>
        <v>0</v>
      </c>
      <c r="AM130" s="344">
        <f>Balances!AK41+Balances!AK42-Balances!AK44</f>
        <v>0</v>
      </c>
      <c r="AN130" s="344">
        <f>Balances!AL41+Balances!AL42-Balances!AL44</f>
        <v>0</v>
      </c>
      <c r="AO130" s="344">
        <f>Balances!AM41+Balances!AM42-Balances!AM44</f>
        <v>0</v>
      </c>
      <c r="AP130" s="344">
        <f>Balances!AN41+Balances!AN42-Balances!AN44</f>
        <v>0</v>
      </c>
      <c r="AQ130" s="344">
        <f>Balances!AO41+Balances!AO42-Balances!AO44</f>
        <v>0</v>
      </c>
      <c r="AR130" s="344">
        <f>Balances!AP41+Balances!AP42-Balances!AP44</f>
        <v>0</v>
      </c>
      <c r="AS130" s="344">
        <f>Balances!AQ41+Balances!AQ42-Balances!AQ44</f>
        <v>0</v>
      </c>
      <c r="AT130" s="563">
        <f>Balances!AR41+Balances!AR42-Balances!AR44</f>
        <v>0</v>
      </c>
      <c r="AU130" s="344">
        <f>Balances!AS41+Balances!AS42-Balances!AS44</f>
        <v>0</v>
      </c>
      <c r="AV130" s="344">
        <f>Balances!AT41+Balances!AT42-Balances!AT44</f>
        <v>0</v>
      </c>
      <c r="AW130" s="344">
        <f>Balances!AU41+Balances!AU42-Balances!AU44</f>
        <v>0</v>
      </c>
      <c r="AX130" s="344">
        <f>Balances!AV41+Balances!AV42-Balances!AV44</f>
        <v>0</v>
      </c>
      <c r="AY130" s="344">
        <f>Balances!AW41+Balances!AW42-Balances!AW44</f>
        <v>0</v>
      </c>
      <c r="AZ130" s="344">
        <f>Balances!AX41+Balances!AX42-Balances!AX44</f>
        <v>0</v>
      </c>
      <c r="BA130" s="344">
        <f>Balances!AY41+Balances!AY42-Balances!AY44</f>
        <v>0</v>
      </c>
      <c r="BB130" s="344">
        <f>Balances!AZ41+Balances!AZ42-Balances!AZ44</f>
        <v>0</v>
      </c>
      <c r="BC130" s="344">
        <f>Balances!BA41+Balances!BA42-Balances!BA44</f>
        <v>0</v>
      </c>
      <c r="BD130" s="344">
        <f>Balances!BB41+Balances!BB42-Balances!BB44</f>
        <v>0</v>
      </c>
      <c r="BE130" s="344">
        <f>Balances!BC41+Balances!BC42-Balances!BC44</f>
        <v>0</v>
      </c>
      <c r="BF130" s="563">
        <f>Balances!BD41+Balances!BD42-Balances!BD44</f>
        <v>0</v>
      </c>
      <c r="BG130" s="344">
        <f>Balances!BE41+Balances!BE42-Balances!BE44</f>
        <v>0</v>
      </c>
      <c r="BH130" s="344">
        <f>Balances!BF41+Balances!BF42-Balances!BF44</f>
        <v>0</v>
      </c>
      <c r="BI130" s="344">
        <f>Balances!BG41+Balances!BG42-Balances!BG44</f>
        <v>0</v>
      </c>
      <c r="BJ130" s="344">
        <f>Balances!BH41+Balances!BH42-Balances!BH44</f>
        <v>0</v>
      </c>
      <c r="BK130" s="344">
        <f>Balances!BI41+Balances!BI42-Balances!BI44</f>
        <v>0</v>
      </c>
      <c r="BL130" s="344">
        <f>Balances!BJ41+Balances!BJ42-Balances!BJ44</f>
        <v>0</v>
      </c>
      <c r="BM130" s="344">
        <f>Balances!BK41+Balances!BK42-Balances!BK44</f>
        <v>0</v>
      </c>
      <c r="BN130" s="344">
        <f>Balances!BL41+Balances!BL42-Balances!BL44</f>
        <v>0</v>
      </c>
      <c r="BO130" s="344">
        <f>Balances!BM41+Balances!BM42-Balances!BM44</f>
        <v>0</v>
      </c>
      <c r="BP130" s="344">
        <f>Balances!BN41+Balances!BN42-Balances!BN44</f>
        <v>0</v>
      </c>
      <c r="BQ130" s="344">
        <f>Balances!BO41+Balances!BO42-Balances!BO44</f>
        <v>0</v>
      </c>
      <c r="BR130" s="563">
        <f>Balances!BP41+Balances!BP42-Balances!BP44</f>
        <v>0</v>
      </c>
      <c r="BS130" s="344">
        <f>Balances!BQ41+Balances!BQ42-Balances!BQ44</f>
        <v>-20000</v>
      </c>
      <c r="BT130" s="344">
        <f>Balances!BR41+Balances!BR42-Balances!BR44</f>
        <v>-20000</v>
      </c>
      <c r="BU130" s="344">
        <f>Balances!BS41+Balances!BS42-Balances!BS44</f>
        <v>-20000</v>
      </c>
      <c r="BV130" s="344">
        <f>Balances!BT41+Balances!BT42-Balances!BT44</f>
        <v>-20000</v>
      </c>
      <c r="BW130" s="344">
        <f>Balances!BU41+Balances!BU42-Balances!BU44</f>
        <v>-20000</v>
      </c>
      <c r="BX130" s="344">
        <f>Balances!BV41+Balances!BV42-Balances!BV44</f>
        <v>-20000</v>
      </c>
      <c r="BY130" s="344">
        <f>Balances!BW41+Balances!BW42-Balances!BW44</f>
        <v>-20000</v>
      </c>
      <c r="BZ130" s="344">
        <f>Balances!BX41+Balances!BX42-Balances!BX44</f>
        <v>0</v>
      </c>
      <c r="CA130" s="344">
        <f>Balances!BY41+Balances!BY42-Balances!BY44</f>
        <v>0</v>
      </c>
      <c r="CB130" s="344">
        <f>Balances!BZ41+Balances!BZ42-Balances!BZ44</f>
        <v>0</v>
      </c>
      <c r="CC130" s="344">
        <f>Balances!CA41+Balances!CA42-Balances!CA44</f>
        <v>0</v>
      </c>
      <c r="CD130" s="563">
        <f>Balances!CB41+Balances!CB42-Balances!CB44</f>
        <v>0</v>
      </c>
      <c r="CE130" s="344">
        <f>Balances!CC41+Balances!CC42-Balances!CC44</f>
        <v>-30000</v>
      </c>
      <c r="CF130" s="344">
        <f>Balances!CD41+Balances!CD42-Balances!CD44</f>
        <v>-30000</v>
      </c>
      <c r="CG130" s="344">
        <f>Balances!CE41+Balances!CE42-Balances!CE44</f>
        <v>-30000</v>
      </c>
      <c r="CH130" s="344">
        <f>Balances!CF41+Balances!CF42-Balances!CF44</f>
        <v>-30000</v>
      </c>
      <c r="CI130" s="344">
        <f>Balances!CG41+Balances!CG42-Balances!CG44</f>
        <v>-30000</v>
      </c>
      <c r="CJ130" s="344">
        <f>Balances!CH41+Balances!CH42-Balances!CH44</f>
        <v>-30000</v>
      </c>
      <c r="CK130" s="344">
        <f>Balances!CI41+Balances!CI42-Balances!CI44</f>
        <v>-30000</v>
      </c>
      <c r="CL130" s="344">
        <f>Balances!CJ41+Balances!CJ42-Balances!CJ44</f>
        <v>0</v>
      </c>
      <c r="CM130" s="344">
        <f>Balances!CK41+Balances!CK42-Balances!CK44</f>
        <v>0</v>
      </c>
      <c r="CN130" s="344">
        <f>Balances!CL41+Balances!CL42-Balances!CL44</f>
        <v>0</v>
      </c>
      <c r="CO130" s="344">
        <f>Balances!CM41+Balances!CM42-Balances!CM44</f>
        <v>0</v>
      </c>
      <c r="CP130" s="563">
        <f>Balances!CN41+Balances!CN42-Balances!CN44</f>
        <v>0</v>
      </c>
      <c r="CQ130" s="344">
        <f>Balances!CO41+Balances!CO42-Balances!CO44</f>
        <v>-50000</v>
      </c>
      <c r="CR130" s="344">
        <f>Balances!CP41+Balances!CP42-Balances!CP44</f>
        <v>-50000</v>
      </c>
      <c r="CS130" s="344">
        <f>Balances!CQ41+Balances!CQ42-Balances!CQ44</f>
        <v>-50000</v>
      </c>
      <c r="CT130" s="344">
        <f>Balances!CR41+Balances!CR42-Balances!CR44</f>
        <v>-50000</v>
      </c>
      <c r="CU130" s="344">
        <f>Balances!CS41+Balances!CS42-Balances!CS44</f>
        <v>-50000</v>
      </c>
      <c r="CV130" s="344">
        <f>Balances!CT41+Balances!CT42-Balances!CT44</f>
        <v>-50000</v>
      </c>
      <c r="CW130" s="344">
        <f>Balances!CU41+Balances!CU42-Balances!CU44</f>
        <v>-50000</v>
      </c>
      <c r="CX130" s="344">
        <f>Balances!CV41+Balances!CV42-Balances!CV44</f>
        <v>0</v>
      </c>
      <c r="CY130" s="344">
        <f>Balances!CW41+Balances!CW42-Balances!CW44</f>
        <v>0</v>
      </c>
      <c r="CZ130" s="344">
        <f>Balances!CX41+Balances!CX42-Balances!CX44</f>
        <v>0</v>
      </c>
      <c r="DA130" s="344">
        <f>Balances!CY41+Balances!CY42-Balances!CY44</f>
        <v>0</v>
      </c>
      <c r="DB130" s="563">
        <f>Balances!CZ41+Balances!CZ42-Balances!CZ44</f>
        <v>0</v>
      </c>
      <c r="DC130" s="344">
        <f>Balances!DA41+Balances!DA42-Balances!DA44</f>
        <v>-60000</v>
      </c>
      <c r="DD130" s="344">
        <f>Balances!DB41+Balances!DB42-Balances!DB44</f>
        <v>-60000</v>
      </c>
      <c r="DE130" s="344">
        <f>Balances!DC41+Balances!DC42-Balances!DC44</f>
        <v>-60000</v>
      </c>
      <c r="DF130" s="344">
        <f>Balances!DD41+Balances!DD42-Balances!DD44</f>
        <v>-60000</v>
      </c>
      <c r="DG130" s="344">
        <f>Balances!DE41+Balances!DE42-Balances!DE44</f>
        <v>-60000</v>
      </c>
      <c r="DH130" s="344">
        <f>Balances!DF41+Balances!DF42-Balances!DF44</f>
        <v>-60000</v>
      </c>
      <c r="DI130" s="344">
        <f>Balances!DG41+Balances!DG42-Balances!DG44</f>
        <v>-60000</v>
      </c>
      <c r="DJ130" s="344">
        <f>Balances!DH41+Balances!DH42-Balances!DH44</f>
        <v>0</v>
      </c>
      <c r="DK130" s="344">
        <f>Balances!DI41+Balances!DI42-Balances!DI44</f>
        <v>0</v>
      </c>
      <c r="DL130" s="344">
        <f>Balances!DJ41+Balances!DJ42-Balances!DJ44</f>
        <v>0</v>
      </c>
      <c r="DM130" s="344">
        <f>Balances!DK41+Balances!DK42-Balances!DK44</f>
        <v>0</v>
      </c>
      <c r="DN130" s="344">
        <f>Balances!DL41+Balances!DL42-Balances!DL44</f>
        <v>0</v>
      </c>
      <c r="DO130" s="344"/>
      <c r="DP130" s="344"/>
    </row>
    <row r="131" spans="3:120" x14ac:dyDescent="0.3">
      <c r="J131" s="681"/>
      <c r="K131" s="681"/>
      <c r="L131" s="681"/>
      <c r="M131" s="681"/>
      <c r="N131" s="681"/>
      <c r="O131" s="681"/>
      <c r="P131" s="681"/>
      <c r="Q131" s="681"/>
      <c r="R131" s="681"/>
      <c r="S131" s="681"/>
      <c r="T131" s="681"/>
      <c r="U131" s="681"/>
      <c r="V131" s="906"/>
      <c r="W131" s="681"/>
      <c r="X131" s="681"/>
      <c r="Y131" s="681"/>
      <c r="Z131" s="681"/>
      <c r="AA131" s="681"/>
      <c r="AB131" s="681"/>
      <c r="AC131" s="681"/>
      <c r="AD131" s="681"/>
      <c r="AE131" s="681"/>
      <c r="AF131" s="681"/>
      <c r="AG131" s="681"/>
      <c r="AH131" s="906"/>
      <c r="AI131" s="681"/>
      <c r="AJ131" s="681"/>
      <c r="AK131" s="681"/>
      <c r="AL131" s="681"/>
      <c r="AM131" s="681"/>
      <c r="AN131" s="681"/>
      <c r="AO131" s="681"/>
      <c r="AP131" s="681"/>
      <c r="AQ131" s="681"/>
      <c r="AR131" s="681"/>
      <c r="AS131" s="681"/>
      <c r="AT131" s="906"/>
      <c r="AU131" s="681"/>
      <c r="AV131" s="681"/>
      <c r="AW131" s="681"/>
      <c r="AX131" s="681"/>
      <c r="AY131" s="681"/>
      <c r="AZ131" s="681"/>
      <c r="BA131" s="681"/>
      <c r="BB131" s="681"/>
      <c r="BC131" s="681"/>
      <c r="BD131" s="681"/>
      <c r="BE131" s="681"/>
      <c r="BF131" s="906"/>
      <c r="BG131" s="681"/>
      <c r="BH131" s="681"/>
      <c r="BI131" s="681"/>
      <c r="BJ131" s="681"/>
      <c r="BK131" s="681"/>
      <c r="BL131" s="681"/>
      <c r="BM131" s="681"/>
      <c r="BN131" s="681"/>
      <c r="BO131" s="681"/>
      <c r="BP131" s="681"/>
      <c r="BQ131" s="681"/>
      <c r="BR131" s="906"/>
      <c r="BS131" s="681"/>
      <c r="BT131" s="681"/>
      <c r="BU131" s="681"/>
      <c r="BV131" s="681"/>
      <c r="BW131" s="681"/>
      <c r="BX131" s="681"/>
      <c r="BY131" s="681"/>
      <c r="BZ131" s="681"/>
      <c r="CA131" s="681"/>
      <c r="CB131" s="681"/>
      <c r="CC131" s="681"/>
      <c r="CD131" s="906"/>
      <c r="CE131" s="681"/>
      <c r="CF131" s="681"/>
      <c r="CG131" s="681"/>
      <c r="CH131" s="681"/>
      <c r="CI131" s="681"/>
      <c r="CJ131" s="681"/>
      <c r="CK131" s="681"/>
      <c r="CL131" s="681"/>
      <c r="CM131" s="681"/>
      <c r="CN131" s="681"/>
      <c r="CO131" s="681"/>
      <c r="CP131" s="906"/>
      <c r="CQ131" s="681"/>
      <c r="CR131" s="681"/>
      <c r="CS131" s="681"/>
      <c r="CT131" s="681"/>
      <c r="CU131" s="681"/>
      <c r="CV131" s="681"/>
      <c r="CW131" s="681"/>
      <c r="CX131" s="681"/>
      <c r="CY131" s="681"/>
      <c r="CZ131" s="681"/>
      <c r="DA131" s="681"/>
      <c r="DB131" s="906"/>
      <c r="DC131" s="681"/>
      <c r="DD131" s="681"/>
      <c r="DE131" s="681"/>
      <c r="DF131" s="681"/>
      <c r="DG131" s="681"/>
      <c r="DH131" s="681"/>
      <c r="DI131" s="681"/>
      <c r="DJ131" s="681"/>
      <c r="DK131" s="681"/>
      <c r="DL131" s="681"/>
      <c r="DM131" s="681"/>
      <c r="DN131" s="681"/>
      <c r="DP131" s="340"/>
    </row>
    <row r="132" spans="3:120" x14ac:dyDescent="0.3">
      <c r="C132" s="758" t="str">
        <f>'Table 3.0'!C160</f>
        <v>CASH AVAILABLE FOR DISTRIBUTION</v>
      </c>
      <c r="D132" s="747"/>
      <c r="E132" s="747"/>
      <c r="F132" s="747"/>
      <c r="G132" s="747"/>
      <c r="H132" s="747"/>
      <c r="I132" s="747"/>
      <c r="J132" s="748"/>
      <c r="K132" s="748">
        <f t="shared" ref="K132:BG132" si="342">K128+K130</f>
        <v>932633.16666666674</v>
      </c>
      <c r="L132" s="748">
        <f t="shared" si="342"/>
        <v>666358.33333333349</v>
      </c>
      <c r="M132" s="748">
        <f t="shared" si="342"/>
        <v>453726.00000000012</v>
      </c>
      <c r="N132" s="748">
        <f t="shared" si="342"/>
        <v>172906.4166666668</v>
      </c>
      <c r="O132" s="748">
        <f t="shared" si="342"/>
        <v>0</v>
      </c>
      <c r="P132" s="748">
        <f t="shared" si="342"/>
        <v>0</v>
      </c>
      <c r="Q132" s="748">
        <f t="shared" si="342"/>
        <v>0</v>
      </c>
      <c r="R132" s="748">
        <f t="shared" si="342"/>
        <v>0</v>
      </c>
      <c r="S132" s="748">
        <f t="shared" si="342"/>
        <v>0</v>
      </c>
      <c r="T132" s="748">
        <f t="shared" si="342"/>
        <v>0</v>
      </c>
      <c r="U132" s="748">
        <f t="shared" si="342"/>
        <v>0</v>
      </c>
      <c r="V132" s="749">
        <f t="shared" si="342"/>
        <v>0</v>
      </c>
      <c r="W132" s="748">
        <f t="shared" si="342"/>
        <v>0</v>
      </c>
      <c r="X132" s="748">
        <f t="shared" si="342"/>
        <v>0</v>
      </c>
      <c r="Y132" s="748">
        <f t="shared" si="342"/>
        <v>0</v>
      </c>
      <c r="Z132" s="748">
        <f t="shared" si="342"/>
        <v>0</v>
      </c>
      <c r="AA132" s="748">
        <f t="shared" si="342"/>
        <v>0</v>
      </c>
      <c r="AB132" s="748">
        <f t="shared" si="342"/>
        <v>0</v>
      </c>
      <c r="AC132" s="748">
        <f t="shared" si="342"/>
        <v>0</v>
      </c>
      <c r="AD132" s="748">
        <f t="shared" si="342"/>
        <v>0</v>
      </c>
      <c r="AE132" s="748">
        <f t="shared" si="342"/>
        <v>0</v>
      </c>
      <c r="AF132" s="748">
        <f t="shared" si="342"/>
        <v>0</v>
      </c>
      <c r="AG132" s="748">
        <f t="shared" si="342"/>
        <v>0</v>
      </c>
      <c r="AH132" s="749">
        <f t="shared" si="342"/>
        <v>0</v>
      </c>
      <c r="AI132" s="748">
        <f t="shared" si="342"/>
        <v>0</v>
      </c>
      <c r="AJ132" s="748">
        <f t="shared" si="342"/>
        <v>0</v>
      </c>
      <c r="AK132" s="748">
        <f t="shared" si="342"/>
        <v>0</v>
      </c>
      <c r="AL132" s="748">
        <f t="shared" si="342"/>
        <v>0</v>
      </c>
      <c r="AM132" s="748">
        <f t="shared" si="342"/>
        <v>0</v>
      </c>
      <c r="AN132" s="748">
        <f t="shared" si="342"/>
        <v>0</v>
      </c>
      <c r="AO132" s="748">
        <f t="shared" si="342"/>
        <v>0</v>
      </c>
      <c r="AP132" s="748">
        <f t="shared" si="342"/>
        <v>0</v>
      </c>
      <c r="AQ132" s="748">
        <f t="shared" si="342"/>
        <v>0</v>
      </c>
      <c r="AR132" s="748">
        <f t="shared" si="342"/>
        <v>0</v>
      </c>
      <c r="AS132" s="748">
        <f t="shared" si="342"/>
        <v>0</v>
      </c>
      <c r="AT132" s="749">
        <f t="shared" si="342"/>
        <v>0</v>
      </c>
      <c r="AU132" s="748">
        <f t="shared" si="342"/>
        <v>0</v>
      </c>
      <c r="AV132" s="748">
        <f t="shared" si="342"/>
        <v>0</v>
      </c>
      <c r="AW132" s="748">
        <f t="shared" si="342"/>
        <v>0</v>
      </c>
      <c r="AX132" s="748">
        <f t="shared" si="342"/>
        <v>0</v>
      </c>
      <c r="AY132" s="748">
        <f t="shared" si="342"/>
        <v>0</v>
      </c>
      <c r="AZ132" s="748">
        <f t="shared" si="342"/>
        <v>0</v>
      </c>
      <c r="BA132" s="748">
        <f t="shared" si="342"/>
        <v>0</v>
      </c>
      <c r="BB132" s="748">
        <f t="shared" si="342"/>
        <v>0</v>
      </c>
      <c r="BC132" s="748">
        <f t="shared" si="342"/>
        <v>0</v>
      </c>
      <c r="BD132" s="748">
        <f t="shared" si="342"/>
        <v>0</v>
      </c>
      <c r="BE132" s="748">
        <f t="shared" si="342"/>
        <v>0</v>
      </c>
      <c r="BF132" s="749">
        <f t="shared" si="342"/>
        <v>0</v>
      </c>
      <c r="BG132" s="748">
        <f t="shared" si="342"/>
        <v>0</v>
      </c>
      <c r="BH132" s="748">
        <f t="shared" ref="BH132:DN132" si="343">BH128+BH130</f>
        <v>0</v>
      </c>
      <c r="BI132" s="748">
        <f t="shared" si="343"/>
        <v>0</v>
      </c>
      <c r="BJ132" s="748">
        <f t="shared" si="343"/>
        <v>0</v>
      </c>
      <c r="BK132" s="748">
        <f t="shared" si="343"/>
        <v>0</v>
      </c>
      <c r="BL132" s="748">
        <f t="shared" si="343"/>
        <v>0</v>
      </c>
      <c r="BM132" s="748">
        <f t="shared" si="343"/>
        <v>0</v>
      </c>
      <c r="BN132" s="748">
        <f t="shared" si="343"/>
        <v>0</v>
      </c>
      <c r="BO132" s="748">
        <f t="shared" si="343"/>
        <v>0</v>
      </c>
      <c r="BP132" s="748">
        <f t="shared" si="343"/>
        <v>0</v>
      </c>
      <c r="BQ132" s="748">
        <f t="shared" si="343"/>
        <v>0</v>
      </c>
      <c r="BR132" s="749">
        <f t="shared" si="343"/>
        <v>-20000</v>
      </c>
      <c r="BS132" s="748">
        <f t="shared" si="343"/>
        <v>-20000</v>
      </c>
      <c r="BT132" s="748">
        <f t="shared" si="343"/>
        <v>-20000</v>
      </c>
      <c r="BU132" s="748">
        <f t="shared" si="343"/>
        <v>-20000</v>
      </c>
      <c r="BV132" s="748">
        <f t="shared" si="343"/>
        <v>-20000</v>
      </c>
      <c r="BW132" s="748">
        <f t="shared" si="343"/>
        <v>-20000</v>
      </c>
      <c r="BX132" s="748">
        <f t="shared" si="343"/>
        <v>-20000</v>
      </c>
      <c r="BY132" s="748">
        <f t="shared" si="343"/>
        <v>-20000</v>
      </c>
      <c r="BZ132" s="748">
        <f t="shared" si="343"/>
        <v>0</v>
      </c>
      <c r="CA132" s="748">
        <f t="shared" si="343"/>
        <v>0</v>
      </c>
      <c r="CB132" s="748">
        <f t="shared" si="343"/>
        <v>0</v>
      </c>
      <c r="CC132" s="748">
        <f t="shared" si="343"/>
        <v>0</v>
      </c>
      <c r="CD132" s="749">
        <f t="shared" si="343"/>
        <v>-30000</v>
      </c>
      <c r="CE132" s="748">
        <f t="shared" si="343"/>
        <v>-30000</v>
      </c>
      <c r="CF132" s="748">
        <f t="shared" si="343"/>
        <v>-30000</v>
      </c>
      <c r="CG132" s="748">
        <f t="shared" si="343"/>
        <v>-30000</v>
      </c>
      <c r="CH132" s="748">
        <f t="shared" si="343"/>
        <v>-30000</v>
      </c>
      <c r="CI132" s="748">
        <f t="shared" si="343"/>
        <v>-30000</v>
      </c>
      <c r="CJ132" s="748">
        <f t="shared" si="343"/>
        <v>-30000</v>
      </c>
      <c r="CK132" s="748">
        <f t="shared" si="343"/>
        <v>-30000</v>
      </c>
      <c r="CL132" s="748">
        <f t="shared" si="343"/>
        <v>0</v>
      </c>
      <c r="CM132" s="748">
        <f t="shared" si="343"/>
        <v>0</v>
      </c>
      <c r="CN132" s="748">
        <f t="shared" si="343"/>
        <v>0</v>
      </c>
      <c r="CO132" s="748">
        <f t="shared" si="343"/>
        <v>0</v>
      </c>
      <c r="CP132" s="749">
        <f t="shared" si="343"/>
        <v>-50000</v>
      </c>
      <c r="CQ132" s="748">
        <f t="shared" si="343"/>
        <v>-50000</v>
      </c>
      <c r="CR132" s="748">
        <f t="shared" si="343"/>
        <v>-50000</v>
      </c>
      <c r="CS132" s="748">
        <f t="shared" si="343"/>
        <v>-50000</v>
      </c>
      <c r="CT132" s="748">
        <f t="shared" si="343"/>
        <v>-50000</v>
      </c>
      <c r="CU132" s="748">
        <f t="shared" si="343"/>
        <v>-50000</v>
      </c>
      <c r="CV132" s="748">
        <f t="shared" si="343"/>
        <v>-50000</v>
      </c>
      <c r="CW132" s="748">
        <f t="shared" si="343"/>
        <v>-50000</v>
      </c>
      <c r="CX132" s="748">
        <f t="shared" si="343"/>
        <v>0</v>
      </c>
      <c r="CY132" s="748">
        <f t="shared" si="343"/>
        <v>0</v>
      </c>
      <c r="CZ132" s="748">
        <f t="shared" si="343"/>
        <v>0</v>
      </c>
      <c r="DA132" s="748">
        <f t="shared" si="343"/>
        <v>0</v>
      </c>
      <c r="DB132" s="749">
        <f t="shared" si="343"/>
        <v>-60000</v>
      </c>
      <c r="DC132" s="748">
        <f t="shared" si="343"/>
        <v>-60000</v>
      </c>
      <c r="DD132" s="748">
        <f t="shared" si="343"/>
        <v>-60000</v>
      </c>
      <c r="DE132" s="748">
        <f t="shared" si="343"/>
        <v>-60000</v>
      </c>
      <c r="DF132" s="748">
        <f t="shared" si="343"/>
        <v>-60000</v>
      </c>
      <c r="DG132" s="748">
        <f t="shared" si="343"/>
        <v>-60000</v>
      </c>
      <c r="DH132" s="748">
        <f t="shared" si="343"/>
        <v>-60000</v>
      </c>
      <c r="DI132" s="748">
        <f t="shared" si="343"/>
        <v>-60000</v>
      </c>
      <c r="DJ132" s="748">
        <f t="shared" si="343"/>
        <v>0</v>
      </c>
      <c r="DK132" s="748">
        <f t="shared" si="343"/>
        <v>0</v>
      </c>
      <c r="DL132" s="748">
        <f t="shared" si="343"/>
        <v>0</v>
      </c>
      <c r="DM132" s="748">
        <f t="shared" si="343"/>
        <v>0</v>
      </c>
      <c r="DN132" s="748">
        <f t="shared" si="343"/>
        <v>0</v>
      </c>
      <c r="DO132" s="747"/>
      <c r="DP132" s="748"/>
    </row>
    <row r="133" spans="3:120" x14ac:dyDescent="0.3">
      <c r="J133" s="680"/>
      <c r="K133" s="680"/>
      <c r="L133" s="680"/>
      <c r="M133" s="680"/>
      <c r="N133" s="680"/>
      <c r="O133" s="680"/>
      <c r="P133" s="680"/>
      <c r="Q133" s="680"/>
      <c r="R133" s="680"/>
      <c r="S133" s="680"/>
      <c r="T133" s="680"/>
      <c r="U133" s="680"/>
      <c r="V133" s="905"/>
      <c r="W133" s="680"/>
      <c r="X133" s="680"/>
      <c r="Y133" s="680"/>
      <c r="Z133" s="680"/>
      <c r="AA133" s="680"/>
      <c r="AB133" s="680"/>
      <c r="AC133" s="680"/>
      <c r="AD133" s="680"/>
      <c r="AE133" s="680"/>
      <c r="AF133" s="680"/>
      <c r="AG133" s="680"/>
      <c r="AH133" s="905"/>
      <c r="AI133" s="680"/>
      <c r="AJ133" s="680"/>
      <c r="AK133" s="680"/>
      <c r="AL133" s="680"/>
      <c r="AM133" s="680"/>
      <c r="AN133" s="680"/>
      <c r="AO133" s="680"/>
      <c r="AP133" s="680"/>
      <c r="AQ133" s="680"/>
      <c r="AR133" s="680"/>
      <c r="AS133" s="680"/>
      <c r="AT133" s="905"/>
      <c r="AU133" s="680"/>
      <c r="AV133" s="680"/>
      <c r="AW133" s="680"/>
      <c r="AX133" s="680"/>
      <c r="AY133" s="680"/>
      <c r="AZ133" s="680"/>
      <c r="BA133" s="680"/>
      <c r="BB133" s="680"/>
      <c r="BC133" s="680"/>
      <c r="BD133" s="680"/>
      <c r="BE133" s="680"/>
      <c r="BF133" s="905"/>
      <c r="BG133" s="680"/>
      <c r="BH133" s="680"/>
      <c r="BI133" s="680"/>
      <c r="BJ133" s="680"/>
      <c r="BK133" s="680"/>
      <c r="BL133" s="680"/>
      <c r="BM133" s="680"/>
      <c r="BN133" s="680"/>
      <c r="BO133" s="680"/>
      <c r="BP133" s="680"/>
      <c r="BQ133" s="680"/>
      <c r="BR133" s="905"/>
      <c r="BS133" s="680"/>
      <c r="BT133" s="680"/>
      <c r="BU133" s="680"/>
      <c r="BV133" s="680"/>
      <c r="BW133" s="680"/>
      <c r="BX133" s="680"/>
      <c r="BY133" s="680"/>
      <c r="BZ133" s="680"/>
      <c r="CA133" s="680"/>
      <c r="CB133" s="680"/>
      <c r="CC133" s="680"/>
      <c r="CD133" s="905"/>
      <c r="CE133" s="680"/>
      <c r="CF133" s="680"/>
      <c r="CG133" s="680"/>
      <c r="CH133" s="680"/>
      <c r="CI133" s="680"/>
      <c r="CJ133" s="680"/>
      <c r="CK133" s="680"/>
      <c r="CL133" s="680"/>
      <c r="CM133" s="680"/>
      <c r="CN133" s="680"/>
      <c r="CO133" s="680"/>
      <c r="CP133" s="905"/>
      <c r="CQ133" s="680"/>
      <c r="CR133" s="680"/>
      <c r="CS133" s="680"/>
      <c r="CT133" s="680"/>
      <c r="CU133" s="680"/>
      <c r="CV133" s="680"/>
      <c r="CW133" s="680"/>
      <c r="CX133" s="680"/>
      <c r="CY133" s="680"/>
      <c r="CZ133" s="680"/>
      <c r="DA133" s="680"/>
      <c r="DB133" s="905"/>
      <c r="DC133" s="680"/>
      <c r="DD133" s="680"/>
      <c r="DE133" s="680"/>
      <c r="DF133" s="680"/>
      <c r="DG133" s="680"/>
      <c r="DH133" s="680"/>
      <c r="DI133" s="680"/>
      <c r="DJ133" s="680"/>
      <c r="DK133" s="680"/>
      <c r="DL133" s="680"/>
      <c r="DM133" s="680"/>
      <c r="DN133" s="680"/>
      <c r="DP133" s="340"/>
    </row>
    <row r="134" spans="3:120" x14ac:dyDescent="0.3">
      <c r="C134" s="342"/>
      <c r="D134" s="342" t="s">
        <v>389</v>
      </c>
      <c r="E134" s="342"/>
      <c r="F134" s="342"/>
      <c r="G134" s="826">
        <v>1</v>
      </c>
      <c r="H134" s="342"/>
      <c r="I134" s="342"/>
      <c r="J134" s="344"/>
      <c r="K134" s="344">
        <f>IF(Balances!I11+Balances!I18+Balances!I25&gt;0,0,Monthly!K132*Monthly!$G$134)</f>
        <v>0</v>
      </c>
      <c r="L134" s="344">
        <f>IF(Balances!J11+Balances!J18+Balances!J25&gt;0,0,Monthly!L132*Monthly!$G$134)</f>
        <v>0</v>
      </c>
      <c r="M134" s="344">
        <f>IF(Balances!K11+Balances!K18+Balances!K25&gt;0,0,Monthly!M132*Monthly!$G$134)</f>
        <v>0</v>
      </c>
      <c r="N134" s="344">
        <f>IF(Balances!L11+Balances!L18+Balances!L25&gt;0,0,Monthly!N132*Monthly!$G$134)</f>
        <v>0</v>
      </c>
      <c r="O134" s="344">
        <f>IF(Balances!M11+Balances!M18+Balances!M25&gt;0,0,Monthly!O132*Monthly!$G$134)</f>
        <v>0</v>
      </c>
      <c r="P134" s="344">
        <f>IF(Balances!N11+Balances!N18+Balances!N25&gt;0,0,Monthly!P132*Monthly!$G$134)</f>
        <v>0</v>
      </c>
      <c r="Q134" s="344">
        <f>IF(Balances!O11+Balances!O18+Balances!O25&gt;0,0,Monthly!Q132*Monthly!$G$134)</f>
        <v>0</v>
      </c>
      <c r="R134" s="344">
        <f>IF(Balances!P11+Balances!P18+Balances!P25&gt;0,0,Monthly!R132*Monthly!$G$134)</f>
        <v>0</v>
      </c>
      <c r="S134" s="344">
        <f>IF(Balances!Q11+Balances!Q18+Balances!Q25&gt;0,0,Monthly!S132*Monthly!$G$134)</f>
        <v>0</v>
      </c>
      <c r="T134" s="344">
        <f>IF(Balances!R11+Balances!R18+Balances!R25&gt;0,0,Monthly!T132*Monthly!$G$134)</f>
        <v>0</v>
      </c>
      <c r="U134" s="344">
        <f>IF(Balances!S11+Balances!S18+Balances!S25&gt;0,0,Monthly!U132*Monthly!$G$134)</f>
        <v>0</v>
      </c>
      <c r="V134" s="563">
        <f>IF(Balances!T11+Balances!T18+Balances!T25&gt;0,0,Monthly!V132*Monthly!$G$134)</f>
        <v>0</v>
      </c>
      <c r="W134" s="344">
        <f>IF(Balances!U11+Balances!U18+Balances!U25&gt;0,0,Monthly!W132*Monthly!$G$134)</f>
        <v>0</v>
      </c>
      <c r="X134" s="344">
        <f>IF(Balances!V11+Balances!V18+Balances!V25&gt;0,0,Monthly!X132*Monthly!$G$134)</f>
        <v>0</v>
      </c>
      <c r="Y134" s="344">
        <f>IF(Balances!W11+Balances!W18+Balances!W25&gt;0,0,Monthly!Y132*Monthly!$G$134)</f>
        <v>0</v>
      </c>
      <c r="Z134" s="344">
        <f>IF(Balances!X11+Balances!X18+Balances!X25&gt;0,0,Monthly!Z132*Monthly!$G$134)</f>
        <v>0</v>
      </c>
      <c r="AA134" s="344">
        <f>IF(Balances!Y11+Balances!Y18+Balances!Y25&gt;0,0,Monthly!AA132*Monthly!$G$134)</f>
        <v>0</v>
      </c>
      <c r="AB134" s="344">
        <f>IF(Balances!Z11+Balances!Z18+Balances!Z25&gt;0,0,Monthly!AB132*Monthly!$G$134)</f>
        <v>0</v>
      </c>
      <c r="AC134" s="344">
        <f>IF(Balances!AA11+Balances!AA18+Balances!AA25&gt;0,0,Monthly!AC132*Monthly!$G$134)</f>
        <v>0</v>
      </c>
      <c r="AD134" s="344">
        <f>IF(Balances!AB11+Balances!AB18+Balances!AB25&gt;0,0,Monthly!AD132*Monthly!$G$134)</f>
        <v>0</v>
      </c>
      <c r="AE134" s="344">
        <f>IF(Balances!AC11+Balances!AC18+Balances!AC25&gt;0,0,Monthly!AE132*Monthly!$G$134)</f>
        <v>0</v>
      </c>
      <c r="AF134" s="344">
        <f>IF(Balances!AD11+Balances!AD18+Balances!AD25&gt;0,0,Monthly!AF132*Monthly!$G$134)</f>
        <v>0</v>
      </c>
      <c r="AG134" s="344">
        <f>IF(Balances!AE11+Balances!AE18+Balances!AE25&gt;0,0,Monthly!AG132*Monthly!$G$134)</f>
        <v>0</v>
      </c>
      <c r="AH134" s="563">
        <f>IF(Balances!AF11+Balances!AF18+Balances!AF25&gt;0,0,Monthly!AH132*Monthly!$G$134)</f>
        <v>0</v>
      </c>
      <c r="AI134" s="344">
        <f>IF(Balances!AG11+Balances!AG18+Balances!AG25&gt;0,0,Monthly!AI132*Monthly!$G$134)</f>
        <v>0</v>
      </c>
      <c r="AJ134" s="344">
        <f>IF(Balances!AH11+Balances!AH18+Balances!AH25&gt;0,0,Monthly!AJ132*Monthly!$G$134)</f>
        <v>0</v>
      </c>
      <c r="AK134" s="344">
        <f>IF(Balances!AI11+Balances!AI18+Balances!AI25&gt;0,0,Monthly!AK132*Monthly!$G$134)</f>
        <v>0</v>
      </c>
      <c r="AL134" s="344">
        <f>IF(Balances!AJ11+Balances!AJ18+Balances!AJ25&gt;0,0,Monthly!AL132*Monthly!$G$134)</f>
        <v>0</v>
      </c>
      <c r="AM134" s="344">
        <f>IF(Balances!AK11+Balances!AK18+Balances!AK25&gt;0,0,Monthly!AM132*Monthly!$G$134)</f>
        <v>0</v>
      </c>
      <c r="AN134" s="344">
        <f>IF(Balances!AL11+Balances!AL18+Balances!AL25&gt;0,0,Monthly!AN132*Monthly!$G$134)</f>
        <v>0</v>
      </c>
      <c r="AO134" s="344">
        <f>IF(Balances!AM11+Balances!AM18+Balances!AM25&gt;0,0,Monthly!AO132*Monthly!$G$134)</f>
        <v>0</v>
      </c>
      <c r="AP134" s="344">
        <f>IF(Balances!AN11+Balances!AN18+Balances!AN25&gt;0,0,Monthly!AP132*Monthly!$G$134)</f>
        <v>0</v>
      </c>
      <c r="AQ134" s="344">
        <f>IF(Balances!AO11+Balances!AO18+Balances!AO25&gt;0,0,Monthly!AQ132*Monthly!$G$134)</f>
        <v>0</v>
      </c>
      <c r="AR134" s="344">
        <f>IF(Balances!AP11+Balances!AP18+Balances!AP25&gt;0,0,Monthly!AR132*Monthly!$G$134)</f>
        <v>0</v>
      </c>
      <c r="AS134" s="344">
        <f>IF(Balances!AQ11+Balances!AQ18+Balances!AQ25&gt;0,0,Monthly!AS132*Monthly!$G$134)</f>
        <v>0</v>
      </c>
      <c r="AT134" s="563">
        <f>IF(Balances!AR11+Balances!AR18+Balances!AR25&gt;0,0,Monthly!AT132*Monthly!$G$134)</f>
        <v>0</v>
      </c>
      <c r="AU134" s="344">
        <f>IF(Balances!AS11+Balances!AS18+Balances!AS25&gt;0,0,Monthly!AU132*Monthly!$G$134)</f>
        <v>0</v>
      </c>
      <c r="AV134" s="344">
        <f>IF(Balances!AT11+Balances!AT18+Balances!AT25&gt;0,0,Monthly!AV132*Monthly!$G$134)</f>
        <v>0</v>
      </c>
      <c r="AW134" s="344">
        <f>IF(Balances!AU11+Balances!AU18+Balances!AU25&gt;0,0,Monthly!AW132*Monthly!$G$134)</f>
        <v>0</v>
      </c>
      <c r="AX134" s="344">
        <f>IF(Balances!AV11+Balances!AV18+Balances!AV25&gt;0,0,Monthly!AX132*Monthly!$G$134)</f>
        <v>0</v>
      </c>
      <c r="AY134" s="344">
        <f>IF(Balances!AW11+Balances!AW18+Balances!AW25&gt;0,0,Monthly!AY132*Monthly!$G$134)</f>
        <v>0</v>
      </c>
      <c r="AZ134" s="344">
        <f>IF(Balances!AX11+Balances!AX18+Balances!AX25&gt;0,0,Monthly!AZ132*Monthly!$G$134)</f>
        <v>0</v>
      </c>
      <c r="BA134" s="344">
        <f>IF(Balances!AY11+Balances!AY18+Balances!AY25&gt;0,0,Monthly!BA132*Monthly!$G$134)</f>
        <v>0</v>
      </c>
      <c r="BB134" s="344">
        <f>IF(Balances!AZ11+Balances!AZ18+Balances!AZ25&gt;0,0,Monthly!BB132*Monthly!$G$134)</f>
        <v>0</v>
      </c>
      <c r="BC134" s="344">
        <f>IF(Balances!BA11+Balances!BA18+Balances!BA25&gt;0,0,Monthly!BC132*Monthly!$G$134)</f>
        <v>0</v>
      </c>
      <c r="BD134" s="344">
        <f>IF(Balances!BB11+Balances!BB18+Balances!BB25&gt;0,0,Monthly!BD132*Monthly!$G$134)</f>
        <v>0</v>
      </c>
      <c r="BE134" s="344">
        <f>IF(Balances!BC11+Balances!BC18+Balances!BC25&gt;0,0,Monthly!BE132*Monthly!$G$134)</f>
        <v>0</v>
      </c>
      <c r="BF134" s="563">
        <f>IF(Balances!BD11+Balances!BD18+Balances!BD25&gt;0,0,Monthly!BF132*Monthly!$G$134)</f>
        <v>0</v>
      </c>
      <c r="BG134" s="344">
        <f>IF(Balances!BE11+Balances!BE18+Balances!BE25&gt;0,0,Monthly!BG132*Monthly!$G$134)</f>
        <v>0</v>
      </c>
      <c r="BH134" s="344">
        <f>IF(Balances!BF11+Balances!BF18+Balances!BF25&gt;0,0,Monthly!BH132*Monthly!$G$134)</f>
        <v>0</v>
      </c>
      <c r="BI134" s="344">
        <f>IF(Balances!BG11+Balances!BG18+Balances!BG25&gt;0,0,Monthly!BI132*Monthly!$G$134)</f>
        <v>0</v>
      </c>
      <c r="BJ134" s="344">
        <f>IF(Balances!BH11+Balances!BH18+Balances!BH25&gt;0,0,Monthly!BJ132*Monthly!$G$134)</f>
        <v>0</v>
      </c>
      <c r="BK134" s="344">
        <f>IF(Balances!BI11+Balances!BI18+Balances!BI25&gt;0,0,Monthly!BK132*Monthly!$G$134)</f>
        <v>0</v>
      </c>
      <c r="BL134" s="344">
        <f>IF(Balances!BJ11+Balances!BJ18+Balances!BJ25&gt;0,0,Monthly!BL132*Monthly!$G$134)</f>
        <v>0</v>
      </c>
      <c r="BM134" s="344">
        <f>IF(Balances!BK11+Balances!BK18+Balances!BK25&gt;0,0,Monthly!BM132*Monthly!$G$134)</f>
        <v>0</v>
      </c>
      <c r="BN134" s="344">
        <f>IF(Balances!BL11+Balances!BL18+Balances!BL25&gt;0,0,Monthly!BN132*Monthly!$G$134)</f>
        <v>0</v>
      </c>
      <c r="BO134" s="344">
        <f>IF(Balances!BM11+Balances!BM18+Balances!BM25&gt;0,0,Monthly!BO132*Monthly!$G$134)</f>
        <v>0</v>
      </c>
      <c r="BP134" s="344">
        <f>IF(Balances!BN11+Balances!BN18+Balances!BN25&gt;0,0,Monthly!BP132*Monthly!$G$134)</f>
        <v>0</v>
      </c>
      <c r="BQ134" s="344">
        <f>IF(Balances!BO11+Balances!BO18+Balances!BO25&gt;0,0,Monthly!BQ132*Monthly!$G$134)</f>
        <v>0</v>
      </c>
      <c r="BR134" s="563">
        <f>IF(Balances!BP11+Balances!BP18+Balances!BP25&gt;0,0,Monthly!BR132*Monthly!$G$134)</f>
        <v>0</v>
      </c>
      <c r="BS134" s="344">
        <f>IF(Balances!BQ11+Balances!BQ18+Balances!BQ25&gt;0,0,Monthly!BS132*Monthly!$G$134)</f>
        <v>0</v>
      </c>
      <c r="BT134" s="344">
        <f>IF(Balances!BR11+Balances!BR18+Balances!BR25&gt;0,0,Monthly!BT132*Monthly!$G$134)</f>
        <v>0</v>
      </c>
      <c r="BU134" s="344">
        <f>IF(Balances!BS11+Balances!BS18+Balances!BS25&gt;0,0,Monthly!BU132*Monthly!$G$134)</f>
        <v>0</v>
      </c>
      <c r="BV134" s="344">
        <f>IF(Balances!BT11+Balances!BT18+Balances!BT25&gt;0,0,Monthly!BV132*Monthly!$G$134)</f>
        <v>0</v>
      </c>
      <c r="BW134" s="344">
        <f>IF(Balances!BU11+Balances!BU18+Balances!BU25&gt;0,0,Monthly!BW132*Monthly!$G$134)</f>
        <v>0</v>
      </c>
      <c r="BX134" s="344">
        <f>IF(Balances!BV11+Balances!BV18+Balances!BV25&gt;0,0,Monthly!BX132*Monthly!$G$134)</f>
        <v>0</v>
      </c>
      <c r="BY134" s="344">
        <f>IF(Balances!BW11+Balances!BW18+Balances!BW25&gt;0,0,Monthly!BY132*Monthly!$G$134)</f>
        <v>0</v>
      </c>
      <c r="BZ134" s="344">
        <f>IF(Balances!BX11+Balances!BX18+Balances!BX25&gt;0,0,Monthly!BZ132*Monthly!$G$134)</f>
        <v>0</v>
      </c>
      <c r="CA134" s="344">
        <f>IF(Balances!BY11+Balances!BY18+Balances!BY25&gt;0,0,Monthly!CA132*Monthly!$G$134)</f>
        <v>0</v>
      </c>
      <c r="CB134" s="344">
        <f>IF(Balances!BZ11+Balances!BZ18+Balances!BZ25&gt;0,0,Monthly!CB132*Monthly!$G$134)</f>
        <v>0</v>
      </c>
      <c r="CC134" s="344">
        <f>IF(Balances!CA11+Balances!CA18+Balances!CA25&gt;0,0,Monthly!CC132*Monthly!$G$134)</f>
        <v>0</v>
      </c>
      <c r="CD134" s="563">
        <f>IF(Balances!CB11+Balances!CB18+Balances!CB25&gt;0,0,Monthly!CD132*Monthly!$G$134)</f>
        <v>0</v>
      </c>
      <c r="CE134" s="344">
        <f>IF(Balances!CC11+Balances!CC18+Balances!CC25&gt;0,0,Monthly!CE132*Monthly!$G$134)</f>
        <v>0</v>
      </c>
      <c r="CF134" s="344">
        <f>IF(Balances!CD11+Balances!CD18+Balances!CD25&gt;0,0,Monthly!CF132*Monthly!$G$134)</f>
        <v>0</v>
      </c>
      <c r="CG134" s="344">
        <f>IF(Balances!CE11+Balances!CE18+Balances!CE25&gt;0,0,Monthly!CG132*Monthly!$G$134)</f>
        <v>0</v>
      </c>
      <c r="CH134" s="344">
        <f>IF(Balances!CF11+Balances!CF18+Balances!CF25&gt;0,0,Monthly!CH132*Monthly!$G$134)</f>
        <v>0</v>
      </c>
      <c r="CI134" s="344">
        <f>IF(Balances!CG11+Balances!CG18+Balances!CG25&gt;0,0,Monthly!CI132*Monthly!$G$134)</f>
        <v>0</v>
      </c>
      <c r="CJ134" s="344">
        <f>IF(Balances!CH11+Balances!CH18+Balances!CH25&gt;0,0,Monthly!CJ132*Monthly!$G$134)</f>
        <v>0</v>
      </c>
      <c r="CK134" s="344">
        <f>IF(Balances!CI11+Balances!CI18+Balances!CI25&gt;0,0,Monthly!CK132*Monthly!$G$134)</f>
        <v>0</v>
      </c>
      <c r="CL134" s="344">
        <f>IF(Balances!CJ11+Balances!CJ18+Balances!CJ25&gt;0,0,Monthly!CL132*Monthly!$G$134)</f>
        <v>0</v>
      </c>
      <c r="CM134" s="344">
        <f>IF(Balances!CK11+Balances!CK18+Balances!CK25&gt;0,0,Monthly!CM132*Monthly!$G$134)</f>
        <v>0</v>
      </c>
      <c r="CN134" s="344">
        <f>IF(Balances!CL11+Balances!CL18+Balances!CL25&gt;0,0,Monthly!CN132*Monthly!$G$134)</f>
        <v>0</v>
      </c>
      <c r="CO134" s="344">
        <f>IF(Balances!CM11+Balances!CM18+Balances!CM25&gt;0,0,Monthly!CO132*Monthly!$G$134)</f>
        <v>0</v>
      </c>
      <c r="CP134" s="563">
        <f>IF(Balances!CN11+Balances!CN18+Balances!CN25&gt;0,0,Monthly!CP132*Monthly!$G$134)</f>
        <v>0</v>
      </c>
      <c r="CQ134" s="344">
        <f>IF(Balances!CO11+Balances!CO18+Balances!CO25&gt;0,0,Monthly!CQ132*Monthly!$G$134)</f>
        <v>0</v>
      </c>
      <c r="CR134" s="344">
        <f>IF(Balances!CP11+Balances!CP18+Balances!CP25&gt;0,0,Monthly!CR132*Monthly!$G$134)</f>
        <v>0</v>
      </c>
      <c r="CS134" s="344">
        <f>IF(Balances!CQ11+Balances!CQ18+Balances!CQ25&gt;0,0,Monthly!CS132*Monthly!$G$134)</f>
        <v>0</v>
      </c>
      <c r="CT134" s="344">
        <f>IF(Balances!CR11+Balances!CR18+Balances!CR25&gt;0,0,Monthly!CT132*Monthly!$G$134)</f>
        <v>0</v>
      </c>
      <c r="CU134" s="344">
        <f>IF(Balances!CS11+Balances!CS18+Balances!CS25&gt;0,0,Monthly!CU132*Monthly!$G$134)</f>
        <v>0</v>
      </c>
      <c r="CV134" s="344">
        <f>IF(Balances!CT11+Balances!CT18+Balances!CT25&gt;0,0,Monthly!CV132*Monthly!$G$134)</f>
        <v>0</v>
      </c>
      <c r="CW134" s="344">
        <f>IF(Balances!CU11+Balances!CU18+Balances!CU25&gt;0,0,Monthly!CW132*Monthly!$G$134)</f>
        <v>0</v>
      </c>
      <c r="CX134" s="344">
        <f>IF(Balances!CV11+Balances!CV18+Balances!CV25&gt;0,0,Monthly!CX132*Monthly!$G$134)</f>
        <v>0</v>
      </c>
      <c r="CY134" s="344">
        <f>IF(Balances!CW11+Balances!CW18+Balances!CW25&gt;0,0,Monthly!CY132*Monthly!$G$134)</f>
        <v>0</v>
      </c>
      <c r="CZ134" s="344">
        <f>IF(Balances!CX11+Balances!CX18+Balances!CX25&gt;0,0,Monthly!CZ132*Monthly!$G$134)</f>
        <v>0</v>
      </c>
      <c r="DA134" s="344">
        <f>IF(Balances!CY11+Balances!CY18+Balances!CY25&gt;0,0,Monthly!DA132*Monthly!$G$134)</f>
        <v>0</v>
      </c>
      <c r="DB134" s="563">
        <f>IF(Balances!CZ11+Balances!CZ18+Balances!CZ25&gt;0,0,Monthly!DB132*Monthly!$G$134)</f>
        <v>0</v>
      </c>
      <c r="DC134" s="344">
        <f>IF(Balances!DA11+Balances!DA18+Balances!DA25&gt;0,0,Monthly!DC132*Monthly!$G$134)</f>
        <v>0</v>
      </c>
      <c r="DD134" s="344">
        <f>IF(Balances!DB11+Balances!DB18+Balances!DB25&gt;0,0,Monthly!DD132*Monthly!$G$134)</f>
        <v>0</v>
      </c>
      <c r="DE134" s="344">
        <f>IF(Balances!DC11+Balances!DC18+Balances!DC25&gt;0,0,Monthly!DE132*Monthly!$G$134)</f>
        <v>0</v>
      </c>
      <c r="DF134" s="344">
        <f>IF(Balances!DD11+Balances!DD18+Balances!DD25&gt;0,0,Monthly!DF132*Monthly!$G$134)</f>
        <v>0</v>
      </c>
      <c r="DG134" s="344">
        <f>IF(Balances!DE11+Balances!DE18+Balances!DE25&gt;0,0,Monthly!DG132*Monthly!$G$134)</f>
        <v>0</v>
      </c>
      <c r="DH134" s="344">
        <f>IF(Balances!DF11+Balances!DF18+Balances!DF25&gt;0,0,Monthly!DH132*Monthly!$G$134)</f>
        <v>0</v>
      </c>
      <c r="DI134" s="344">
        <f>IF(Balances!DG11+Balances!DG18+Balances!DG25&gt;0,0,Monthly!DI132*Monthly!$G$134)</f>
        <v>0</v>
      </c>
      <c r="DJ134" s="344">
        <f>IF(Balances!DH11+Balances!DH18+Balances!DH25&gt;0,0,Monthly!DJ132*Monthly!$G$134)</f>
        <v>0</v>
      </c>
      <c r="DK134" s="344">
        <f>IF(Balances!DI11+Balances!DI18+Balances!DI25&gt;0,0,Monthly!DK132*Monthly!$G$134)</f>
        <v>0</v>
      </c>
      <c r="DL134" s="344">
        <f>IF(Balances!DJ11+Balances!DJ18+Balances!DJ25&gt;0,0,Monthly!DL132*Monthly!$G$134)</f>
        <v>0</v>
      </c>
      <c r="DM134" s="344">
        <f>IF(Balances!DK11+Balances!DK18+Balances!DK25&gt;0,0,Monthly!DM132*Monthly!$G$134)</f>
        <v>0</v>
      </c>
      <c r="DN134" s="344">
        <f>IF(Balances!DL11+Balances!DL18+Balances!DL25&gt;0,0,Monthly!DN132*Monthly!$G$134)</f>
        <v>0</v>
      </c>
      <c r="DO134" s="342"/>
      <c r="DP134" s="344"/>
    </row>
    <row r="135" spans="3:120" x14ac:dyDescent="0.3">
      <c r="C135" s="331" t="s">
        <v>334</v>
      </c>
      <c r="J135" s="340"/>
      <c r="K135" s="340">
        <f t="shared" ref="K135:BG135" si="344">K132-K134</f>
        <v>932633.16666666674</v>
      </c>
      <c r="L135" s="340">
        <f t="shared" si="344"/>
        <v>666358.33333333349</v>
      </c>
      <c r="M135" s="340">
        <f t="shared" si="344"/>
        <v>453726.00000000012</v>
      </c>
      <c r="N135" s="340">
        <f t="shared" si="344"/>
        <v>172906.4166666668</v>
      </c>
      <c r="O135" s="340">
        <f t="shared" si="344"/>
        <v>0</v>
      </c>
      <c r="P135" s="340">
        <f t="shared" si="344"/>
        <v>0</v>
      </c>
      <c r="Q135" s="340">
        <f t="shared" si="344"/>
        <v>0</v>
      </c>
      <c r="R135" s="340">
        <f t="shared" si="344"/>
        <v>0</v>
      </c>
      <c r="S135" s="340">
        <f t="shared" si="344"/>
        <v>0</v>
      </c>
      <c r="T135" s="340">
        <f t="shared" si="344"/>
        <v>0</v>
      </c>
      <c r="U135" s="340">
        <f t="shared" si="344"/>
        <v>0</v>
      </c>
      <c r="V135" s="562">
        <f t="shared" si="344"/>
        <v>0</v>
      </c>
      <c r="W135" s="340">
        <f t="shared" si="344"/>
        <v>0</v>
      </c>
      <c r="X135" s="340">
        <f t="shared" si="344"/>
        <v>0</v>
      </c>
      <c r="Y135" s="340">
        <f t="shared" si="344"/>
        <v>0</v>
      </c>
      <c r="Z135" s="340">
        <f t="shared" si="344"/>
        <v>0</v>
      </c>
      <c r="AA135" s="340">
        <f t="shared" si="344"/>
        <v>0</v>
      </c>
      <c r="AB135" s="340">
        <f t="shared" si="344"/>
        <v>0</v>
      </c>
      <c r="AC135" s="340">
        <f t="shared" si="344"/>
        <v>0</v>
      </c>
      <c r="AD135" s="340">
        <f t="shared" si="344"/>
        <v>0</v>
      </c>
      <c r="AE135" s="340">
        <f t="shared" si="344"/>
        <v>0</v>
      </c>
      <c r="AF135" s="340">
        <f t="shared" si="344"/>
        <v>0</v>
      </c>
      <c r="AG135" s="340">
        <f t="shared" si="344"/>
        <v>0</v>
      </c>
      <c r="AH135" s="562">
        <f t="shared" si="344"/>
        <v>0</v>
      </c>
      <c r="AI135" s="340">
        <f t="shared" si="344"/>
        <v>0</v>
      </c>
      <c r="AJ135" s="340">
        <f t="shared" si="344"/>
        <v>0</v>
      </c>
      <c r="AK135" s="340">
        <f t="shared" si="344"/>
        <v>0</v>
      </c>
      <c r="AL135" s="340">
        <f t="shared" si="344"/>
        <v>0</v>
      </c>
      <c r="AM135" s="340">
        <f t="shared" si="344"/>
        <v>0</v>
      </c>
      <c r="AN135" s="340">
        <f t="shared" si="344"/>
        <v>0</v>
      </c>
      <c r="AO135" s="340">
        <f t="shared" si="344"/>
        <v>0</v>
      </c>
      <c r="AP135" s="340">
        <f t="shared" si="344"/>
        <v>0</v>
      </c>
      <c r="AQ135" s="340">
        <f t="shared" si="344"/>
        <v>0</v>
      </c>
      <c r="AR135" s="340">
        <f t="shared" si="344"/>
        <v>0</v>
      </c>
      <c r="AS135" s="340">
        <f t="shared" si="344"/>
        <v>0</v>
      </c>
      <c r="AT135" s="562">
        <f t="shared" si="344"/>
        <v>0</v>
      </c>
      <c r="AU135" s="340">
        <f t="shared" si="344"/>
        <v>0</v>
      </c>
      <c r="AV135" s="340">
        <f t="shared" si="344"/>
        <v>0</v>
      </c>
      <c r="AW135" s="340">
        <f t="shared" si="344"/>
        <v>0</v>
      </c>
      <c r="AX135" s="340">
        <f t="shared" si="344"/>
        <v>0</v>
      </c>
      <c r="AY135" s="340">
        <f t="shared" si="344"/>
        <v>0</v>
      </c>
      <c r="AZ135" s="340">
        <f t="shared" si="344"/>
        <v>0</v>
      </c>
      <c r="BA135" s="340">
        <f t="shared" si="344"/>
        <v>0</v>
      </c>
      <c r="BB135" s="340">
        <f t="shared" si="344"/>
        <v>0</v>
      </c>
      <c r="BC135" s="340">
        <f t="shared" si="344"/>
        <v>0</v>
      </c>
      <c r="BD135" s="340">
        <f t="shared" si="344"/>
        <v>0</v>
      </c>
      <c r="BE135" s="340">
        <f t="shared" si="344"/>
        <v>0</v>
      </c>
      <c r="BF135" s="562">
        <f t="shared" si="344"/>
        <v>0</v>
      </c>
      <c r="BG135" s="340">
        <f t="shared" si="344"/>
        <v>0</v>
      </c>
      <c r="BH135" s="340">
        <f t="shared" ref="BH135:DN135" si="345">BH132-BH134</f>
        <v>0</v>
      </c>
      <c r="BI135" s="340">
        <f t="shared" si="345"/>
        <v>0</v>
      </c>
      <c r="BJ135" s="340">
        <f t="shared" si="345"/>
        <v>0</v>
      </c>
      <c r="BK135" s="340">
        <f t="shared" si="345"/>
        <v>0</v>
      </c>
      <c r="BL135" s="340">
        <f t="shared" si="345"/>
        <v>0</v>
      </c>
      <c r="BM135" s="340">
        <f t="shared" si="345"/>
        <v>0</v>
      </c>
      <c r="BN135" s="340">
        <f t="shared" si="345"/>
        <v>0</v>
      </c>
      <c r="BO135" s="340">
        <f t="shared" si="345"/>
        <v>0</v>
      </c>
      <c r="BP135" s="340">
        <f t="shared" si="345"/>
        <v>0</v>
      </c>
      <c r="BQ135" s="340">
        <f t="shared" si="345"/>
        <v>0</v>
      </c>
      <c r="BR135" s="562">
        <f t="shared" si="345"/>
        <v>-20000</v>
      </c>
      <c r="BS135" s="340">
        <f t="shared" si="345"/>
        <v>-20000</v>
      </c>
      <c r="BT135" s="340">
        <f t="shared" si="345"/>
        <v>-20000</v>
      </c>
      <c r="BU135" s="340">
        <f t="shared" si="345"/>
        <v>-20000</v>
      </c>
      <c r="BV135" s="340">
        <f t="shared" si="345"/>
        <v>-20000</v>
      </c>
      <c r="BW135" s="340">
        <f t="shared" si="345"/>
        <v>-20000</v>
      </c>
      <c r="BX135" s="340">
        <f t="shared" si="345"/>
        <v>-20000</v>
      </c>
      <c r="BY135" s="340">
        <f t="shared" si="345"/>
        <v>-20000</v>
      </c>
      <c r="BZ135" s="340">
        <f t="shared" si="345"/>
        <v>0</v>
      </c>
      <c r="CA135" s="340">
        <f t="shared" si="345"/>
        <v>0</v>
      </c>
      <c r="CB135" s="340">
        <f t="shared" si="345"/>
        <v>0</v>
      </c>
      <c r="CC135" s="340">
        <f t="shared" si="345"/>
        <v>0</v>
      </c>
      <c r="CD135" s="562">
        <f t="shared" si="345"/>
        <v>-30000</v>
      </c>
      <c r="CE135" s="340">
        <f t="shared" si="345"/>
        <v>-30000</v>
      </c>
      <c r="CF135" s="340">
        <f t="shared" si="345"/>
        <v>-30000</v>
      </c>
      <c r="CG135" s="340">
        <f t="shared" si="345"/>
        <v>-30000</v>
      </c>
      <c r="CH135" s="340">
        <f t="shared" si="345"/>
        <v>-30000</v>
      </c>
      <c r="CI135" s="340">
        <f t="shared" si="345"/>
        <v>-30000</v>
      </c>
      <c r="CJ135" s="340">
        <f t="shared" si="345"/>
        <v>-30000</v>
      </c>
      <c r="CK135" s="340">
        <f t="shared" si="345"/>
        <v>-30000</v>
      </c>
      <c r="CL135" s="340">
        <f t="shared" si="345"/>
        <v>0</v>
      </c>
      <c r="CM135" s="340">
        <f t="shared" si="345"/>
        <v>0</v>
      </c>
      <c r="CN135" s="340">
        <f t="shared" si="345"/>
        <v>0</v>
      </c>
      <c r="CO135" s="340">
        <f t="shared" si="345"/>
        <v>0</v>
      </c>
      <c r="CP135" s="562">
        <f t="shared" si="345"/>
        <v>-50000</v>
      </c>
      <c r="CQ135" s="340">
        <f t="shared" si="345"/>
        <v>-50000</v>
      </c>
      <c r="CR135" s="340">
        <f t="shared" si="345"/>
        <v>-50000</v>
      </c>
      <c r="CS135" s="340">
        <f t="shared" si="345"/>
        <v>-50000</v>
      </c>
      <c r="CT135" s="340">
        <f t="shared" si="345"/>
        <v>-50000</v>
      </c>
      <c r="CU135" s="340">
        <f t="shared" si="345"/>
        <v>-50000</v>
      </c>
      <c r="CV135" s="340">
        <f t="shared" si="345"/>
        <v>-50000</v>
      </c>
      <c r="CW135" s="340">
        <f t="shared" si="345"/>
        <v>-50000</v>
      </c>
      <c r="CX135" s="340">
        <f t="shared" si="345"/>
        <v>0</v>
      </c>
      <c r="CY135" s="340">
        <f t="shared" si="345"/>
        <v>0</v>
      </c>
      <c r="CZ135" s="340">
        <f t="shared" si="345"/>
        <v>0</v>
      </c>
      <c r="DA135" s="340">
        <f t="shared" si="345"/>
        <v>0</v>
      </c>
      <c r="DB135" s="562">
        <f t="shared" si="345"/>
        <v>-60000</v>
      </c>
      <c r="DC135" s="340">
        <f t="shared" si="345"/>
        <v>-60000</v>
      </c>
      <c r="DD135" s="340">
        <f t="shared" si="345"/>
        <v>-60000</v>
      </c>
      <c r="DE135" s="340">
        <f t="shared" si="345"/>
        <v>-60000</v>
      </c>
      <c r="DF135" s="340">
        <f t="shared" si="345"/>
        <v>-60000</v>
      </c>
      <c r="DG135" s="340">
        <f t="shared" si="345"/>
        <v>-60000</v>
      </c>
      <c r="DH135" s="340">
        <f t="shared" si="345"/>
        <v>-60000</v>
      </c>
      <c r="DI135" s="340">
        <f t="shared" si="345"/>
        <v>-60000</v>
      </c>
      <c r="DJ135" s="340">
        <f t="shared" si="345"/>
        <v>0</v>
      </c>
      <c r="DK135" s="340">
        <f t="shared" si="345"/>
        <v>0</v>
      </c>
      <c r="DL135" s="340">
        <f t="shared" si="345"/>
        <v>0</v>
      </c>
      <c r="DM135" s="340">
        <f t="shared" si="345"/>
        <v>0</v>
      </c>
      <c r="DN135" s="340">
        <f t="shared" si="345"/>
        <v>0</v>
      </c>
      <c r="DO135" s="340"/>
      <c r="DP135" s="340"/>
    </row>
    <row r="136" spans="3:120" x14ac:dyDescent="0.3">
      <c r="V136" s="561"/>
      <c r="AH136" s="561"/>
      <c r="AT136" s="561"/>
      <c r="BF136" s="561"/>
      <c r="BR136" s="561"/>
      <c r="CD136" s="561"/>
      <c r="CP136" s="561"/>
      <c r="DB136" s="561"/>
      <c r="DP136" s="340"/>
    </row>
    <row r="137" spans="3:120" x14ac:dyDescent="0.3">
      <c r="J137" s="340"/>
      <c r="K137" s="340"/>
      <c r="L137" s="340"/>
      <c r="M137" s="340"/>
      <c r="N137" s="340"/>
      <c r="O137" s="340"/>
      <c r="P137" s="340"/>
      <c r="Q137" s="340"/>
      <c r="R137" s="340"/>
      <c r="S137" s="340"/>
      <c r="T137" s="340"/>
      <c r="U137" s="340"/>
      <c r="V137" s="562"/>
      <c r="W137" s="340"/>
      <c r="X137" s="340"/>
      <c r="Y137" s="340"/>
      <c r="Z137" s="340"/>
      <c r="AA137" s="340"/>
      <c r="AB137" s="340"/>
      <c r="AC137" s="340"/>
      <c r="AD137" s="340"/>
      <c r="AE137" s="340"/>
      <c r="AF137" s="340"/>
      <c r="AG137" s="340"/>
      <c r="AH137" s="562"/>
      <c r="AI137" s="340"/>
      <c r="AJ137" s="340"/>
      <c r="AK137" s="340"/>
      <c r="AL137" s="340"/>
      <c r="AM137" s="340"/>
      <c r="AN137" s="340"/>
      <c r="AO137" s="340"/>
      <c r="AP137" s="340"/>
      <c r="AQ137" s="340"/>
      <c r="AR137" s="340"/>
      <c r="AS137" s="340"/>
      <c r="AT137" s="562"/>
      <c r="AU137" s="340"/>
      <c r="AV137" s="340"/>
      <c r="AW137" s="340"/>
      <c r="AX137" s="340"/>
      <c r="AY137" s="340"/>
      <c r="AZ137" s="340"/>
      <c r="BA137" s="340"/>
      <c r="BB137" s="340"/>
      <c r="BC137" s="340"/>
      <c r="BD137" s="340"/>
      <c r="BE137" s="340"/>
      <c r="BF137" s="562"/>
      <c r="BG137" s="340"/>
      <c r="BH137" s="340"/>
      <c r="BI137" s="340"/>
      <c r="BJ137" s="340"/>
      <c r="BK137" s="340"/>
      <c r="BL137" s="340"/>
      <c r="BM137" s="340"/>
      <c r="BN137" s="340"/>
      <c r="BO137" s="340"/>
      <c r="BP137" s="340"/>
      <c r="BQ137" s="340"/>
      <c r="BR137" s="562"/>
      <c r="BS137" s="340"/>
      <c r="BT137" s="340"/>
      <c r="BU137" s="340"/>
      <c r="BV137" s="340"/>
      <c r="BW137" s="340"/>
      <c r="BX137" s="340"/>
      <c r="BY137" s="340"/>
      <c r="BZ137" s="340"/>
      <c r="CA137" s="340"/>
      <c r="CB137" s="340"/>
      <c r="CC137" s="340"/>
      <c r="CD137" s="562"/>
      <c r="CE137" s="340"/>
      <c r="CF137" s="340"/>
      <c r="CG137" s="340"/>
      <c r="CH137" s="340"/>
      <c r="CI137" s="340"/>
      <c r="CJ137" s="340"/>
      <c r="CK137" s="340"/>
      <c r="CL137" s="340"/>
      <c r="CM137" s="340"/>
      <c r="CN137" s="340"/>
      <c r="CO137" s="340"/>
      <c r="CP137" s="562"/>
      <c r="CQ137" s="340"/>
      <c r="CR137" s="340"/>
      <c r="CS137" s="340"/>
      <c r="CT137" s="340"/>
      <c r="CU137" s="340"/>
      <c r="CV137" s="340"/>
      <c r="CW137" s="340"/>
      <c r="CX137" s="340"/>
      <c r="CY137" s="340"/>
      <c r="CZ137" s="340"/>
      <c r="DA137" s="340"/>
      <c r="DB137" s="562"/>
      <c r="DC137" s="340"/>
      <c r="DD137" s="340"/>
      <c r="DE137" s="340"/>
      <c r="DF137" s="340"/>
      <c r="DG137" s="340"/>
      <c r="DH137" s="340"/>
      <c r="DI137" s="340"/>
      <c r="DJ137" s="340"/>
      <c r="DK137" s="340"/>
      <c r="DL137" s="340"/>
      <c r="DM137" s="340"/>
      <c r="DN137" s="340"/>
      <c r="DO137" s="340"/>
      <c r="DP137" s="340"/>
    </row>
    <row r="138" spans="3:120" x14ac:dyDescent="0.3">
      <c r="C138" s="323" t="s">
        <v>358</v>
      </c>
      <c r="J138" s="340"/>
      <c r="K138" s="340"/>
      <c r="L138" s="340"/>
      <c r="M138" s="340"/>
      <c r="N138" s="340"/>
      <c r="O138" s="340"/>
      <c r="P138" s="340"/>
      <c r="Q138" s="340"/>
      <c r="R138" s="340"/>
      <c r="S138" s="340"/>
      <c r="T138" s="340"/>
      <c r="U138" s="340"/>
      <c r="V138" s="562"/>
      <c r="W138" s="340"/>
      <c r="X138" s="340"/>
      <c r="Y138" s="340"/>
      <c r="Z138" s="340"/>
      <c r="AA138" s="340"/>
      <c r="AB138" s="340"/>
      <c r="AC138" s="340"/>
      <c r="AD138" s="340"/>
      <c r="AE138" s="340"/>
      <c r="AF138" s="340"/>
      <c r="AG138" s="340"/>
      <c r="AH138" s="562"/>
      <c r="AI138" s="340"/>
      <c r="AJ138" s="340"/>
      <c r="AK138" s="340"/>
      <c r="AL138" s="340"/>
      <c r="AM138" s="340"/>
      <c r="AN138" s="340"/>
      <c r="AO138" s="340"/>
      <c r="AP138" s="340"/>
      <c r="AQ138" s="340"/>
      <c r="AR138" s="340"/>
      <c r="AS138" s="340"/>
      <c r="AT138" s="562"/>
      <c r="AU138" s="340"/>
      <c r="AV138" s="340"/>
      <c r="AW138" s="340"/>
      <c r="AX138" s="340"/>
      <c r="AY138" s="340"/>
      <c r="AZ138" s="340"/>
      <c r="BA138" s="340"/>
      <c r="BB138" s="340"/>
      <c r="BC138" s="340"/>
      <c r="BD138" s="340"/>
      <c r="BE138" s="340"/>
      <c r="BF138" s="562"/>
      <c r="BG138" s="340"/>
      <c r="BH138" s="340"/>
      <c r="BI138" s="340"/>
      <c r="BJ138" s="340"/>
      <c r="BK138" s="340"/>
      <c r="BL138" s="340"/>
      <c r="BM138" s="340"/>
      <c r="BN138" s="340"/>
      <c r="BO138" s="340"/>
      <c r="BP138" s="340"/>
      <c r="BQ138" s="340"/>
      <c r="BR138" s="562"/>
      <c r="BS138" s="340"/>
      <c r="BT138" s="340"/>
      <c r="BU138" s="340"/>
      <c r="BV138" s="340"/>
      <c r="BW138" s="340"/>
      <c r="BX138" s="340"/>
      <c r="BY138" s="340"/>
      <c r="BZ138" s="340"/>
      <c r="CA138" s="340"/>
      <c r="CB138" s="340"/>
      <c r="CC138" s="340"/>
      <c r="CD138" s="562"/>
      <c r="CE138" s="340"/>
      <c r="CF138" s="340"/>
      <c r="CG138" s="340"/>
      <c r="CH138" s="340"/>
      <c r="CI138" s="340"/>
      <c r="CJ138" s="340"/>
      <c r="CK138" s="340"/>
      <c r="CL138" s="340"/>
      <c r="CM138" s="340"/>
      <c r="CN138" s="340"/>
      <c r="CO138" s="340"/>
      <c r="CP138" s="562"/>
      <c r="CQ138" s="340"/>
      <c r="CR138" s="340"/>
      <c r="CS138" s="340"/>
      <c r="CT138" s="340"/>
      <c r="CU138" s="340"/>
      <c r="CV138" s="340"/>
      <c r="CW138" s="340"/>
      <c r="CX138" s="340"/>
      <c r="CY138" s="340"/>
      <c r="CZ138" s="340"/>
      <c r="DA138" s="340"/>
      <c r="DB138" s="562"/>
      <c r="DC138" s="340"/>
      <c r="DD138" s="340"/>
      <c r="DE138" s="340"/>
      <c r="DF138" s="340"/>
      <c r="DG138" s="340"/>
      <c r="DH138" s="340"/>
      <c r="DI138" s="340"/>
      <c r="DJ138" s="340"/>
      <c r="DK138" s="340"/>
      <c r="DL138" s="340"/>
      <c r="DM138" s="340"/>
      <c r="DN138" s="340"/>
      <c r="DO138" s="340"/>
      <c r="DP138" s="340"/>
    </row>
    <row r="139" spans="3:120" x14ac:dyDescent="0.3">
      <c r="D139" s="323" t="s">
        <v>359</v>
      </c>
      <c r="J139" s="340"/>
      <c r="K139" s="340"/>
      <c r="L139" s="340"/>
      <c r="M139" s="340"/>
      <c r="N139" s="340"/>
      <c r="O139" s="340"/>
      <c r="P139" s="340"/>
      <c r="Q139" s="340"/>
      <c r="R139" s="340"/>
      <c r="S139" s="340"/>
      <c r="T139" s="340"/>
      <c r="U139" s="340"/>
      <c r="V139" s="562"/>
      <c r="W139" s="340"/>
      <c r="X139" s="340"/>
      <c r="Y139" s="340"/>
      <c r="Z139" s="340"/>
      <c r="AA139" s="340"/>
      <c r="AB139" s="340"/>
      <c r="AC139" s="340"/>
      <c r="AD139" s="340"/>
      <c r="AE139" s="340"/>
      <c r="AF139" s="340"/>
      <c r="AG139" s="340"/>
      <c r="AH139" s="562"/>
      <c r="AI139" s="340"/>
      <c r="AJ139" s="340"/>
      <c r="AK139" s="340"/>
      <c r="AL139" s="340"/>
      <c r="AM139" s="340"/>
      <c r="AN139" s="340"/>
      <c r="AO139" s="340"/>
      <c r="AP139" s="340"/>
      <c r="AQ139" s="340"/>
      <c r="AR139" s="340"/>
      <c r="AS139" s="340"/>
      <c r="AT139" s="562"/>
      <c r="AU139" s="340"/>
      <c r="AV139" s="340"/>
      <c r="AW139" s="340"/>
      <c r="AX139" s="340"/>
      <c r="AY139" s="340"/>
      <c r="AZ139" s="340"/>
      <c r="BA139" s="340"/>
      <c r="BB139" s="340"/>
      <c r="BC139" s="340"/>
      <c r="BD139" s="340"/>
      <c r="BE139" s="340"/>
      <c r="BF139" s="562"/>
      <c r="BG139" s="340"/>
      <c r="BH139" s="340"/>
      <c r="BI139" s="340"/>
      <c r="BJ139" s="340"/>
      <c r="BK139" s="340"/>
      <c r="BL139" s="340"/>
      <c r="BM139" s="340"/>
      <c r="BN139" s="340"/>
      <c r="BO139" s="340"/>
      <c r="BP139" s="340"/>
      <c r="BQ139" s="340"/>
      <c r="BR139" s="562"/>
      <c r="BS139" s="340"/>
      <c r="BT139" s="340"/>
      <c r="BU139" s="340"/>
      <c r="BV139" s="340"/>
      <c r="BW139" s="340"/>
      <c r="BX139" s="340"/>
      <c r="BY139" s="340"/>
      <c r="BZ139" s="340"/>
      <c r="CA139" s="340"/>
      <c r="CB139" s="340"/>
      <c r="CC139" s="340"/>
      <c r="CD139" s="562"/>
      <c r="CE139" s="340"/>
      <c r="CF139" s="340"/>
      <c r="CG139" s="340"/>
      <c r="CH139" s="340"/>
      <c r="CI139" s="340"/>
      <c r="CJ139" s="340"/>
      <c r="CK139" s="340"/>
      <c r="CL139" s="340"/>
      <c r="CM139" s="340"/>
      <c r="CN139" s="340"/>
      <c r="CO139" s="340"/>
      <c r="CP139" s="562"/>
      <c r="CQ139" s="340"/>
      <c r="CR139" s="340"/>
      <c r="CS139" s="340"/>
      <c r="CT139" s="340"/>
      <c r="CU139" s="340"/>
      <c r="CV139" s="340"/>
      <c r="CW139" s="340"/>
      <c r="CX139" s="340"/>
      <c r="CY139" s="340"/>
      <c r="CZ139" s="340"/>
      <c r="DA139" s="340"/>
      <c r="DB139" s="562"/>
      <c r="DC139" s="340"/>
      <c r="DD139" s="340"/>
      <c r="DE139" s="340"/>
      <c r="DF139" s="340"/>
      <c r="DG139" s="340"/>
      <c r="DH139" s="340"/>
      <c r="DI139" s="340"/>
      <c r="DJ139" s="340"/>
      <c r="DK139" s="340"/>
      <c r="DL139" s="340"/>
      <c r="DM139" s="340"/>
      <c r="DN139" s="340"/>
      <c r="DO139" s="340"/>
      <c r="DP139" s="340"/>
    </row>
    <row r="140" spans="3:120" x14ac:dyDescent="0.3">
      <c r="E140" s="323" t="s">
        <v>255</v>
      </c>
      <c r="G140" s="341">
        <f>'Members Capital'!K14</f>
        <v>0.08</v>
      </c>
      <c r="H140" s="341"/>
      <c r="I140" s="341"/>
      <c r="J140" s="340"/>
      <c r="K140" s="340">
        <f>IF(K134=0,0,IF(K134&gt;SUM(Balances!I97:I98),SUM(Balances!I97:I98),K134))</f>
        <v>0</v>
      </c>
      <c r="L140" s="340">
        <f>IF(L134=0,0,IF(L134&gt;SUM(Balances!J97:J98),SUM(Balances!J97:J98),L134))</f>
        <v>0</v>
      </c>
      <c r="M140" s="340">
        <f>IF(M134=0,0,IF(M134&gt;SUM(Balances!K97:K98),SUM(Balances!K97:K98),M134))</f>
        <v>0</v>
      </c>
      <c r="N140" s="340">
        <f>IF(N134=0,0,IF(N134&gt;SUM(Balances!L97:L98),SUM(Balances!L97:L98),N134))</f>
        <v>0</v>
      </c>
      <c r="O140" s="340">
        <f>IF(O134=0,0,IF(O134&gt;SUM(Balances!M97:M98),SUM(Balances!M97:M98),O134))</f>
        <v>0</v>
      </c>
      <c r="P140" s="340">
        <f>IF(P134=0,0,IF(P134&gt;SUM(Balances!N97:N98),SUM(Balances!N97:N98),P134))</f>
        <v>0</v>
      </c>
      <c r="Q140" s="340">
        <f>IF(Q134=0,0,IF(Q134&gt;SUM(Balances!O97:O98),SUM(Balances!O97:O98),Q134))</f>
        <v>0</v>
      </c>
      <c r="R140" s="340">
        <f>IF(R134=0,0,IF(R134&gt;SUM(Balances!P97:P98),SUM(Balances!P97:P98),R134))</f>
        <v>0</v>
      </c>
      <c r="S140" s="340">
        <f>IF(S134=0,0,IF(S134&gt;SUM(Balances!Q97:Q98),SUM(Balances!Q97:Q98),S134))</f>
        <v>0</v>
      </c>
      <c r="T140" s="340">
        <f>IF(T134=0,0,IF(T134&gt;SUM(Balances!R97:R98),SUM(Balances!R97:R98),T134))</f>
        <v>0</v>
      </c>
      <c r="U140" s="340">
        <f>IF(U134=0,0,IF(U134&gt;SUM(Balances!S97:S98),SUM(Balances!S97:S98),U134))</f>
        <v>0</v>
      </c>
      <c r="V140" s="562">
        <f>IF(V134=0,0,IF(V134&gt;SUM(Balances!T97:T98),SUM(Balances!T97:T98),V134))</f>
        <v>0</v>
      </c>
      <c r="W140" s="340">
        <f>IF(W134=0,0,IF(W134&gt;SUM(Balances!U97:U98),SUM(Balances!U97:U98),W134))</f>
        <v>0</v>
      </c>
      <c r="X140" s="340">
        <f>IF(X134=0,0,IF(X134&gt;SUM(Balances!V97:V98),SUM(Balances!V97:V98),X134))</f>
        <v>0</v>
      </c>
      <c r="Y140" s="340">
        <f>IF(Y134=0,0,IF(Y134&gt;SUM(Balances!W97:W98),SUM(Balances!W97:W98),Y134))</f>
        <v>0</v>
      </c>
      <c r="Z140" s="340">
        <f>IF(Z134=0,0,IF(Z134&gt;SUM(Balances!X97:X98),SUM(Balances!X97:X98),Z134))</f>
        <v>0</v>
      </c>
      <c r="AA140" s="340">
        <f>IF(AA134=0,0,IF(AA134&gt;SUM(Balances!Y97:Y98),SUM(Balances!Y97:Y98),AA134))</f>
        <v>0</v>
      </c>
      <c r="AB140" s="340">
        <f>IF(AB134=0,0,IF(AB134&gt;SUM(Balances!Z97:Z98),SUM(Balances!Z97:Z98),AB134))</f>
        <v>0</v>
      </c>
      <c r="AC140" s="340">
        <f>IF(AC134=0,0,IF(AC134&gt;SUM(Balances!AA97:AA98),SUM(Balances!AA97:AA98),AC134))</f>
        <v>0</v>
      </c>
      <c r="AD140" s="340">
        <f>IF(AD134=0,0,IF(AD134&gt;SUM(Balances!AB97:AB98),SUM(Balances!AB97:AB98),AD134))</f>
        <v>0</v>
      </c>
      <c r="AE140" s="340">
        <f>IF(AE134=0,0,IF(AE134&gt;SUM(Balances!AC97:AC98),SUM(Balances!AC97:AC98),AE134))</f>
        <v>0</v>
      </c>
      <c r="AF140" s="340">
        <f>IF(AF134=0,0,IF(AF134&gt;SUM(Balances!AD97:AD98),SUM(Balances!AD97:AD98),AF134))</f>
        <v>0</v>
      </c>
      <c r="AG140" s="340">
        <f>IF(AG134=0,0,IF(AG134&gt;SUM(Balances!AE97:AE98),SUM(Balances!AE97:AE98),AG134))</f>
        <v>0</v>
      </c>
      <c r="AH140" s="562">
        <f>IF(AH134=0,0,IF(AH134&gt;SUM(Balances!AF97:AF98),SUM(Balances!AF97:AF98),AH134))</f>
        <v>0</v>
      </c>
      <c r="AI140" s="340">
        <f>IF(AI134=0,0,IF(AI134&gt;SUM(Balances!AG97:AG98),SUM(Balances!AG97:AG98),AI134))</f>
        <v>0</v>
      </c>
      <c r="AJ140" s="340">
        <f>IF(AJ134=0,0,IF(AJ134&gt;SUM(Balances!AH97:AH98),SUM(Balances!AH97:AH98),AJ134))</f>
        <v>0</v>
      </c>
      <c r="AK140" s="340">
        <f>IF(AK134=0,0,IF(AK134&gt;SUM(Balances!AI97:AI98),SUM(Balances!AI97:AI98),AK134))</f>
        <v>0</v>
      </c>
      <c r="AL140" s="340">
        <f>IF(AL134=0,0,IF(AL134&gt;SUM(Balances!AJ97:AJ98),SUM(Balances!AJ97:AJ98),AL134))</f>
        <v>0</v>
      </c>
      <c r="AM140" s="340">
        <f>IF(AM134=0,0,IF(AM134&gt;SUM(Balances!AK97:AK98),SUM(Balances!AK97:AK98),AM134))</f>
        <v>0</v>
      </c>
      <c r="AN140" s="340">
        <f>IF(AN134=0,0,IF(AN134&gt;SUM(Balances!AL97:AL98),SUM(Balances!AL97:AL98),AN134))</f>
        <v>0</v>
      </c>
      <c r="AO140" s="340">
        <f>IF(AO134=0,0,IF(AO134&gt;SUM(Balances!AM97:AM98),SUM(Balances!AM97:AM98),AO134))</f>
        <v>0</v>
      </c>
      <c r="AP140" s="340">
        <f>IF(AP134=0,0,IF(AP134&gt;SUM(Balances!AN97:AN98),SUM(Balances!AN97:AN98),AP134))</f>
        <v>0</v>
      </c>
      <c r="AQ140" s="340">
        <f>IF(AQ134=0,0,IF(AQ134&gt;SUM(Balances!AO97:AO98),SUM(Balances!AO97:AO98),AQ134))</f>
        <v>0</v>
      </c>
      <c r="AR140" s="340">
        <f>IF(AR134=0,0,IF(AR134&gt;SUM(Balances!AP97:AP98),SUM(Balances!AP97:AP98),AR134))</f>
        <v>0</v>
      </c>
      <c r="AS140" s="340">
        <f>IF(AS134=0,0,IF(AS134&gt;SUM(Balances!AQ97:AQ98),SUM(Balances!AQ97:AQ98),AS134))</f>
        <v>0</v>
      </c>
      <c r="AT140" s="562">
        <f>IF(AT134=0,0,IF(AT134&gt;SUM(Balances!AR97:AR98),SUM(Balances!AR97:AR98),AT134))</f>
        <v>0</v>
      </c>
      <c r="AU140" s="340">
        <f>IF(AU134=0,0,IF(AU134&gt;SUM(Balances!AS97:AS98),SUM(Balances!AS97:AS98),AU134))</f>
        <v>0</v>
      </c>
      <c r="AV140" s="340">
        <f>IF(AV134=0,0,IF(AV134&gt;SUM(Balances!AT97:AT98),SUM(Balances!AT97:AT98),AV134))</f>
        <v>0</v>
      </c>
      <c r="AW140" s="340">
        <f>IF(AW134=0,0,IF(AW134&gt;SUM(Balances!AU97:AU98),SUM(Balances!AU97:AU98),AW134))</f>
        <v>0</v>
      </c>
      <c r="AX140" s="340">
        <f>IF(AX134=0,0,IF(AX134&gt;SUM(Balances!AV97:AV98),SUM(Balances!AV97:AV98),AX134))</f>
        <v>0</v>
      </c>
      <c r="AY140" s="340">
        <f>IF(AY134=0,0,IF(AY134&gt;SUM(Balances!AW97:AW98),SUM(Balances!AW97:AW98),AY134))</f>
        <v>0</v>
      </c>
      <c r="AZ140" s="340">
        <f>IF(AZ134=0,0,IF(AZ134&gt;SUM(Balances!AX97:AX98),SUM(Balances!AX97:AX98),AZ134))</f>
        <v>0</v>
      </c>
      <c r="BA140" s="340">
        <f>IF(BA134=0,0,IF(BA134&gt;SUM(Balances!AY97:AY98),SUM(Balances!AY97:AY98),BA134))</f>
        <v>0</v>
      </c>
      <c r="BB140" s="340">
        <f>IF(BB134=0,0,IF(BB134&gt;SUM(Balances!AZ97:AZ98),SUM(Balances!AZ97:AZ98),BB134))</f>
        <v>0</v>
      </c>
      <c r="BC140" s="340">
        <f>IF(BC134=0,0,IF(BC134&gt;SUM(Balances!BA97:BA98),SUM(Balances!BA97:BA98),BC134))</f>
        <v>0</v>
      </c>
      <c r="BD140" s="340">
        <f>IF(BD134=0,0,IF(BD134&gt;SUM(Balances!BB97:BB98),SUM(Balances!BB97:BB98),BD134))</f>
        <v>0</v>
      </c>
      <c r="BE140" s="340">
        <f>IF(BE134=0,0,IF(BE134&gt;SUM(Balances!BC97:BC98),SUM(Balances!BC97:BC98),BE134))</f>
        <v>0</v>
      </c>
      <c r="BF140" s="562">
        <f>IF(BF134=0,0,IF(BF134&gt;SUM(Balances!BD97:BD98),SUM(Balances!BD97:BD98),BF134))</f>
        <v>0</v>
      </c>
      <c r="BG140" s="340">
        <f>IF(BG134=0,0,IF(BG134&gt;SUM(Balances!BE97:BE98),SUM(Balances!BE97:BE98),BG134))</f>
        <v>0</v>
      </c>
      <c r="BH140" s="340">
        <f>IF(BH134=0,0,IF(BH134&gt;SUM(Balances!BF97:BF98),SUM(Balances!BF97:BF98),BH134))</f>
        <v>0</v>
      </c>
      <c r="BI140" s="340">
        <f>IF(BI134=0,0,IF(BI134&gt;SUM(Balances!BG97:BG98),SUM(Balances!BG97:BG98),BI134))</f>
        <v>0</v>
      </c>
      <c r="BJ140" s="340">
        <f>IF(BJ134=0,0,IF(BJ134&gt;SUM(Balances!BH97:BH98),SUM(Balances!BH97:BH98),BJ134))</f>
        <v>0</v>
      </c>
      <c r="BK140" s="340">
        <f>IF(BK134=0,0,IF(BK134&gt;SUM(Balances!BI97:BI98),SUM(Balances!BI97:BI98),BK134))</f>
        <v>0</v>
      </c>
      <c r="BL140" s="340">
        <f>IF(BL134=0,0,IF(BL134&gt;SUM(Balances!BJ97:BJ98),SUM(Balances!BJ97:BJ98),BL134))</f>
        <v>0</v>
      </c>
      <c r="BM140" s="340">
        <f>IF(BM134=0,0,IF(BM134&gt;SUM(Balances!BK97:BK98),SUM(Balances!BK97:BK98),BM134))</f>
        <v>0</v>
      </c>
      <c r="BN140" s="340">
        <f>IF(BN134=0,0,IF(BN134&gt;SUM(Balances!BL97:BL98),SUM(Balances!BL97:BL98),BN134))</f>
        <v>0</v>
      </c>
      <c r="BO140" s="340">
        <f>IF(BO134=0,0,IF(BO134&gt;SUM(Balances!BM97:BM98),SUM(Balances!BM97:BM98),BO134))</f>
        <v>0</v>
      </c>
      <c r="BP140" s="340">
        <f>IF(BP134=0,0,IF(BP134&gt;SUM(Balances!BN97:BN98),SUM(Balances!BN97:BN98),BP134))</f>
        <v>0</v>
      </c>
      <c r="BQ140" s="340">
        <f>IF(BQ134=0,0,IF(BQ134&gt;SUM(Balances!BO97:BO98),SUM(Balances!BO97:BO98),BQ134))</f>
        <v>0</v>
      </c>
      <c r="BR140" s="562">
        <f>IF(BR134=0,0,IF(BR134&gt;SUM(Balances!BP97:BP98),SUM(Balances!BP97:BP98),BR134))</f>
        <v>0</v>
      </c>
      <c r="BS140" s="340">
        <f>IF(BS134=0,0,IF(BS134&gt;SUM(Balances!BQ97:BQ98),SUM(Balances!BQ97:BQ98),BS134))</f>
        <v>0</v>
      </c>
      <c r="BT140" s="340">
        <f>IF(BT134=0,0,IF(BT134&gt;SUM(Balances!BR97:BR98),SUM(Balances!BR97:BR98),BT134))</f>
        <v>0</v>
      </c>
      <c r="BU140" s="340">
        <f>IF(BU134=0,0,IF(BU134&gt;SUM(Balances!BS97:BS98),SUM(Balances!BS97:BS98),BU134))</f>
        <v>0</v>
      </c>
      <c r="BV140" s="340">
        <f>IF(BV134=0,0,IF(BV134&gt;SUM(Balances!BT97:BT98),SUM(Balances!BT97:BT98),BV134))</f>
        <v>0</v>
      </c>
      <c r="BW140" s="340">
        <f>IF(BW134=0,0,IF(BW134&gt;SUM(Balances!BU97:BU98),SUM(Balances!BU97:BU98),BW134))</f>
        <v>0</v>
      </c>
      <c r="BX140" s="340">
        <f>IF(BX134=0,0,IF(BX134&gt;SUM(Balances!BV97:BV98),SUM(Balances!BV97:BV98),BX134))</f>
        <v>0</v>
      </c>
      <c r="BY140" s="340">
        <f>IF(BY134=0,0,IF(BY134&gt;SUM(Balances!BW97:BW98),SUM(Balances!BW97:BW98),BY134))</f>
        <v>0</v>
      </c>
      <c r="BZ140" s="340">
        <f>IF(BZ134=0,0,IF(BZ134&gt;SUM(Balances!BX97:BX98),SUM(Balances!BX97:BX98),BZ134))</f>
        <v>0</v>
      </c>
      <c r="CA140" s="340">
        <f>IF(CA134=0,0,IF(CA134&gt;SUM(Balances!BY97:BY98),SUM(Balances!BY97:BY98),CA134))</f>
        <v>0</v>
      </c>
      <c r="CB140" s="340">
        <f>IF(CB134=0,0,IF(CB134&gt;SUM(Balances!BZ97:BZ98),SUM(Balances!BZ97:BZ98),CB134))</f>
        <v>0</v>
      </c>
      <c r="CC140" s="340">
        <f>IF(CC134=0,0,IF(CC134&gt;SUM(Balances!CA97:CA98),SUM(Balances!CA97:CA98),CC134))</f>
        <v>0</v>
      </c>
      <c r="CD140" s="562">
        <f>IF(CD134=0,0,IF(CD134&gt;SUM(Balances!CB97:CB98),SUM(Balances!CB97:CB98),CD134))</f>
        <v>0</v>
      </c>
      <c r="CE140" s="340">
        <f>IF(CE134=0,0,IF(CE134&gt;SUM(Balances!CC97:CC98),SUM(Balances!CC97:CC98),CE134))</f>
        <v>0</v>
      </c>
      <c r="CF140" s="340">
        <f>IF(CF134=0,0,IF(CF134&gt;SUM(Balances!CD97:CD98),SUM(Balances!CD97:CD98),CF134))</f>
        <v>0</v>
      </c>
      <c r="CG140" s="340">
        <f>IF(CG134=0,0,IF(CG134&gt;SUM(Balances!CE97:CE98),SUM(Balances!CE97:CE98),CG134))</f>
        <v>0</v>
      </c>
      <c r="CH140" s="340">
        <f>IF(CH134=0,0,IF(CH134&gt;SUM(Balances!CF97:CF98),SUM(Balances!CF97:CF98),CH134))</f>
        <v>0</v>
      </c>
      <c r="CI140" s="340">
        <f>IF(CI134=0,0,IF(CI134&gt;SUM(Balances!CG97:CG98),SUM(Balances!CG97:CG98),CI134))</f>
        <v>0</v>
      </c>
      <c r="CJ140" s="340">
        <f>IF(CJ134=0,0,IF(CJ134&gt;SUM(Balances!CH97:CH98),SUM(Balances!CH97:CH98),CJ134))</f>
        <v>0</v>
      </c>
      <c r="CK140" s="340">
        <f>IF(CK134=0,0,IF(CK134&gt;SUM(Balances!CI97:CI98),SUM(Balances!CI97:CI98),CK134))</f>
        <v>0</v>
      </c>
      <c r="CL140" s="340">
        <f>IF(CL134=0,0,IF(CL134&gt;SUM(Balances!CJ97:CJ98),SUM(Balances!CJ97:CJ98),CL134))</f>
        <v>0</v>
      </c>
      <c r="CM140" s="340">
        <f>IF(CM134=0,0,IF(CM134&gt;SUM(Balances!CK97:CK98),SUM(Balances!CK97:CK98),CM134))</f>
        <v>0</v>
      </c>
      <c r="CN140" s="340">
        <f>IF(CN134=0,0,IF(CN134&gt;SUM(Balances!CL97:CL98),SUM(Balances!CL97:CL98),CN134))</f>
        <v>0</v>
      </c>
      <c r="CO140" s="340">
        <f>IF(CO134=0,0,IF(CO134&gt;SUM(Balances!CM97:CM98),SUM(Balances!CM97:CM98),CO134))</f>
        <v>0</v>
      </c>
      <c r="CP140" s="562">
        <f>IF(CP134=0,0,IF(CP134&gt;SUM(Balances!CN97:CN98),SUM(Balances!CN97:CN98),CP134))</f>
        <v>0</v>
      </c>
      <c r="CQ140" s="340">
        <f>IF(CQ134=0,0,IF(CQ134&gt;SUM(Balances!CO97:CO98),SUM(Balances!CO97:CO98),CQ134))</f>
        <v>0</v>
      </c>
      <c r="CR140" s="340">
        <f>IF(CR134=0,0,IF(CR134&gt;SUM(Balances!CP97:CP98),SUM(Balances!CP97:CP98),CR134))</f>
        <v>0</v>
      </c>
      <c r="CS140" s="340">
        <f>IF(CS134=0,0,IF(CS134&gt;SUM(Balances!CQ97:CQ98),SUM(Balances!CQ97:CQ98),CS134))</f>
        <v>0</v>
      </c>
      <c r="CT140" s="340">
        <f>IF(CT134=0,0,IF(CT134&gt;SUM(Balances!CR97:CR98),SUM(Balances!CR97:CR98),CT134))</f>
        <v>0</v>
      </c>
      <c r="CU140" s="340">
        <f>IF(CU134=0,0,IF(CU134&gt;SUM(Balances!CS97:CS98),SUM(Balances!CS97:CS98),CU134))</f>
        <v>0</v>
      </c>
      <c r="CV140" s="340">
        <f>IF(CV134=0,0,IF(CV134&gt;SUM(Balances!CT97:CT98),SUM(Balances!CT97:CT98),CV134))</f>
        <v>0</v>
      </c>
      <c r="CW140" s="340">
        <f>IF(CW134=0,0,IF(CW134&gt;SUM(Balances!CU97:CU98),SUM(Balances!CU97:CU98),CW134))</f>
        <v>0</v>
      </c>
      <c r="CX140" s="340">
        <f>IF(CX134=0,0,IF(CX134&gt;SUM(Balances!CV97:CV98),SUM(Balances!CV97:CV98),CX134))</f>
        <v>0</v>
      </c>
      <c r="CY140" s="340">
        <f>IF(CY134=0,0,IF(CY134&gt;SUM(Balances!CW97:CW98),SUM(Balances!CW97:CW98),CY134))</f>
        <v>0</v>
      </c>
      <c r="CZ140" s="340">
        <f>IF(CZ134=0,0,IF(CZ134&gt;SUM(Balances!CX97:CX98),SUM(Balances!CX97:CX98),CZ134))</f>
        <v>0</v>
      </c>
      <c r="DA140" s="340">
        <f>IF(DA134=0,0,IF(DA134&gt;SUM(Balances!CY97:CY98),SUM(Balances!CY97:CY98),DA134))</f>
        <v>0</v>
      </c>
      <c r="DB140" s="562">
        <f>IF(DB134=0,0,IF(DB134&gt;SUM(Balances!CZ97:CZ98),SUM(Balances!CZ97:CZ98),DB134))</f>
        <v>0</v>
      </c>
      <c r="DC140" s="340">
        <f>IF(DC134=0,0,IF(DC134&gt;SUM(Balances!DA97:DA98),SUM(Balances!DA97:DA98),DC134))</f>
        <v>0</v>
      </c>
      <c r="DD140" s="340">
        <f>IF(DD134=0,0,IF(DD134&gt;SUM(Balances!DB97:DB98),SUM(Balances!DB97:DB98),DD134))</f>
        <v>0</v>
      </c>
      <c r="DE140" s="340">
        <f>IF(DE134=0,0,IF(DE134&gt;SUM(Balances!DC97:DC98),SUM(Balances!DC97:DC98),DE134))</f>
        <v>0</v>
      </c>
      <c r="DF140" s="340">
        <f>IF(DF134=0,0,IF(DF134&gt;SUM(Balances!DD97:DD98),SUM(Balances!DD97:DD98),DF134))</f>
        <v>0</v>
      </c>
      <c r="DG140" s="340">
        <f>IF(DG134=0,0,IF(DG134&gt;SUM(Balances!DE97:DE98),SUM(Balances!DE97:DE98),DG134))</f>
        <v>0</v>
      </c>
      <c r="DH140" s="340">
        <f>IF(DH134=0,0,IF(DH134&gt;SUM(Balances!DF97:DF98),SUM(Balances!DF97:DF98),DH134))</f>
        <v>0</v>
      </c>
      <c r="DI140" s="340">
        <f>IF(DI134=0,0,IF(DI134&gt;SUM(Balances!DG97:DG98),SUM(Balances!DG97:DG98),DI134))</f>
        <v>0</v>
      </c>
      <c r="DJ140" s="340">
        <f>IF(DJ134=0,0,IF(DJ134&gt;SUM(Balances!DH97:DH98),SUM(Balances!DH97:DH98),DJ134))</f>
        <v>0</v>
      </c>
      <c r="DK140" s="340">
        <f>IF(DK134=0,0,IF(DK134&gt;SUM(Balances!DI97:DI98),SUM(Balances!DI97:DI98),DK134))</f>
        <v>0</v>
      </c>
      <c r="DL140" s="340">
        <f>IF(DL134=0,0,IF(DL134&gt;SUM(Balances!DJ97:DJ98),SUM(Balances!DJ97:DJ98),DL134))</f>
        <v>0</v>
      </c>
      <c r="DM140" s="340">
        <f>IF(DM134=0,0,IF(DM134&gt;SUM(Balances!DK97:DK98),SUM(Balances!DK97:DK98),DM134))</f>
        <v>0</v>
      </c>
      <c r="DN140" s="340">
        <f>IF(DN134=0,0,IF(DN134&gt;SUM(Balances!DL97:DL98),SUM(Balances!DL97:DL98),DN134))</f>
        <v>0</v>
      </c>
      <c r="DO140" s="340"/>
      <c r="DP140" s="340">
        <f>SUM(J140:DJ140)</f>
        <v>0</v>
      </c>
    </row>
    <row r="141" spans="3:120" s="376" customFormat="1" hidden="1" outlineLevel="1" x14ac:dyDescent="0.3">
      <c r="F141" s="506" t="s">
        <v>362</v>
      </c>
      <c r="G141" s="507"/>
      <c r="H141" s="507"/>
      <c r="I141" s="507"/>
      <c r="J141" s="508"/>
      <c r="K141" s="508">
        <f t="shared" ref="K141" si="346">K134-K140</f>
        <v>0</v>
      </c>
      <c r="L141" s="508">
        <f t="shared" ref="L141:BW141" si="347">L134-L140</f>
        <v>0</v>
      </c>
      <c r="M141" s="508">
        <f t="shared" si="347"/>
        <v>0</v>
      </c>
      <c r="N141" s="508">
        <f t="shared" si="347"/>
        <v>0</v>
      </c>
      <c r="O141" s="508">
        <f t="shared" si="347"/>
        <v>0</v>
      </c>
      <c r="P141" s="508">
        <f t="shared" si="347"/>
        <v>0</v>
      </c>
      <c r="Q141" s="508">
        <f t="shared" si="347"/>
        <v>0</v>
      </c>
      <c r="R141" s="508">
        <f t="shared" si="347"/>
        <v>0</v>
      </c>
      <c r="S141" s="508">
        <f t="shared" si="347"/>
        <v>0</v>
      </c>
      <c r="T141" s="508">
        <f t="shared" si="347"/>
        <v>0</v>
      </c>
      <c r="U141" s="508">
        <f t="shared" si="347"/>
        <v>0</v>
      </c>
      <c r="V141" s="569">
        <f t="shared" si="347"/>
        <v>0</v>
      </c>
      <c r="W141" s="508">
        <f t="shared" si="347"/>
        <v>0</v>
      </c>
      <c r="X141" s="508">
        <f t="shared" si="347"/>
        <v>0</v>
      </c>
      <c r="Y141" s="508">
        <f t="shared" si="347"/>
        <v>0</v>
      </c>
      <c r="Z141" s="508">
        <f t="shared" si="347"/>
        <v>0</v>
      </c>
      <c r="AA141" s="508">
        <f t="shared" si="347"/>
        <v>0</v>
      </c>
      <c r="AB141" s="508">
        <f t="shared" si="347"/>
        <v>0</v>
      </c>
      <c r="AC141" s="508">
        <f t="shared" si="347"/>
        <v>0</v>
      </c>
      <c r="AD141" s="508">
        <f t="shared" si="347"/>
        <v>0</v>
      </c>
      <c r="AE141" s="508">
        <f t="shared" si="347"/>
        <v>0</v>
      </c>
      <c r="AF141" s="508">
        <f t="shared" si="347"/>
        <v>0</v>
      </c>
      <c r="AG141" s="508">
        <f t="shared" si="347"/>
        <v>0</v>
      </c>
      <c r="AH141" s="569">
        <f t="shared" si="347"/>
        <v>0</v>
      </c>
      <c r="AI141" s="508">
        <f t="shared" si="347"/>
        <v>0</v>
      </c>
      <c r="AJ141" s="508">
        <f t="shared" si="347"/>
        <v>0</v>
      </c>
      <c r="AK141" s="508">
        <f t="shared" si="347"/>
        <v>0</v>
      </c>
      <c r="AL141" s="508">
        <f t="shared" si="347"/>
        <v>0</v>
      </c>
      <c r="AM141" s="508">
        <f t="shared" si="347"/>
        <v>0</v>
      </c>
      <c r="AN141" s="508">
        <f t="shared" si="347"/>
        <v>0</v>
      </c>
      <c r="AO141" s="508">
        <f t="shared" si="347"/>
        <v>0</v>
      </c>
      <c r="AP141" s="508">
        <f t="shared" si="347"/>
        <v>0</v>
      </c>
      <c r="AQ141" s="508">
        <f t="shared" si="347"/>
        <v>0</v>
      </c>
      <c r="AR141" s="508">
        <f t="shared" si="347"/>
        <v>0</v>
      </c>
      <c r="AS141" s="508">
        <f t="shared" si="347"/>
        <v>0</v>
      </c>
      <c r="AT141" s="569">
        <f t="shared" si="347"/>
        <v>0</v>
      </c>
      <c r="AU141" s="508">
        <f t="shared" si="347"/>
        <v>0</v>
      </c>
      <c r="AV141" s="508">
        <f t="shared" si="347"/>
        <v>0</v>
      </c>
      <c r="AW141" s="508">
        <f t="shared" si="347"/>
        <v>0</v>
      </c>
      <c r="AX141" s="508">
        <f t="shared" si="347"/>
        <v>0</v>
      </c>
      <c r="AY141" s="508">
        <f t="shared" si="347"/>
        <v>0</v>
      </c>
      <c r="AZ141" s="508">
        <f t="shared" si="347"/>
        <v>0</v>
      </c>
      <c r="BA141" s="508">
        <f t="shared" si="347"/>
        <v>0</v>
      </c>
      <c r="BB141" s="508">
        <f t="shared" si="347"/>
        <v>0</v>
      </c>
      <c r="BC141" s="508">
        <f t="shared" si="347"/>
        <v>0</v>
      </c>
      <c r="BD141" s="508">
        <f t="shared" si="347"/>
        <v>0</v>
      </c>
      <c r="BE141" s="508">
        <f t="shared" si="347"/>
        <v>0</v>
      </c>
      <c r="BF141" s="569">
        <f t="shared" si="347"/>
        <v>0</v>
      </c>
      <c r="BG141" s="508">
        <f t="shared" si="347"/>
        <v>0</v>
      </c>
      <c r="BH141" s="508">
        <f t="shared" si="347"/>
        <v>0</v>
      </c>
      <c r="BI141" s="508">
        <f t="shared" si="347"/>
        <v>0</v>
      </c>
      <c r="BJ141" s="508">
        <f t="shared" si="347"/>
        <v>0</v>
      </c>
      <c r="BK141" s="508">
        <f t="shared" si="347"/>
        <v>0</v>
      </c>
      <c r="BL141" s="508">
        <f t="shared" si="347"/>
        <v>0</v>
      </c>
      <c r="BM141" s="508">
        <f t="shared" si="347"/>
        <v>0</v>
      </c>
      <c r="BN141" s="508">
        <f t="shared" si="347"/>
        <v>0</v>
      </c>
      <c r="BO141" s="508">
        <f t="shared" si="347"/>
        <v>0</v>
      </c>
      <c r="BP141" s="508">
        <f t="shared" si="347"/>
        <v>0</v>
      </c>
      <c r="BQ141" s="508">
        <f t="shared" si="347"/>
        <v>0</v>
      </c>
      <c r="BR141" s="569">
        <f t="shared" si="347"/>
        <v>0</v>
      </c>
      <c r="BS141" s="508">
        <f t="shared" si="347"/>
        <v>0</v>
      </c>
      <c r="BT141" s="508">
        <f t="shared" si="347"/>
        <v>0</v>
      </c>
      <c r="BU141" s="508">
        <f t="shared" si="347"/>
        <v>0</v>
      </c>
      <c r="BV141" s="508">
        <f t="shared" si="347"/>
        <v>0</v>
      </c>
      <c r="BW141" s="508">
        <f t="shared" si="347"/>
        <v>0</v>
      </c>
      <c r="BX141" s="508">
        <f t="shared" ref="BX141:DN141" si="348">BX134-BX140</f>
        <v>0</v>
      </c>
      <c r="BY141" s="508">
        <f t="shared" si="348"/>
        <v>0</v>
      </c>
      <c r="BZ141" s="508">
        <f t="shared" si="348"/>
        <v>0</v>
      </c>
      <c r="CA141" s="508">
        <f t="shared" si="348"/>
        <v>0</v>
      </c>
      <c r="CB141" s="508">
        <f t="shared" si="348"/>
        <v>0</v>
      </c>
      <c r="CC141" s="508">
        <f t="shared" si="348"/>
        <v>0</v>
      </c>
      <c r="CD141" s="569">
        <f t="shared" si="348"/>
        <v>0</v>
      </c>
      <c r="CE141" s="508">
        <f t="shared" si="348"/>
        <v>0</v>
      </c>
      <c r="CF141" s="508">
        <f t="shared" si="348"/>
        <v>0</v>
      </c>
      <c r="CG141" s="508">
        <f t="shared" si="348"/>
        <v>0</v>
      </c>
      <c r="CH141" s="508">
        <f t="shared" si="348"/>
        <v>0</v>
      </c>
      <c r="CI141" s="508">
        <f t="shared" si="348"/>
        <v>0</v>
      </c>
      <c r="CJ141" s="508">
        <f t="shared" si="348"/>
        <v>0</v>
      </c>
      <c r="CK141" s="508">
        <f t="shared" si="348"/>
        <v>0</v>
      </c>
      <c r="CL141" s="508">
        <f t="shared" si="348"/>
        <v>0</v>
      </c>
      <c r="CM141" s="508">
        <f t="shared" si="348"/>
        <v>0</v>
      </c>
      <c r="CN141" s="508">
        <f t="shared" si="348"/>
        <v>0</v>
      </c>
      <c r="CO141" s="508">
        <f t="shared" si="348"/>
        <v>0</v>
      </c>
      <c r="CP141" s="569">
        <f t="shared" si="348"/>
        <v>0</v>
      </c>
      <c r="CQ141" s="508">
        <f t="shared" si="348"/>
        <v>0</v>
      </c>
      <c r="CR141" s="508">
        <f t="shared" si="348"/>
        <v>0</v>
      </c>
      <c r="CS141" s="508">
        <f t="shared" si="348"/>
        <v>0</v>
      </c>
      <c r="CT141" s="508">
        <f t="shared" si="348"/>
        <v>0</v>
      </c>
      <c r="CU141" s="508">
        <f t="shared" si="348"/>
        <v>0</v>
      </c>
      <c r="CV141" s="508">
        <f t="shared" si="348"/>
        <v>0</v>
      </c>
      <c r="CW141" s="508">
        <f t="shared" si="348"/>
        <v>0</v>
      </c>
      <c r="CX141" s="508">
        <f t="shared" si="348"/>
        <v>0</v>
      </c>
      <c r="CY141" s="508">
        <f t="shared" si="348"/>
        <v>0</v>
      </c>
      <c r="CZ141" s="508">
        <f t="shared" si="348"/>
        <v>0</v>
      </c>
      <c r="DA141" s="508">
        <f t="shared" si="348"/>
        <v>0</v>
      </c>
      <c r="DB141" s="569">
        <f t="shared" si="348"/>
        <v>0</v>
      </c>
      <c r="DC141" s="508">
        <f t="shared" si="348"/>
        <v>0</v>
      </c>
      <c r="DD141" s="508">
        <f t="shared" si="348"/>
        <v>0</v>
      </c>
      <c r="DE141" s="508">
        <f t="shared" si="348"/>
        <v>0</v>
      </c>
      <c r="DF141" s="508">
        <f t="shared" si="348"/>
        <v>0</v>
      </c>
      <c r="DG141" s="508">
        <f t="shared" si="348"/>
        <v>0</v>
      </c>
      <c r="DH141" s="508">
        <f t="shared" si="348"/>
        <v>0</v>
      </c>
      <c r="DI141" s="508">
        <f t="shared" si="348"/>
        <v>0</v>
      </c>
      <c r="DJ141" s="508">
        <f t="shared" si="348"/>
        <v>0</v>
      </c>
      <c r="DK141" s="508">
        <f t="shared" si="348"/>
        <v>0</v>
      </c>
      <c r="DL141" s="508">
        <f t="shared" si="348"/>
        <v>0</v>
      </c>
      <c r="DM141" s="508">
        <f t="shared" si="348"/>
        <v>0</v>
      </c>
      <c r="DN141" s="508">
        <f t="shared" si="348"/>
        <v>0</v>
      </c>
      <c r="DO141" s="377"/>
      <c r="DP141" s="340">
        <f>SUM(J141:DJ141)</f>
        <v>0</v>
      </c>
    </row>
    <row r="142" spans="3:120" collapsed="1" x14ac:dyDescent="0.3">
      <c r="E142" s="323" t="s">
        <v>510</v>
      </c>
      <c r="G142" s="341"/>
      <c r="H142" s="341"/>
      <c r="I142" s="341"/>
      <c r="J142" s="340"/>
      <c r="K142" s="340">
        <f>IF(K141=0,0,IF(K141&gt;Balances!I91,Balances!I91,K141))</f>
        <v>0</v>
      </c>
      <c r="L142" s="340">
        <f>IF(L141=0,0,IF(L141&gt;Balances!J91,Balances!J91,L141))</f>
        <v>0</v>
      </c>
      <c r="M142" s="340">
        <f>IF(M141=0,0,IF(M141&gt;Balances!K91,Balances!K91,M141))</f>
        <v>0</v>
      </c>
      <c r="N142" s="340">
        <f>IF(N141=0,0,IF(N141&gt;Balances!L91,Balances!L91,N141))</f>
        <v>0</v>
      </c>
      <c r="O142" s="340">
        <f>IF(O141=0,0,IF(O141&gt;Balances!M91,Balances!M91,O141))</f>
        <v>0</v>
      </c>
      <c r="P142" s="340">
        <f>IF(P141=0,0,IF(P141&gt;Balances!N91,Balances!N91,P141))</f>
        <v>0</v>
      </c>
      <c r="Q142" s="340">
        <f>IF(Q141=0,0,IF(Q141&gt;Balances!O91,Balances!O91,Q141))</f>
        <v>0</v>
      </c>
      <c r="R142" s="340">
        <f>IF(R141=0,0,IF(R141&gt;Balances!P91,Balances!P91,R141))</f>
        <v>0</v>
      </c>
      <c r="S142" s="340">
        <f>IF(S141=0,0,IF(S141&gt;Balances!Q91,Balances!Q91,S141))</f>
        <v>0</v>
      </c>
      <c r="T142" s="340">
        <f>IF(T141=0,0,IF(T141&gt;Balances!R91,Balances!R91,T141))</f>
        <v>0</v>
      </c>
      <c r="U142" s="340">
        <f>IF(U141=0,0,IF(U141&gt;Balances!S91,Balances!S91,U141))</f>
        <v>0</v>
      </c>
      <c r="V142" s="562">
        <f>IF(V141=0,0,IF(V141&gt;Balances!T91,Balances!T91,V141))</f>
        <v>0</v>
      </c>
      <c r="W142" s="340">
        <f>IF(W141=0,0,IF(W141&gt;Balances!U91,Balances!U91,W141))</f>
        <v>0</v>
      </c>
      <c r="X142" s="340">
        <f>IF(X141=0,0,IF(X141&gt;Balances!V91,Balances!V91,X141))</f>
        <v>0</v>
      </c>
      <c r="Y142" s="340">
        <f>IF(Y141=0,0,IF(Y141&gt;Balances!W91,Balances!W91,Y141))</f>
        <v>0</v>
      </c>
      <c r="Z142" s="340">
        <f>IF(Z141=0,0,IF(Z141&gt;Balances!X91,Balances!X91,Z141))</f>
        <v>0</v>
      </c>
      <c r="AA142" s="340">
        <f>IF(AA141=0,0,IF(AA141&gt;Balances!Y91,Balances!Y91,AA141))</f>
        <v>0</v>
      </c>
      <c r="AB142" s="340">
        <f>IF(AB141=0,0,IF(AB141&gt;Balances!Z91,Balances!Z91,AB141))</f>
        <v>0</v>
      </c>
      <c r="AC142" s="340">
        <f>IF(AC141=0,0,IF(AC141&gt;Balances!AA91,Balances!AA91,AC141))</f>
        <v>0</v>
      </c>
      <c r="AD142" s="340">
        <f>IF(AD141=0,0,IF(AD141&gt;Balances!AB91,Balances!AB91,AD141))</f>
        <v>0</v>
      </c>
      <c r="AE142" s="340">
        <f>IF(AE141=0,0,IF(AE141&gt;Balances!AC91,Balances!AC91,AE141))</f>
        <v>0</v>
      </c>
      <c r="AF142" s="340">
        <f>IF(AF141=0,0,IF(AF141&gt;Balances!AD91,Balances!AD91,AF141))</f>
        <v>0</v>
      </c>
      <c r="AG142" s="340">
        <f>IF(AG141=0,0,IF(AG141&gt;Balances!AE91,Balances!AE91,AG141))</f>
        <v>0</v>
      </c>
      <c r="AH142" s="562">
        <f>IF(AH141=0,0,IF(AH141&gt;Balances!AF91,Balances!AF91,AH141))</f>
        <v>0</v>
      </c>
      <c r="AI142" s="340">
        <f>IF(AI141=0,0,IF(AI141&gt;Balances!AG91,Balances!AG91,AI141))</f>
        <v>0</v>
      </c>
      <c r="AJ142" s="340">
        <f>IF(AJ141=0,0,IF(AJ141&gt;Balances!AH91,Balances!AH91,AJ141))</f>
        <v>0</v>
      </c>
      <c r="AK142" s="340">
        <f>IF(AK141=0,0,IF(AK141&gt;Balances!AI91,Balances!AI91,AK141))</f>
        <v>0</v>
      </c>
      <c r="AL142" s="340">
        <f>IF(AL141=0,0,IF(AL141&gt;Balances!AJ91,Balances!AJ91,AL141))</f>
        <v>0</v>
      </c>
      <c r="AM142" s="340">
        <f>IF(AM141=0,0,IF(AM141&gt;Balances!AK91,Balances!AK91,AM141))</f>
        <v>0</v>
      </c>
      <c r="AN142" s="340">
        <f>IF(AN141=0,0,IF(AN141&gt;Balances!AL91,Balances!AL91,AN141))</f>
        <v>0</v>
      </c>
      <c r="AO142" s="340">
        <f>IF(AO141=0,0,IF(AO141&gt;Balances!AM91,Balances!AM91,AO141))</f>
        <v>0</v>
      </c>
      <c r="AP142" s="340">
        <f>IF(AP141=0,0,IF(AP141&gt;Balances!AN91,Balances!AN91,AP141))</f>
        <v>0</v>
      </c>
      <c r="AQ142" s="340">
        <f>IF(AQ141=0,0,IF(AQ141&gt;Balances!AO91,Balances!AO91,AQ141))</f>
        <v>0</v>
      </c>
      <c r="AR142" s="340">
        <f>IF(AR141=0,0,IF(AR141&gt;Balances!AP91,Balances!AP91,AR141))</f>
        <v>0</v>
      </c>
      <c r="AS142" s="340">
        <f>IF(AS141=0,0,IF(AS141&gt;Balances!AQ91,Balances!AQ91,AS141))</f>
        <v>0</v>
      </c>
      <c r="AT142" s="562">
        <f>IF(AT141=0,0,IF(AT141&gt;Balances!AR91,Balances!AR91,AT141))</f>
        <v>0</v>
      </c>
      <c r="AU142" s="340">
        <f>IF(AU141=0,0,IF(AU141&gt;Balances!AS91,Balances!AS91,AU141))</f>
        <v>0</v>
      </c>
      <c r="AV142" s="340">
        <f>IF(AV141=0,0,IF(AV141&gt;Balances!AT91,Balances!AT91,AV141))</f>
        <v>0</v>
      </c>
      <c r="AW142" s="340">
        <f>IF(AW141=0,0,IF(AW141&gt;Balances!AU91,Balances!AU91,AW141))</f>
        <v>0</v>
      </c>
      <c r="AX142" s="340">
        <f>IF(AX141=0,0,IF(AX141&gt;Balances!AV91,Balances!AV91,AX141))</f>
        <v>0</v>
      </c>
      <c r="AY142" s="340">
        <f>IF(AY141=0,0,IF(AY141&gt;Balances!AW91,Balances!AW91,AY141))</f>
        <v>0</v>
      </c>
      <c r="AZ142" s="340">
        <f>IF(AZ141=0,0,IF(AZ141&gt;Balances!AX91,Balances!AX91,AZ141))</f>
        <v>0</v>
      </c>
      <c r="BA142" s="340">
        <f>IF(BA141=0,0,IF(BA141&gt;Balances!AY91,Balances!AY91,BA141))</f>
        <v>0</v>
      </c>
      <c r="BB142" s="340">
        <f>IF(BB141=0,0,IF(BB141&gt;Balances!AZ91,Balances!AZ91,BB141))</f>
        <v>0</v>
      </c>
      <c r="BC142" s="340">
        <f>IF(BC141=0,0,IF(BC141&gt;Balances!BA91,Balances!BA91,BC141))</f>
        <v>0</v>
      </c>
      <c r="BD142" s="340">
        <f>IF(BD141=0,0,IF(BD141&gt;Balances!BB91,Balances!BB91,BD141))</f>
        <v>0</v>
      </c>
      <c r="BE142" s="340">
        <f>IF(BE141=0,0,IF(BE141&gt;Balances!BC91,Balances!BC91,BE141))</f>
        <v>0</v>
      </c>
      <c r="BF142" s="562">
        <f>IF(BF141=0,0,IF(BF141&gt;Balances!BD91,Balances!BD91,BF141))</f>
        <v>0</v>
      </c>
      <c r="BG142" s="340">
        <f>IF(BG141=0,0,IF(BG141&gt;Balances!BE91,Balances!BE91,BG141))</f>
        <v>0</v>
      </c>
      <c r="BH142" s="340">
        <f>IF(BH141=0,0,IF(BH141&gt;Balances!BF91,Balances!BF91,BH141))</f>
        <v>0</v>
      </c>
      <c r="BI142" s="340">
        <f>IF(BI141=0,0,IF(BI141&gt;Balances!BG91,Balances!BG91,BI141))</f>
        <v>0</v>
      </c>
      <c r="BJ142" s="340">
        <f>IF(BJ141=0,0,IF(BJ141&gt;Balances!BH91,Balances!BH91,BJ141))</f>
        <v>0</v>
      </c>
      <c r="BK142" s="340">
        <f>IF(BK141=0,0,IF(BK141&gt;Balances!BI91,Balances!BI91,BK141))</f>
        <v>0</v>
      </c>
      <c r="BL142" s="340">
        <f>IF(BL141=0,0,IF(BL141&gt;Balances!BJ91,Balances!BJ91,BL141))</f>
        <v>0</v>
      </c>
      <c r="BM142" s="340">
        <f>IF(BM141=0,0,IF(BM141&gt;Balances!BK91,Balances!BK91,BM141))</f>
        <v>0</v>
      </c>
      <c r="BN142" s="340">
        <f>IF(BN141=0,0,IF(BN141&gt;Balances!BL91,Balances!BL91,BN141))</f>
        <v>0</v>
      </c>
      <c r="BO142" s="340">
        <f>IF(BO141=0,0,IF(BO141&gt;Balances!BM91,Balances!BM91,BO141))</f>
        <v>0</v>
      </c>
      <c r="BP142" s="340">
        <f>IF(BP141=0,0,IF(BP141&gt;Balances!BN91,Balances!BN91,BP141))</f>
        <v>0</v>
      </c>
      <c r="BQ142" s="340">
        <f>IF(BQ141=0,0,IF(BQ141&gt;Balances!BO91,Balances!BO91,BQ141))</f>
        <v>0</v>
      </c>
      <c r="BR142" s="562">
        <f>IF(BR141=0,0,IF(BR141&gt;Balances!BP91,Balances!BP91,BR141))</f>
        <v>0</v>
      </c>
      <c r="BS142" s="340">
        <f>IF(BS141=0,0,IF(BS141&gt;Balances!BQ91,Balances!BQ91,BS141))</f>
        <v>0</v>
      </c>
      <c r="BT142" s="340">
        <f>IF(BT141=0,0,IF(BT141&gt;Balances!BR91,Balances!BR91,BT141))</f>
        <v>0</v>
      </c>
      <c r="BU142" s="340">
        <f>IF(BU141=0,0,IF(BU141&gt;Balances!BS91,Balances!BS91,BU141))</f>
        <v>0</v>
      </c>
      <c r="BV142" s="340">
        <f>IF(BV141=0,0,IF(BV141&gt;Balances!BT91,Balances!BT91,BV141))</f>
        <v>0</v>
      </c>
      <c r="BW142" s="340">
        <f>IF(BW141=0,0,IF(BW141&gt;Balances!BU91,Balances!BU91,BW141))</f>
        <v>0</v>
      </c>
      <c r="BX142" s="340">
        <f>IF(BX141=0,0,IF(BX141&gt;Balances!BV91,Balances!BV91,BX141))</f>
        <v>0</v>
      </c>
      <c r="BY142" s="340">
        <f>IF(BY141=0,0,IF(BY141&gt;Balances!BW91,Balances!BW91,BY141))</f>
        <v>0</v>
      </c>
      <c r="BZ142" s="340">
        <f>IF(BZ141=0,0,IF(BZ141&gt;Balances!BX91,Balances!BX91,BZ141))</f>
        <v>0</v>
      </c>
      <c r="CA142" s="340">
        <f>IF(CA141=0,0,IF(CA141&gt;Balances!BY91,Balances!BY91,CA141))</f>
        <v>0</v>
      </c>
      <c r="CB142" s="340">
        <f>IF(CB141=0,0,IF(CB141&gt;Balances!BZ91,Balances!BZ91,CB141))</f>
        <v>0</v>
      </c>
      <c r="CC142" s="340">
        <f>IF(CC141=0,0,IF(CC141&gt;Balances!CA91,Balances!CA91,CC141))</f>
        <v>0</v>
      </c>
      <c r="CD142" s="562">
        <f>IF(CD141=0,0,IF(CD141&gt;Balances!CB91,Balances!CB91,CD141))</f>
        <v>0</v>
      </c>
      <c r="CE142" s="340">
        <f>IF(CE141=0,0,IF(CE141&gt;Balances!CC91,Balances!CC91,CE141))</f>
        <v>0</v>
      </c>
      <c r="CF142" s="340">
        <f>IF(CF141=0,0,IF(CF141&gt;Balances!CD91,Balances!CD91,CF141))</f>
        <v>0</v>
      </c>
      <c r="CG142" s="340">
        <f>IF(CG141=0,0,IF(CG141&gt;Balances!CE91,Balances!CE91,CG141))</f>
        <v>0</v>
      </c>
      <c r="CH142" s="340">
        <f>IF(CH141=0,0,IF(CH141&gt;Balances!CF91,Balances!CF91,CH141))</f>
        <v>0</v>
      </c>
      <c r="CI142" s="340">
        <f>IF(CI141=0,0,IF(CI141&gt;Balances!CG91,Balances!CG91,CI141))</f>
        <v>0</v>
      </c>
      <c r="CJ142" s="340">
        <f>IF(CJ141=0,0,IF(CJ141&gt;Balances!CH91,Balances!CH91,CJ141))</f>
        <v>0</v>
      </c>
      <c r="CK142" s="340">
        <f>IF(CK141=0,0,IF(CK141&gt;Balances!CI91,Balances!CI91,CK141))</f>
        <v>0</v>
      </c>
      <c r="CL142" s="340">
        <f>IF(CL141=0,0,IF(CL141&gt;Balances!CJ91,Balances!CJ91,CL141))</f>
        <v>0</v>
      </c>
      <c r="CM142" s="340">
        <f>IF(CM141=0,0,IF(CM141&gt;Balances!CK91,Balances!CK91,CM141))</f>
        <v>0</v>
      </c>
      <c r="CN142" s="340">
        <f>IF(CN141=0,0,IF(CN141&gt;Balances!CL91,Balances!CL91,CN141))</f>
        <v>0</v>
      </c>
      <c r="CO142" s="340">
        <f>IF(CO141=0,0,IF(CO141&gt;Balances!CM91,Balances!CM91,CO141))</f>
        <v>0</v>
      </c>
      <c r="CP142" s="562">
        <f>IF(CP141=0,0,IF(CP141&gt;Balances!CN91,Balances!CN91,CP141))</f>
        <v>0</v>
      </c>
      <c r="CQ142" s="340">
        <f>IF(CQ141=0,0,IF(CQ141&gt;Balances!CO91,Balances!CO91,CQ141))</f>
        <v>0</v>
      </c>
      <c r="CR142" s="340">
        <f>IF(CR141=0,0,IF(CR141&gt;Balances!CP91,Balances!CP91,CR141))</f>
        <v>0</v>
      </c>
      <c r="CS142" s="340">
        <f>IF(CS141=0,0,IF(CS141&gt;Balances!CQ91,Balances!CQ91,CS141))</f>
        <v>0</v>
      </c>
      <c r="CT142" s="340">
        <f>IF(CT141=0,0,IF(CT141&gt;Balances!CR91,Balances!CR91,CT141))</f>
        <v>0</v>
      </c>
      <c r="CU142" s="340">
        <f>IF(CU141=0,0,IF(CU141&gt;Balances!CS91,Balances!CS91,CU141))</f>
        <v>0</v>
      </c>
      <c r="CV142" s="340">
        <f>IF(CV141=0,0,IF(CV141&gt;Balances!CT91,Balances!CT91,CV141))</f>
        <v>0</v>
      </c>
      <c r="CW142" s="340">
        <f>IF(CW141=0,0,IF(CW141&gt;Balances!CU91,Balances!CU91,CW141))</f>
        <v>0</v>
      </c>
      <c r="CX142" s="340">
        <f>IF(CX141=0,0,IF(CX141&gt;Balances!CV91,Balances!CV91,CX141))</f>
        <v>0</v>
      </c>
      <c r="CY142" s="340">
        <f>IF(CY141=0,0,IF(CY141&gt;Balances!CW91,Balances!CW91,CY141))</f>
        <v>0</v>
      </c>
      <c r="CZ142" s="340">
        <f>IF(CZ141=0,0,IF(CZ141&gt;Balances!CX91,Balances!CX91,CZ141))</f>
        <v>0</v>
      </c>
      <c r="DA142" s="340">
        <f>IF(DA141=0,0,IF(DA141&gt;Balances!CY91,Balances!CY91,DA141))</f>
        <v>0</v>
      </c>
      <c r="DB142" s="562">
        <f>IF(DB141=0,0,IF(DB141&gt;Balances!CZ91,Balances!CZ91,DB141))</f>
        <v>0</v>
      </c>
      <c r="DC142" s="340">
        <f>IF(DC141=0,0,IF(DC141&gt;Balances!DA91,Balances!DA91,DC141))</f>
        <v>0</v>
      </c>
      <c r="DD142" s="340">
        <f>IF(DD141=0,0,IF(DD141&gt;Balances!DB91,Balances!DB91,DD141))</f>
        <v>0</v>
      </c>
      <c r="DE142" s="340">
        <f>IF(DE141=0,0,IF(DE141&gt;Balances!DC91,Balances!DC91,DE141))</f>
        <v>0</v>
      </c>
      <c r="DF142" s="340">
        <f>IF(DF141=0,0,IF(DF141&gt;Balances!DD91,Balances!DD91,DF141))</f>
        <v>0</v>
      </c>
      <c r="DG142" s="340">
        <f>IF(DG141=0,0,IF(DG141&gt;Balances!DE91,Balances!DE91,DG141))</f>
        <v>0</v>
      </c>
      <c r="DH142" s="340">
        <f>IF(DH141=0,0,IF(DH141&gt;Balances!DF91,Balances!DF91,DH141))</f>
        <v>0</v>
      </c>
      <c r="DI142" s="340">
        <f>IF(DI141=0,0,IF(DI141&gt;Balances!DG91,Balances!DG91,DI141))</f>
        <v>0</v>
      </c>
      <c r="DJ142" s="340">
        <f>IF(DJ141=0,0,IF(DJ141&gt;Balances!DH91,Balances!DH91,DJ141))</f>
        <v>0</v>
      </c>
      <c r="DK142" s="340">
        <f>IF(DK141=0,0,IF(DK141&gt;Balances!DI91,Balances!DI91,DK141))</f>
        <v>0</v>
      </c>
      <c r="DL142" s="340">
        <f>IF(DL141=0,0,IF(DL141&gt;Balances!DJ91,Balances!DJ91,DL141))</f>
        <v>0</v>
      </c>
      <c r="DM142" s="340">
        <f>IF(DM141=0,0,IF(DM141&gt;Balances!DK91,Balances!DK91,DM141))</f>
        <v>0</v>
      </c>
      <c r="DN142" s="340">
        <f>IF(DN141=0,0,IF(DN141&gt;Balances!DL91,Balances!DL91,DN141))</f>
        <v>0</v>
      </c>
      <c r="DO142" s="340"/>
      <c r="DP142" s="340">
        <f>SUM(J142:DJ142)</f>
        <v>0</v>
      </c>
    </row>
    <row r="143" spans="3:120" s="376" customFormat="1" hidden="1" outlineLevel="1" x14ac:dyDescent="0.3">
      <c r="F143" s="506" t="s">
        <v>362</v>
      </c>
      <c r="G143" s="507"/>
      <c r="H143" s="507"/>
      <c r="I143" s="507"/>
      <c r="J143" s="508"/>
      <c r="K143" s="508">
        <f t="shared" ref="K143" si="349">K141-K142</f>
        <v>0</v>
      </c>
      <c r="L143" s="508">
        <f t="shared" ref="L143:BW143" si="350">L141-L142</f>
        <v>0</v>
      </c>
      <c r="M143" s="508">
        <f t="shared" si="350"/>
        <v>0</v>
      </c>
      <c r="N143" s="508">
        <f t="shared" si="350"/>
        <v>0</v>
      </c>
      <c r="O143" s="508">
        <f t="shared" si="350"/>
        <v>0</v>
      </c>
      <c r="P143" s="508">
        <f t="shared" si="350"/>
        <v>0</v>
      </c>
      <c r="Q143" s="508">
        <f t="shared" si="350"/>
        <v>0</v>
      </c>
      <c r="R143" s="508">
        <f t="shared" si="350"/>
        <v>0</v>
      </c>
      <c r="S143" s="508">
        <f t="shared" si="350"/>
        <v>0</v>
      </c>
      <c r="T143" s="508">
        <f t="shared" si="350"/>
        <v>0</v>
      </c>
      <c r="U143" s="508">
        <f t="shared" si="350"/>
        <v>0</v>
      </c>
      <c r="V143" s="569">
        <f t="shared" si="350"/>
        <v>0</v>
      </c>
      <c r="W143" s="508">
        <f t="shared" si="350"/>
        <v>0</v>
      </c>
      <c r="X143" s="508">
        <f t="shared" si="350"/>
        <v>0</v>
      </c>
      <c r="Y143" s="508">
        <f t="shared" si="350"/>
        <v>0</v>
      </c>
      <c r="Z143" s="508">
        <f t="shared" si="350"/>
        <v>0</v>
      </c>
      <c r="AA143" s="508">
        <f t="shared" si="350"/>
        <v>0</v>
      </c>
      <c r="AB143" s="508">
        <f t="shared" si="350"/>
        <v>0</v>
      </c>
      <c r="AC143" s="508">
        <f t="shared" si="350"/>
        <v>0</v>
      </c>
      <c r="AD143" s="508">
        <f t="shared" si="350"/>
        <v>0</v>
      </c>
      <c r="AE143" s="508">
        <f t="shared" si="350"/>
        <v>0</v>
      </c>
      <c r="AF143" s="508">
        <f t="shared" si="350"/>
        <v>0</v>
      </c>
      <c r="AG143" s="508">
        <f t="shared" si="350"/>
        <v>0</v>
      </c>
      <c r="AH143" s="569">
        <f t="shared" si="350"/>
        <v>0</v>
      </c>
      <c r="AI143" s="508">
        <f t="shared" si="350"/>
        <v>0</v>
      </c>
      <c r="AJ143" s="508">
        <f t="shared" si="350"/>
        <v>0</v>
      </c>
      <c r="AK143" s="508">
        <f t="shared" si="350"/>
        <v>0</v>
      </c>
      <c r="AL143" s="508">
        <f t="shared" si="350"/>
        <v>0</v>
      </c>
      <c r="AM143" s="508">
        <f t="shared" si="350"/>
        <v>0</v>
      </c>
      <c r="AN143" s="508">
        <f t="shared" si="350"/>
        <v>0</v>
      </c>
      <c r="AO143" s="508">
        <f t="shared" si="350"/>
        <v>0</v>
      </c>
      <c r="AP143" s="508">
        <f t="shared" si="350"/>
        <v>0</v>
      </c>
      <c r="AQ143" s="508">
        <f t="shared" si="350"/>
        <v>0</v>
      </c>
      <c r="AR143" s="508">
        <f t="shared" si="350"/>
        <v>0</v>
      </c>
      <c r="AS143" s="508">
        <f t="shared" si="350"/>
        <v>0</v>
      </c>
      <c r="AT143" s="569">
        <f t="shared" si="350"/>
        <v>0</v>
      </c>
      <c r="AU143" s="508">
        <f t="shared" si="350"/>
        <v>0</v>
      </c>
      <c r="AV143" s="508">
        <f t="shared" si="350"/>
        <v>0</v>
      </c>
      <c r="AW143" s="508">
        <f t="shared" si="350"/>
        <v>0</v>
      </c>
      <c r="AX143" s="508">
        <f t="shared" si="350"/>
        <v>0</v>
      </c>
      <c r="AY143" s="508">
        <f t="shared" si="350"/>
        <v>0</v>
      </c>
      <c r="AZ143" s="508">
        <f t="shared" si="350"/>
        <v>0</v>
      </c>
      <c r="BA143" s="508">
        <f t="shared" si="350"/>
        <v>0</v>
      </c>
      <c r="BB143" s="508">
        <f t="shared" si="350"/>
        <v>0</v>
      </c>
      <c r="BC143" s="508">
        <f t="shared" si="350"/>
        <v>0</v>
      </c>
      <c r="BD143" s="508">
        <f t="shared" si="350"/>
        <v>0</v>
      </c>
      <c r="BE143" s="508">
        <f t="shared" si="350"/>
        <v>0</v>
      </c>
      <c r="BF143" s="569">
        <f t="shared" si="350"/>
        <v>0</v>
      </c>
      <c r="BG143" s="508">
        <f t="shared" si="350"/>
        <v>0</v>
      </c>
      <c r="BH143" s="508">
        <f t="shared" si="350"/>
        <v>0</v>
      </c>
      <c r="BI143" s="508">
        <f t="shared" si="350"/>
        <v>0</v>
      </c>
      <c r="BJ143" s="508">
        <f t="shared" si="350"/>
        <v>0</v>
      </c>
      <c r="BK143" s="508">
        <f t="shared" si="350"/>
        <v>0</v>
      </c>
      <c r="BL143" s="508">
        <f t="shared" si="350"/>
        <v>0</v>
      </c>
      <c r="BM143" s="508">
        <f t="shared" si="350"/>
        <v>0</v>
      </c>
      <c r="BN143" s="508">
        <f t="shared" si="350"/>
        <v>0</v>
      </c>
      <c r="BO143" s="508">
        <f t="shared" si="350"/>
        <v>0</v>
      </c>
      <c r="BP143" s="508">
        <f t="shared" si="350"/>
        <v>0</v>
      </c>
      <c r="BQ143" s="508">
        <f t="shared" si="350"/>
        <v>0</v>
      </c>
      <c r="BR143" s="569">
        <f t="shared" si="350"/>
        <v>0</v>
      </c>
      <c r="BS143" s="508">
        <f t="shared" si="350"/>
        <v>0</v>
      </c>
      <c r="BT143" s="508">
        <f t="shared" si="350"/>
        <v>0</v>
      </c>
      <c r="BU143" s="508">
        <f t="shared" si="350"/>
        <v>0</v>
      </c>
      <c r="BV143" s="508">
        <f t="shared" si="350"/>
        <v>0</v>
      </c>
      <c r="BW143" s="508">
        <f t="shared" si="350"/>
        <v>0</v>
      </c>
      <c r="BX143" s="508">
        <f t="shared" ref="BX143:DN143" si="351">BX141-BX142</f>
        <v>0</v>
      </c>
      <c r="BY143" s="508">
        <f t="shared" si="351"/>
        <v>0</v>
      </c>
      <c r="BZ143" s="508">
        <f t="shared" si="351"/>
        <v>0</v>
      </c>
      <c r="CA143" s="508">
        <f t="shared" si="351"/>
        <v>0</v>
      </c>
      <c r="CB143" s="508">
        <f t="shared" si="351"/>
        <v>0</v>
      </c>
      <c r="CC143" s="508">
        <f t="shared" si="351"/>
        <v>0</v>
      </c>
      <c r="CD143" s="569">
        <f t="shared" si="351"/>
        <v>0</v>
      </c>
      <c r="CE143" s="508">
        <f t="shared" si="351"/>
        <v>0</v>
      </c>
      <c r="CF143" s="508">
        <f t="shared" si="351"/>
        <v>0</v>
      </c>
      <c r="CG143" s="508">
        <f t="shared" si="351"/>
        <v>0</v>
      </c>
      <c r="CH143" s="508">
        <f t="shared" si="351"/>
        <v>0</v>
      </c>
      <c r="CI143" s="508">
        <f t="shared" si="351"/>
        <v>0</v>
      </c>
      <c r="CJ143" s="508">
        <f t="shared" si="351"/>
        <v>0</v>
      </c>
      <c r="CK143" s="508">
        <f t="shared" si="351"/>
        <v>0</v>
      </c>
      <c r="CL143" s="508">
        <f t="shared" si="351"/>
        <v>0</v>
      </c>
      <c r="CM143" s="508">
        <f t="shared" si="351"/>
        <v>0</v>
      </c>
      <c r="CN143" s="508">
        <f t="shared" si="351"/>
        <v>0</v>
      </c>
      <c r="CO143" s="508">
        <f t="shared" si="351"/>
        <v>0</v>
      </c>
      <c r="CP143" s="569">
        <f t="shared" si="351"/>
        <v>0</v>
      </c>
      <c r="CQ143" s="508">
        <f t="shared" si="351"/>
        <v>0</v>
      </c>
      <c r="CR143" s="508">
        <f t="shared" si="351"/>
        <v>0</v>
      </c>
      <c r="CS143" s="508">
        <f t="shared" si="351"/>
        <v>0</v>
      </c>
      <c r="CT143" s="508">
        <f t="shared" si="351"/>
        <v>0</v>
      </c>
      <c r="CU143" s="508">
        <f t="shared" si="351"/>
        <v>0</v>
      </c>
      <c r="CV143" s="508">
        <f t="shared" si="351"/>
        <v>0</v>
      </c>
      <c r="CW143" s="508">
        <f t="shared" si="351"/>
        <v>0</v>
      </c>
      <c r="CX143" s="508">
        <f t="shared" si="351"/>
        <v>0</v>
      </c>
      <c r="CY143" s="508">
        <f t="shared" si="351"/>
        <v>0</v>
      </c>
      <c r="CZ143" s="508">
        <f t="shared" si="351"/>
        <v>0</v>
      </c>
      <c r="DA143" s="508">
        <f t="shared" si="351"/>
        <v>0</v>
      </c>
      <c r="DB143" s="569">
        <f t="shared" si="351"/>
        <v>0</v>
      </c>
      <c r="DC143" s="508">
        <f t="shared" si="351"/>
        <v>0</v>
      </c>
      <c r="DD143" s="508">
        <f t="shared" si="351"/>
        <v>0</v>
      </c>
      <c r="DE143" s="508">
        <f t="shared" si="351"/>
        <v>0</v>
      </c>
      <c r="DF143" s="508">
        <f t="shared" si="351"/>
        <v>0</v>
      </c>
      <c r="DG143" s="508">
        <f t="shared" si="351"/>
        <v>0</v>
      </c>
      <c r="DH143" s="508">
        <f t="shared" si="351"/>
        <v>0</v>
      </c>
      <c r="DI143" s="508">
        <f t="shared" si="351"/>
        <v>0</v>
      </c>
      <c r="DJ143" s="508">
        <f t="shared" si="351"/>
        <v>0</v>
      </c>
      <c r="DK143" s="508">
        <f t="shared" si="351"/>
        <v>0</v>
      </c>
      <c r="DL143" s="508">
        <f t="shared" si="351"/>
        <v>0</v>
      </c>
      <c r="DM143" s="508">
        <f t="shared" si="351"/>
        <v>0</v>
      </c>
      <c r="DN143" s="508">
        <f t="shared" si="351"/>
        <v>0</v>
      </c>
      <c r="DO143" s="377"/>
      <c r="DP143" s="340">
        <f>SUM(J143:CL143)</f>
        <v>0</v>
      </c>
    </row>
    <row r="144" spans="3:120" collapsed="1" x14ac:dyDescent="0.3">
      <c r="G144" s="341"/>
      <c r="H144" s="341"/>
      <c r="I144" s="341"/>
      <c r="V144" s="561"/>
      <c r="AH144" s="561"/>
      <c r="AT144" s="561"/>
      <c r="BF144" s="561"/>
      <c r="BR144" s="561"/>
      <c r="CD144" s="561"/>
      <c r="CP144" s="561"/>
      <c r="DB144" s="561"/>
      <c r="DP144" s="340"/>
    </row>
    <row r="145" spans="3:120" x14ac:dyDescent="0.3">
      <c r="D145" s="323" t="s">
        <v>360</v>
      </c>
      <c r="G145" s="341"/>
      <c r="H145" s="341"/>
      <c r="I145" s="341"/>
      <c r="J145" s="345"/>
      <c r="K145" s="345"/>
      <c r="L145" s="345"/>
      <c r="M145" s="345"/>
      <c r="N145" s="345"/>
      <c r="O145" s="345"/>
      <c r="P145" s="345"/>
      <c r="Q145" s="345"/>
      <c r="R145" s="345"/>
      <c r="S145" s="345"/>
      <c r="T145" s="345"/>
      <c r="U145" s="345"/>
      <c r="V145" s="566"/>
      <c r="W145" s="345"/>
      <c r="X145" s="345"/>
      <c r="Y145" s="345"/>
      <c r="Z145" s="345"/>
      <c r="AA145" s="345"/>
      <c r="AB145" s="345"/>
      <c r="AC145" s="345"/>
      <c r="AD145" s="345"/>
      <c r="AE145" s="345"/>
      <c r="AF145" s="345"/>
      <c r="AG145" s="345"/>
      <c r="AH145" s="566"/>
      <c r="AI145" s="345"/>
      <c r="AJ145" s="345"/>
      <c r="AK145" s="345"/>
      <c r="AL145" s="345"/>
      <c r="AM145" s="345"/>
      <c r="AN145" s="345"/>
      <c r="AO145" s="345"/>
      <c r="AP145" s="345"/>
      <c r="AQ145" s="345"/>
      <c r="AR145" s="345"/>
      <c r="AS145" s="345"/>
      <c r="AT145" s="566"/>
      <c r="AU145" s="345"/>
      <c r="AV145" s="345"/>
      <c r="AW145" s="345"/>
      <c r="AX145" s="345"/>
      <c r="AY145" s="345"/>
      <c r="AZ145" s="345"/>
      <c r="BA145" s="345"/>
      <c r="BB145" s="345"/>
      <c r="BC145" s="345"/>
      <c r="BD145" s="345"/>
      <c r="BE145" s="345"/>
      <c r="BF145" s="566"/>
      <c r="BG145" s="345"/>
      <c r="BH145" s="345"/>
      <c r="BI145" s="345"/>
      <c r="BJ145" s="345"/>
      <c r="BK145" s="345"/>
      <c r="BL145" s="345"/>
      <c r="BM145" s="345"/>
      <c r="BN145" s="345"/>
      <c r="BO145" s="345"/>
      <c r="BP145" s="345"/>
      <c r="BQ145" s="345"/>
      <c r="BR145" s="566"/>
      <c r="BS145" s="345"/>
      <c r="BT145" s="345"/>
      <c r="BU145" s="345"/>
      <c r="BV145" s="345"/>
      <c r="BW145" s="345"/>
      <c r="BX145" s="345"/>
      <c r="BY145" s="345"/>
      <c r="BZ145" s="345"/>
      <c r="CA145" s="345"/>
      <c r="CB145" s="345"/>
      <c r="CC145" s="345"/>
      <c r="CD145" s="566"/>
      <c r="CE145" s="345"/>
      <c r="CF145" s="345"/>
      <c r="CG145" s="345"/>
      <c r="CH145" s="345"/>
      <c r="CI145" s="345"/>
      <c r="CJ145" s="345"/>
      <c r="CK145" s="345"/>
      <c r="CL145" s="345"/>
      <c r="CM145" s="345"/>
      <c r="CN145" s="345"/>
      <c r="CO145" s="345"/>
      <c r="CP145" s="566"/>
      <c r="CQ145" s="345"/>
      <c r="CR145" s="345"/>
      <c r="CS145" s="345"/>
      <c r="CT145" s="345"/>
      <c r="CU145" s="345"/>
      <c r="CV145" s="345"/>
      <c r="CW145" s="345"/>
      <c r="CX145" s="345"/>
      <c r="CY145" s="345"/>
      <c r="CZ145" s="345"/>
      <c r="DA145" s="345"/>
      <c r="DB145" s="566"/>
      <c r="DC145" s="345"/>
      <c r="DD145" s="345"/>
      <c r="DE145" s="345"/>
      <c r="DF145" s="345"/>
      <c r="DG145" s="345"/>
      <c r="DH145" s="345"/>
      <c r="DI145" s="345"/>
      <c r="DJ145" s="345"/>
      <c r="DK145" s="345"/>
      <c r="DL145" s="345"/>
      <c r="DM145" s="345"/>
      <c r="DN145" s="345"/>
      <c r="DO145" s="345"/>
      <c r="DP145" s="340"/>
    </row>
    <row r="146" spans="3:120" x14ac:dyDescent="0.3">
      <c r="E146" s="323" t="s">
        <v>255</v>
      </c>
      <c r="G146" s="341">
        <f>Balances!G72</f>
        <v>0.08</v>
      </c>
      <c r="H146" s="341"/>
      <c r="I146" s="341"/>
      <c r="J146" s="345"/>
      <c r="K146" s="345">
        <f>IF(K143=0,0,IF(K143&gt;SUM(Balances!I71:I72),SUM(Balances!I71:I72),K143))</f>
        <v>0</v>
      </c>
      <c r="L146" s="345">
        <f>IF(L143=0,0,IF(L143&gt;SUM(Balances!J71:J72),SUM(Balances!J71:J72),L143))</f>
        <v>0</v>
      </c>
      <c r="M146" s="345">
        <f>IF(M143=0,0,IF(M143&gt;SUM(Balances!K71:K72),SUM(Balances!K71:K72),M143))</f>
        <v>0</v>
      </c>
      <c r="N146" s="345">
        <f>IF(N143=0,0,IF(N143&gt;SUM(Balances!L71:L72),SUM(Balances!L71:L72),N143))</f>
        <v>0</v>
      </c>
      <c r="O146" s="345">
        <f>IF(O143=0,0,IF(O143&gt;SUM(Balances!M71:M72),SUM(Balances!M71:M72),O143))</f>
        <v>0</v>
      </c>
      <c r="P146" s="345">
        <f>IF(P143=0,0,IF(P143&gt;SUM(Balances!N71:N72),SUM(Balances!N71:N72),P143))</f>
        <v>0</v>
      </c>
      <c r="Q146" s="345">
        <f>IF(Q143=0,0,IF(Q143&gt;SUM(Balances!O71:O72),SUM(Balances!O71:O72),Q143))</f>
        <v>0</v>
      </c>
      <c r="R146" s="345">
        <f>IF(R143=0,0,IF(R143&gt;SUM(Balances!P71:P72),SUM(Balances!P71:P72),R143))</f>
        <v>0</v>
      </c>
      <c r="S146" s="345">
        <f>IF(S143=0,0,IF(S143&gt;SUM(Balances!Q71:Q72),SUM(Balances!Q71:Q72),S143))</f>
        <v>0</v>
      </c>
      <c r="T146" s="345">
        <f>IF(T143=0,0,IF(T143&gt;SUM(Balances!R71:R72),SUM(Balances!R71:R72),T143))</f>
        <v>0</v>
      </c>
      <c r="U146" s="345">
        <f>IF(U143=0,0,IF(U143&gt;SUM(Balances!S71:S72),SUM(Balances!S71:S72),U143))</f>
        <v>0</v>
      </c>
      <c r="V146" s="566">
        <f>IF(V143=0,0,IF(V143&gt;SUM(Balances!T71:T72),SUM(Balances!T71:T72),V143))</f>
        <v>0</v>
      </c>
      <c r="W146" s="345">
        <f>IF(W143=0,0,IF(W143&gt;SUM(Balances!U71:U72),SUM(Balances!U71:U72),W143))</f>
        <v>0</v>
      </c>
      <c r="X146" s="345">
        <f>IF(X143=0,0,IF(X143&gt;SUM(Balances!V71:V72),SUM(Balances!V71:V72),X143))</f>
        <v>0</v>
      </c>
      <c r="Y146" s="345">
        <f>IF(Y143=0,0,IF(Y143&gt;SUM(Balances!W71:W72),SUM(Balances!W71:W72),Y143))</f>
        <v>0</v>
      </c>
      <c r="Z146" s="345">
        <f>IF(Z143=0,0,IF(Z143&gt;SUM(Balances!X71:X72),SUM(Balances!X71:X72),Z143))</f>
        <v>0</v>
      </c>
      <c r="AA146" s="345">
        <f>IF(AA143=0,0,IF(AA143&gt;SUM(Balances!Y71:Y72),SUM(Balances!Y71:Y72),AA143))</f>
        <v>0</v>
      </c>
      <c r="AB146" s="345">
        <f>IF(AB143=0,0,IF(AB143&gt;SUM(Balances!Z71:Z72),SUM(Balances!Z71:Z72),AB143))</f>
        <v>0</v>
      </c>
      <c r="AC146" s="345">
        <f>IF(AC143=0,0,IF(AC143&gt;SUM(Balances!AA71:AA72),SUM(Balances!AA71:AA72),AC143))</f>
        <v>0</v>
      </c>
      <c r="AD146" s="345">
        <f>IF(AD143=0,0,IF(AD143&gt;SUM(Balances!AB71:AB72),SUM(Balances!AB71:AB72),AD143))</f>
        <v>0</v>
      </c>
      <c r="AE146" s="345">
        <f>IF(AE143=0,0,IF(AE143&gt;SUM(Balances!AC71:AC72),SUM(Balances!AC71:AC72),AE143))</f>
        <v>0</v>
      </c>
      <c r="AF146" s="345">
        <f>IF(AF143=0,0,IF(AF143&gt;SUM(Balances!AD71:AD72),SUM(Balances!AD71:AD72),AF143))</f>
        <v>0</v>
      </c>
      <c r="AG146" s="345">
        <f>IF(AG143=0,0,IF(AG143&gt;SUM(Balances!AE71:AE72),SUM(Balances!AE71:AE72),AG143))</f>
        <v>0</v>
      </c>
      <c r="AH146" s="566">
        <f>IF(AH143=0,0,IF(AH143&gt;SUM(Balances!AF71:AF72),SUM(Balances!AF71:AF72),AH143))</f>
        <v>0</v>
      </c>
      <c r="AI146" s="345">
        <f>IF(AI143=0,0,IF(AI143&gt;SUM(Balances!AG71:AG72),SUM(Balances!AG71:AG72),AI143))</f>
        <v>0</v>
      </c>
      <c r="AJ146" s="345">
        <f>IF(AJ143=0,0,IF(AJ143&gt;SUM(Balances!AH71:AH72),SUM(Balances!AH71:AH72),AJ143))</f>
        <v>0</v>
      </c>
      <c r="AK146" s="345">
        <f>IF(AK143=0,0,IF(AK143&gt;SUM(Balances!AI71:AI72),SUM(Balances!AI71:AI72),AK143))</f>
        <v>0</v>
      </c>
      <c r="AL146" s="345">
        <f>IF(AL143=0,0,IF(AL143&gt;SUM(Balances!AJ71:AJ72),SUM(Balances!AJ71:AJ72),AL143))</f>
        <v>0</v>
      </c>
      <c r="AM146" s="345">
        <f>IF(AM143=0,0,IF(AM143&gt;SUM(Balances!AK71:AK72),SUM(Balances!AK71:AK72),AM143))</f>
        <v>0</v>
      </c>
      <c r="AN146" s="345">
        <f>IF(AN143=0,0,IF(AN143&gt;SUM(Balances!AL71:AL72),SUM(Balances!AL71:AL72),AN143))</f>
        <v>0</v>
      </c>
      <c r="AO146" s="345">
        <f>IF(AO143=0,0,IF(AO143&gt;SUM(Balances!AM71:AM72),SUM(Balances!AM71:AM72),AO143))</f>
        <v>0</v>
      </c>
      <c r="AP146" s="345">
        <f>IF(AP143=0,0,IF(AP143&gt;SUM(Balances!AN71:AN72),SUM(Balances!AN71:AN72),AP143))</f>
        <v>0</v>
      </c>
      <c r="AQ146" s="345">
        <f>IF(AQ143=0,0,IF(AQ143&gt;SUM(Balances!AO71:AO72),SUM(Balances!AO71:AO72),AQ143))</f>
        <v>0</v>
      </c>
      <c r="AR146" s="345">
        <f>IF(AR143=0,0,IF(AR143&gt;SUM(Balances!AP71:AP72),SUM(Balances!AP71:AP72),AR143))</f>
        <v>0</v>
      </c>
      <c r="AS146" s="345">
        <f>IF(AS143=0,0,IF(AS143&gt;SUM(Balances!AQ71:AQ72),SUM(Balances!AQ71:AQ72),AS143))</f>
        <v>0</v>
      </c>
      <c r="AT146" s="566">
        <f>IF(AT143=0,0,IF(AT143&gt;SUM(Balances!AR71:AR72),SUM(Balances!AR71:AR72),AT143))</f>
        <v>0</v>
      </c>
      <c r="AU146" s="345">
        <f>IF(AU143=0,0,IF(AU143&gt;SUM(Balances!AS71:AS72),SUM(Balances!AS71:AS72),AU143))</f>
        <v>0</v>
      </c>
      <c r="AV146" s="345">
        <f>IF(AV143=0,0,IF(AV143&gt;SUM(Balances!AT71:AT72),SUM(Balances!AT71:AT72),AV143))</f>
        <v>0</v>
      </c>
      <c r="AW146" s="345">
        <f>IF(AW143=0,0,IF(AW143&gt;SUM(Balances!AU71:AU72),SUM(Balances!AU71:AU72),AW143))</f>
        <v>0</v>
      </c>
      <c r="AX146" s="345">
        <f>IF(AX143=0,0,IF(AX143&gt;SUM(Balances!AV71:AV72),SUM(Balances!AV71:AV72),AX143))</f>
        <v>0</v>
      </c>
      <c r="AY146" s="345">
        <f>IF(AY143=0,0,IF(AY143&gt;SUM(Balances!AW71:AW72),SUM(Balances!AW71:AW72),AY143))</f>
        <v>0</v>
      </c>
      <c r="AZ146" s="345">
        <f>IF(AZ143=0,0,IF(AZ143&gt;SUM(Balances!AX71:AX72),SUM(Balances!AX71:AX72),AZ143))</f>
        <v>0</v>
      </c>
      <c r="BA146" s="345">
        <f>IF(BA143=0,0,IF(BA143&gt;SUM(Balances!AY71:AY72),SUM(Balances!AY71:AY72),BA143))</f>
        <v>0</v>
      </c>
      <c r="BB146" s="345">
        <f>IF(BB143=0,0,IF(BB143&gt;SUM(Balances!AZ71:AZ72),SUM(Balances!AZ71:AZ72),BB143))</f>
        <v>0</v>
      </c>
      <c r="BC146" s="345">
        <f>IF(BC143=0,0,IF(BC143&gt;SUM(Balances!BA71:BA72),SUM(Balances!BA71:BA72),BC143))</f>
        <v>0</v>
      </c>
      <c r="BD146" s="345">
        <f>IF(BD143=0,0,IF(BD143&gt;SUM(Balances!BB71:BB72),SUM(Balances!BB71:BB72),BD143))</f>
        <v>0</v>
      </c>
      <c r="BE146" s="345">
        <f>IF(BE143=0,0,IF(BE143&gt;SUM(Balances!BC71:BC72),SUM(Balances!BC71:BC72),BE143))</f>
        <v>0</v>
      </c>
      <c r="BF146" s="566">
        <f>IF(BF143=0,0,IF(BF143&gt;SUM(Balances!BD71:BD72),SUM(Balances!BD71:BD72),BF143))</f>
        <v>0</v>
      </c>
      <c r="BG146" s="345">
        <f>IF(BG143=0,0,IF(BG143&gt;SUM(Balances!BE71:BE72),SUM(Balances!BE71:BE72),BG143))</f>
        <v>0</v>
      </c>
      <c r="BH146" s="345">
        <f>IF(BH143=0,0,IF(BH143&gt;SUM(Balances!BF71:BF72),SUM(Balances!BF71:BF72),BH143))</f>
        <v>0</v>
      </c>
      <c r="BI146" s="345">
        <f>IF(BI143=0,0,IF(BI143&gt;SUM(Balances!BG71:BG72),SUM(Balances!BG71:BG72),BI143))</f>
        <v>0</v>
      </c>
      <c r="BJ146" s="345">
        <f>IF(BJ143=0,0,IF(BJ143&gt;SUM(Balances!BH71:BH72),SUM(Balances!BH71:BH72),BJ143))</f>
        <v>0</v>
      </c>
      <c r="BK146" s="345">
        <f>IF(BK143=0,0,IF(BK143&gt;SUM(Balances!BI71:BI72),SUM(Balances!BI71:BI72),BK143))</f>
        <v>0</v>
      </c>
      <c r="BL146" s="345">
        <f>IF(BL143=0,0,IF(BL143&gt;SUM(Balances!BJ71:BJ72),SUM(Balances!BJ71:BJ72),BL143))</f>
        <v>0</v>
      </c>
      <c r="BM146" s="345">
        <f>IF(BM143=0,0,IF(BM143&gt;SUM(Balances!BK71:BK72),SUM(Balances!BK71:BK72),BM143))</f>
        <v>0</v>
      </c>
      <c r="BN146" s="345">
        <f>IF(BN143=0,0,IF(BN143&gt;SUM(Balances!BL71:BL72),SUM(Balances!BL71:BL72),BN143))</f>
        <v>0</v>
      </c>
      <c r="BO146" s="345">
        <f>IF(BO143=0,0,IF(BO143&gt;SUM(Balances!BM71:BM72),SUM(Balances!BM71:BM72),BO143))</f>
        <v>0</v>
      </c>
      <c r="BP146" s="345">
        <f>IF(BP143=0,0,IF(BP143&gt;SUM(Balances!BN71:BN72),SUM(Balances!BN71:BN72),BP143))</f>
        <v>0</v>
      </c>
      <c r="BQ146" s="345">
        <f>IF(BQ143=0,0,IF(BQ143&gt;SUM(Balances!BO71:BO72),SUM(Balances!BO71:BO72),BQ143))</f>
        <v>0</v>
      </c>
      <c r="BR146" s="566">
        <f>IF(BR143=0,0,IF(BR143&gt;SUM(Balances!BP71:BP72),SUM(Balances!BP71:BP72),BR143))</f>
        <v>0</v>
      </c>
      <c r="BS146" s="345">
        <f>IF(BS143=0,0,IF(BS143&gt;SUM(Balances!BQ71:BQ72),SUM(Balances!BQ71:BQ72),BS143))</f>
        <v>0</v>
      </c>
      <c r="BT146" s="345">
        <f>IF(BT143=0,0,IF(BT143&gt;SUM(Balances!BR71:BR72),SUM(Balances!BR71:BR72),BT143))</f>
        <v>0</v>
      </c>
      <c r="BU146" s="345">
        <f>IF(BU143=0,0,IF(BU143&gt;SUM(Balances!BS71:BS72),SUM(Balances!BS71:BS72),BU143))</f>
        <v>0</v>
      </c>
      <c r="BV146" s="345">
        <f>IF(BV143=0,0,IF(BV143&gt;SUM(Balances!BT71:BT72),SUM(Balances!BT71:BT72),BV143))</f>
        <v>0</v>
      </c>
      <c r="BW146" s="345">
        <f>IF(BW143=0,0,IF(BW143&gt;SUM(Balances!BU71:BU72),SUM(Balances!BU71:BU72),BW143))</f>
        <v>0</v>
      </c>
      <c r="BX146" s="345">
        <f>IF(BX143=0,0,IF(BX143&gt;SUM(Balances!BV71:BV72),SUM(Balances!BV71:BV72),BX143))</f>
        <v>0</v>
      </c>
      <c r="BY146" s="345">
        <f>IF(BY143=0,0,IF(BY143&gt;SUM(Balances!BW71:BW72),SUM(Balances!BW71:BW72),BY143))</f>
        <v>0</v>
      </c>
      <c r="BZ146" s="345">
        <f>IF(BZ143=0,0,IF(BZ143&gt;SUM(Balances!BX71:BX72),SUM(Balances!BX71:BX72),BZ143))</f>
        <v>0</v>
      </c>
      <c r="CA146" s="345">
        <f>IF(CA143=0,0,IF(CA143&gt;SUM(Balances!BY71:BY72),SUM(Balances!BY71:BY72),CA143))</f>
        <v>0</v>
      </c>
      <c r="CB146" s="345">
        <f>IF(CB143=0,0,IF(CB143&gt;SUM(Balances!BZ71:BZ72),SUM(Balances!BZ71:BZ72),CB143))</f>
        <v>0</v>
      </c>
      <c r="CC146" s="345">
        <f>IF(CC143=0,0,IF(CC143&gt;SUM(Balances!CA71:CA72),SUM(Balances!CA71:CA72),CC143))</f>
        <v>0</v>
      </c>
      <c r="CD146" s="566">
        <f>IF(CD143=0,0,IF(CD143&gt;SUM(Balances!CB71:CB72),SUM(Balances!CB71:CB72),CD143))</f>
        <v>0</v>
      </c>
      <c r="CE146" s="345">
        <f>IF(CE143=0,0,IF(CE143&gt;SUM(Balances!CC71:CC72),SUM(Balances!CC71:CC72),CE143))</f>
        <v>0</v>
      </c>
      <c r="CF146" s="345">
        <f>IF(CF143=0,0,IF(CF143&gt;SUM(Balances!CD71:CD72),SUM(Balances!CD71:CD72),CF143))</f>
        <v>0</v>
      </c>
      <c r="CG146" s="345">
        <f>IF(CG143=0,0,IF(CG143&gt;SUM(Balances!CE71:CE72),SUM(Balances!CE71:CE72),CG143))</f>
        <v>0</v>
      </c>
      <c r="CH146" s="345">
        <f>IF(CH143=0,0,IF(CH143&gt;SUM(Balances!CF71:CF72),SUM(Balances!CF71:CF72),CH143))</f>
        <v>0</v>
      </c>
      <c r="CI146" s="345">
        <f>IF(CI143=0,0,IF(CI143&gt;SUM(Balances!CG71:CG72),SUM(Balances!CG71:CG72),CI143))</f>
        <v>0</v>
      </c>
      <c r="CJ146" s="345">
        <f>IF(CJ143=0,0,IF(CJ143&gt;SUM(Balances!CH71:CH72),SUM(Balances!CH71:CH72),CJ143))</f>
        <v>0</v>
      </c>
      <c r="CK146" s="345">
        <f>IF(CK143=0,0,IF(CK143&gt;SUM(Balances!CI71:CI72),SUM(Balances!CI71:CI72),CK143))</f>
        <v>0</v>
      </c>
      <c r="CL146" s="345">
        <f>IF(CL143=0,0,IF(CL143&gt;SUM(Balances!CJ71:CJ72),SUM(Balances!CJ71:CJ72),CL143))</f>
        <v>0</v>
      </c>
      <c r="CM146" s="345">
        <f>IF(CM143=0,0,IF(CM143&gt;SUM(Balances!CK71:CK72),SUM(Balances!CK71:CK72),CM143))</f>
        <v>0</v>
      </c>
      <c r="CN146" s="345">
        <f>IF(CN143=0,0,IF(CN143&gt;SUM(Balances!CL71:CL72),SUM(Balances!CL71:CL72),CN143))</f>
        <v>0</v>
      </c>
      <c r="CO146" s="345">
        <f>IF(CO143=0,0,IF(CO143&gt;SUM(Balances!CM71:CM72),SUM(Balances!CM71:CM72),CO143))</f>
        <v>0</v>
      </c>
      <c r="CP146" s="566">
        <f>IF(CP143=0,0,IF(CP143&gt;SUM(Balances!CN71:CN72),SUM(Balances!CN71:CN72),CP143))</f>
        <v>0</v>
      </c>
      <c r="CQ146" s="345">
        <f>IF(CQ143=0,0,IF(CQ143&gt;SUM(Balances!CO71:CO72),SUM(Balances!CO71:CO72),CQ143))</f>
        <v>0</v>
      </c>
      <c r="CR146" s="345">
        <f>IF(CR143=0,0,IF(CR143&gt;SUM(Balances!CP71:CP72),SUM(Balances!CP71:CP72),CR143))</f>
        <v>0</v>
      </c>
      <c r="CS146" s="345">
        <f>IF(CS143=0,0,IF(CS143&gt;SUM(Balances!CQ71:CQ72),SUM(Balances!CQ71:CQ72),CS143))</f>
        <v>0</v>
      </c>
      <c r="CT146" s="345">
        <f>IF(CT143=0,0,IF(CT143&gt;SUM(Balances!CR71:CR72),SUM(Balances!CR71:CR72),CT143))</f>
        <v>0</v>
      </c>
      <c r="CU146" s="345">
        <f>IF(CU143=0,0,IF(CU143&gt;SUM(Balances!CS71:CS72),SUM(Balances!CS71:CS72),CU143))</f>
        <v>0</v>
      </c>
      <c r="CV146" s="345">
        <f>IF(CV143=0,0,IF(CV143&gt;SUM(Balances!CT71:CT72),SUM(Balances!CT71:CT72),CV143))</f>
        <v>0</v>
      </c>
      <c r="CW146" s="345">
        <f>IF(CW143=0,0,IF(CW143&gt;SUM(Balances!CU71:CU72),SUM(Balances!CU71:CU72),CW143))</f>
        <v>0</v>
      </c>
      <c r="CX146" s="345">
        <f>IF(CX143=0,0,IF(CX143&gt;SUM(Balances!CV71:CV72),SUM(Balances!CV71:CV72),CX143))</f>
        <v>0</v>
      </c>
      <c r="CY146" s="345">
        <f>IF(CY143=0,0,IF(CY143&gt;SUM(Balances!CW71:CW72),SUM(Balances!CW71:CW72),CY143))</f>
        <v>0</v>
      </c>
      <c r="CZ146" s="345">
        <f>IF(CZ143=0,0,IF(CZ143&gt;SUM(Balances!CX71:CX72),SUM(Balances!CX71:CX72),CZ143))</f>
        <v>0</v>
      </c>
      <c r="DA146" s="345">
        <f>IF(DA143=0,0,IF(DA143&gt;SUM(Balances!CY71:CY72),SUM(Balances!CY71:CY72),DA143))</f>
        <v>0</v>
      </c>
      <c r="DB146" s="566">
        <f>IF(DB143=0,0,IF(DB143&gt;SUM(Balances!CZ71:CZ72),SUM(Balances!CZ71:CZ72),DB143))</f>
        <v>0</v>
      </c>
      <c r="DC146" s="345">
        <f>IF(DC143=0,0,IF(DC143&gt;SUM(Balances!DA71:DA72),SUM(Balances!DA71:DA72),DC143))</f>
        <v>0</v>
      </c>
      <c r="DD146" s="345">
        <f>IF(DD143=0,0,IF(DD143&gt;SUM(Balances!DB71:DB72),SUM(Balances!DB71:DB72),DD143))</f>
        <v>0</v>
      </c>
      <c r="DE146" s="345">
        <f>IF(DE143=0,0,IF(DE143&gt;SUM(Balances!DC71:DC72),SUM(Balances!DC71:DC72),DE143))</f>
        <v>0</v>
      </c>
      <c r="DF146" s="345">
        <f>IF(DF143=0,0,IF(DF143&gt;SUM(Balances!DD71:DD72),SUM(Balances!DD71:DD72),DF143))</f>
        <v>0</v>
      </c>
      <c r="DG146" s="345">
        <f>IF(DG143=0,0,IF(DG143&gt;SUM(Balances!DE71:DE72),SUM(Balances!DE71:DE72),DG143))</f>
        <v>0</v>
      </c>
      <c r="DH146" s="345">
        <f>IF(DH143=0,0,IF(DH143&gt;SUM(Balances!DF71:DF72),SUM(Balances!DF71:DF72),DH143))</f>
        <v>0</v>
      </c>
      <c r="DI146" s="345">
        <f>IF(DI143=0,0,IF(DI143&gt;SUM(Balances!DG71:DG72),SUM(Balances!DG71:DG72),DI143))</f>
        <v>0</v>
      </c>
      <c r="DJ146" s="345">
        <f>IF(DJ143=0,0,IF(DJ143&gt;SUM(Balances!DH71:DH72),SUM(Balances!DH71:DH72),DJ143))</f>
        <v>0</v>
      </c>
      <c r="DK146" s="345">
        <f>IF(DK143=0,0,IF(DK143&gt;SUM(Balances!DI71:DI72),SUM(Balances!DI71:DI72),DK143))</f>
        <v>0</v>
      </c>
      <c r="DL146" s="345">
        <f>IF(DL143=0,0,IF(DL143&gt;SUM(Balances!DJ71:DJ72),SUM(Balances!DJ71:DJ72),DL143))</f>
        <v>0</v>
      </c>
      <c r="DM146" s="345">
        <f>IF(DM143=0,0,IF(DM143&gt;SUM(Balances!DK71:DK72),SUM(Balances!DK71:DK72),DM143))</f>
        <v>0</v>
      </c>
      <c r="DN146" s="345">
        <f>IF(DN143=0,0,IF(DN143&gt;SUM(Balances!DL71:DL72),SUM(Balances!DL71:DL72),DN143))</f>
        <v>0</v>
      </c>
      <c r="DO146" s="345"/>
      <c r="DP146" s="340">
        <f>SUM(J146:DJ146)</f>
        <v>0</v>
      </c>
    </row>
    <row r="147" spans="3:120" s="376" customFormat="1" hidden="1" outlineLevel="1" x14ac:dyDescent="0.3">
      <c r="F147" s="506" t="s">
        <v>362</v>
      </c>
      <c r="G147" s="507"/>
      <c r="H147" s="507"/>
      <c r="I147" s="507"/>
      <c r="J147" s="505"/>
      <c r="K147" s="505">
        <f t="shared" ref="K147" si="352">K143-K146</f>
        <v>0</v>
      </c>
      <c r="L147" s="505">
        <f t="shared" ref="L147:BW147" si="353">L143-L146</f>
        <v>0</v>
      </c>
      <c r="M147" s="505">
        <f t="shared" si="353"/>
        <v>0</v>
      </c>
      <c r="N147" s="505">
        <f t="shared" si="353"/>
        <v>0</v>
      </c>
      <c r="O147" s="505">
        <f t="shared" si="353"/>
        <v>0</v>
      </c>
      <c r="P147" s="505">
        <f t="shared" si="353"/>
        <v>0</v>
      </c>
      <c r="Q147" s="505">
        <f t="shared" si="353"/>
        <v>0</v>
      </c>
      <c r="R147" s="505">
        <f t="shared" si="353"/>
        <v>0</v>
      </c>
      <c r="S147" s="505">
        <f t="shared" si="353"/>
        <v>0</v>
      </c>
      <c r="T147" s="505">
        <f t="shared" si="353"/>
        <v>0</v>
      </c>
      <c r="U147" s="505">
        <f t="shared" si="353"/>
        <v>0</v>
      </c>
      <c r="V147" s="570">
        <f t="shared" si="353"/>
        <v>0</v>
      </c>
      <c r="W147" s="505">
        <f t="shared" si="353"/>
        <v>0</v>
      </c>
      <c r="X147" s="505">
        <f t="shared" si="353"/>
        <v>0</v>
      </c>
      <c r="Y147" s="505">
        <f t="shared" si="353"/>
        <v>0</v>
      </c>
      <c r="Z147" s="505">
        <f t="shared" si="353"/>
        <v>0</v>
      </c>
      <c r="AA147" s="505">
        <f t="shared" si="353"/>
        <v>0</v>
      </c>
      <c r="AB147" s="505">
        <f t="shared" si="353"/>
        <v>0</v>
      </c>
      <c r="AC147" s="505">
        <f t="shared" si="353"/>
        <v>0</v>
      </c>
      <c r="AD147" s="505">
        <f t="shared" si="353"/>
        <v>0</v>
      </c>
      <c r="AE147" s="505">
        <f t="shared" si="353"/>
        <v>0</v>
      </c>
      <c r="AF147" s="505">
        <f t="shared" si="353"/>
        <v>0</v>
      </c>
      <c r="AG147" s="505">
        <f t="shared" si="353"/>
        <v>0</v>
      </c>
      <c r="AH147" s="570">
        <f t="shared" si="353"/>
        <v>0</v>
      </c>
      <c r="AI147" s="505">
        <f t="shared" si="353"/>
        <v>0</v>
      </c>
      <c r="AJ147" s="505">
        <f t="shared" si="353"/>
        <v>0</v>
      </c>
      <c r="AK147" s="505">
        <f t="shared" si="353"/>
        <v>0</v>
      </c>
      <c r="AL147" s="505">
        <f t="shared" si="353"/>
        <v>0</v>
      </c>
      <c r="AM147" s="505">
        <f t="shared" si="353"/>
        <v>0</v>
      </c>
      <c r="AN147" s="505">
        <f t="shared" si="353"/>
        <v>0</v>
      </c>
      <c r="AO147" s="505">
        <f t="shared" si="353"/>
        <v>0</v>
      </c>
      <c r="AP147" s="505">
        <f t="shared" si="353"/>
        <v>0</v>
      </c>
      <c r="AQ147" s="505">
        <f t="shared" si="353"/>
        <v>0</v>
      </c>
      <c r="AR147" s="505">
        <f t="shared" si="353"/>
        <v>0</v>
      </c>
      <c r="AS147" s="505">
        <f t="shared" si="353"/>
        <v>0</v>
      </c>
      <c r="AT147" s="570">
        <f t="shared" si="353"/>
        <v>0</v>
      </c>
      <c r="AU147" s="505">
        <f t="shared" si="353"/>
        <v>0</v>
      </c>
      <c r="AV147" s="505">
        <f t="shared" si="353"/>
        <v>0</v>
      </c>
      <c r="AW147" s="505">
        <f t="shared" si="353"/>
        <v>0</v>
      </c>
      <c r="AX147" s="505">
        <f t="shared" si="353"/>
        <v>0</v>
      </c>
      <c r="AY147" s="505">
        <f t="shared" si="353"/>
        <v>0</v>
      </c>
      <c r="AZ147" s="505">
        <f t="shared" si="353"/>
        <v>0</v>
      </c>
      <c r="BA147" s="505">
        <f t="shared" si="353"/>
        <v>0</v>
      </c>
      <c r="BB147" s="505">
        <f t="shared" si="353"/>
        <v>0</v>
      </c>
      <c r="BC147" s="505">
        <f t="shared" si="353"/>
        <v>0</v>
      </c>
      <c r="BD147" s="505">
        <f t="shared" si="353"/>
        <v>0</v>
      </c>
      <c r="BE147" s="505">
        <f t="shared" si="353"/>
        <v>0</v>
      </c>
      <c r="BF147" s="570">
        <f t="shared" si="353"/>
        <v>0</v>
      </c>
      <c r="BG147" s="505">
        <f t="shared" si="353"/>
        <v>0</v>
      </c>
      <c r="BH147" s="505">
        <f t="shared" si="353"/>
        <v>0</v>
      </c>
      <c r="BI147" s="505">
        <f t="shared" si="353"/>
        <v>0</v>
      </c>
      <c r="BJ147" s="505">
        <f t="shared" si="353"/>
        <v>0</v>
      </c>
      <c r="BK147" s="505">
        <f t="shared" si="353"/>
        <v>0</v>
      </c>
      <c r="BL147" s="505">
        <f t="shared" si="353"/>
        <v>0</v>
      </c>
      <c r="BM147" s="505">
        <f t="shared" si="353"/>
        <v>0</v>
      </c>
      <c r="BN147" s="505">
        <f t="shared" si="353"/>
        <v>0</v>
      </c>
      <c r="BO147" s="505">
        <f t="shared" si="353"/>
        <v>0</v>
      </c>
      <c r="BP147" s="505">
        <f t="shared" si="353"/>
        <v>0</v>
      </c>
      <c r="BQ147" s="505">
        <f t="shared" si="353"/>
        <v>0</v>
      </c>
      <c r="BR147" s="570">
        <f t="shared" si="353"/>
        <v>0</v>
      </c>
      <c r="BS147" s="505">
        <f t="shared" si="353"/>
        <v>0</v>
      </c>
      <c r="BT147" s="505">
        <f t="shared" si="353"/>
        <v>0</v>
      </c>
      <c r="BU147" s="505">
        <f t="shared" si="353"/>
        <v>0</v>
      </c>
      <c r="BV147" s="505">
        <f t="shared" si="353"/>
        <v>0</v>
      </c>
      <c r="BW147" s="505">
        <f t="shared" si="353"/>
        <v>0</v>
      </c>
      <c r="BX147" s="505">
        <f t="shared" ref="BX147:DN147" si="354">BX143-BX146</f>
        <v>0</v>
      </c>
      <c r="BY147" s="505">
        <f t="shared" si="354"/>
        <v>0</v>
      </c>
      <c r="BZ147" s="505">
        <f t="shared" si="354"/>
        <v>0</v>
      </c>
      <c r="CA147" s="505">
        <f t="shared" si="354"/>
        <v>0</v>
      </c>
      <c r="CB147" s="505">
        <f t="shared" si="354"/>
        <v>0</v>
      </c>
      <c r="CC147" s="505">
        <f t="shared" si="354"/>
        <v>0</v>
      </c>
      <c r="CD147" s="570">
        <f t="shared" si="354"/>
        <v>0</v>
      </c>
      <c r="CE147" s="505">
        <f t="shared" si="354"/>
        <v>0</v>
      </c>
      <c r="CF147" s="505">
        <f t="shared" si="354"/>
        <v>0</v>
      </c>
      <c r="CG147" s="505">
        <f t="shared" si="354"/>
        <v>0</v>
      </c>
      <c r="CH147" s="505">
        <f t="shared" si="354"/>
        <v>0</v>
      </c>
      <c r="CI147" s="505">
        <f t="shared" si="354"/>
        <v>0</v>
      </c>
      <c r="CJ147" s="505">
        <f t="shared" si="354"/>
        <v>0</v>
      </c>
      <c r="CK147" s="505">
        <f t="shared" si="354"/>
        <v>0</v>
      </c>
      <c r="CL147" s="505">
        <f t="shared" si="354"/>
        <v>0</v>
      </c>
      <c r="CM147" s="505">
        <f t="shared" si="354"/>
        <v>0</v>
      </c>
      <c r="CN147" s="505">
        <f t="shared" si="354"/>
        <v>0</v>
      </c>
      <c r="CO147" s="505">
        <f t="shared" si="354"/>
        <v>0</v>
      </c>
      <c r="CP147" s="570">
        <f t="shared" si="354"/>
        <v>0</v>
      </c>
      <c r="CQ147" s="505">
        <f t="shared" si="354"/>
        <v>0</v>
      </c>
      <c r="CR147" s="505">
        <f t="shared" si="354"/>
        <v>0</v>
      </c>
      <c r="CS147" s="505">
        <f t="shared" si="354"/>
        <v>0</v>
      </c>
      <c r="CT147" s="505">
        <f t="shared" si="354"/>
        <v>0</v>
      </c>
      <c r="CU147" s="505">
        <f t="shared" si="354"/>
        <v>0</v>
      </c>
      <c r="CV147" s="505">
        <f t="shared" si="354"/>
        <v>0</v>
      </c>
      <c r="CW147" s="505">
        <f t="shared" si="354"/>
        <v>0</v>
      </c>
      <c r="CX147" s="505">
        <f t="shared" si="354"/>
        <v>0</v>
      </c>
      <c r="CY147" s="505">
        <f t="shared" si="354"/>
        <v>0</v>
      </c>
      <c r="CZ147" s="505">
        <f t="shared" si="354"/>
        <v>0</v>
      </c>
      <c r="DA147" s="505">
        <f t="shared" si="354"/>
        <v>0</v>
      </c>
      <c r="DB147" s="570">
        <f t="shared" si="354"/>
        <v>0</v>
      </c>
      <c r="DC147" s="505">
        <f t="shared" si="354"/>
        <v>0</v>
      </c>
      <c r="DD147" s="505">
        <f t="shared" si="354"/>
        <v>0</v>
      </c>
      <c r="DE147" s="505">
        <f t="shared" si="354"/>
        <v>0</v>
      </c>
      <c r="DF147" s="505">
        <f t="shared" si="354"/>
        <v>0</v>
      </c>
      <c r="DG147" s="505">
        <f t="shared" si="354"/>
        <v>0</v>
      </c>
      <c r="DH147" s="505">
        <f t="shared" si="354"/>
        <v>0</v>
      </c>
      <c r="DI147" s="505">
        <f t="shared" si="354"/>
        <v>0</v>
      </c>
      <c r="DJ147" s="505">
        <f t="shared" si="354"/>
        <v>0</v>
      </c>
      <c r="DK147" s="505">
        <f t="shared" si="354"/>
        <v>0</v>
      </c>
      <c r="DL147" s="505">
        <f t="shared" si="354"/>
        <v>0</v>
      </c>
      <c r="DM147" s="505">
        <f t="shared" si="354"/>
        <v>0</v>
      </c>
      <c r="DN147" s="505">
        <f t="shared" si="354"/>
        <v>0</v>
      </c>
      <c r="DO147" s="348"/>
      <c r="DP147" s="340">
        <f>SUM(J147:DJ147)</f>
        <v>0</v>
      </c>
    </row>
    <row r="148" spans="3:120" collapsed="1" x14ac:dyDescent="0.3">
      <c r="E148" s="323" t="s">
        <v>510</v>
      </c>
      <c r="G148" s="341"/>
      <c r="H148" s="341"/>
      <c r="I148" s="341"/>
      <c r="J148" s="345"/>
      <c r="K148" s="345">
        <f>IF(K147=0,0,IF(K147&gt;Balances!I66,Balances!I66,K147))</f>
        <v>0</v>
      </c>
      <c r="L148" s="345">
        <f>IF(L147=0,0,IF(L147&gt;Balances!J66,Balances!J66,L147))</f>
        <v>0</v>
      </c>
      <c r="M148" s="345">
        <f>IF(M147=0,0,IF(M147&gt;Balances!K66,Balances!K66,M147))</f>
        <v>0</v>
      </c>
      <c r="N148" s="345">
        <f>IF(N147=0,0,IF(N147&gt;Balances!L66,Balances!L66,N147))</f>
        <v>0</v>
      </c>
      <c r="O148" s="345">
        <f>IF(O147=0,0,IF(O147&gt;Balances!M66,Balances!M66,O147))</f>
        <v>0</v>
      </c>
      <c r="P148" s="345">
        <f>IF(P147=0,0,IF(P147&gt;Balances!N66,Balances!N66,P147))</f>
        <v>0</v>
      </c>
      <c r="Q148" s="345">
        <f>IF(Q147=0,0,IF(Q147&gt;Balances!O66,Balances!O66,Q147))</f>
        <v>0</v>
      </c>
      <c r="R148" s="345">
        <f>IF(R147=0,0,IF(R147&gt;Balances!P66,Balances!P66,R147))</f>
        <v>0</v>
      </c>
      <c r="S148" s="345">
        <f>IF(S147=0,0,IF(S147&gt;Balances!Q66,Balances!Q66,S147))</f>
        <v>0</v>
      </c>
      <c r="T148" s="345">
        <f>IF(T147=0,0,IF(T147&gt;Balances!R66,Balances!R66,T147))</f>
        <v>0</v>
      </c>
      <c r="U148" s="345">
        <f>IF(U147=0,0,IF(U147&gt;Balances!S66,Balances!S66,U147))</f>
        <v>0</v>
      </c>
      <c r="V148" s="566">
        <f>IF(V147=0,0,IF(V147&gt;Balances!T66,Balances!T66,V147))</f>
        <v>0</v>
      </c>
      <c r="W148" s="345">
        <f>IF(W147=0,0,IF(W147&gt;Balances!U66,Balances!U66,W147))</f>
        <v>0</v>
      </c>
      <c r="X148" s="345">
        <f>IF(X147=0,0,IF(X147&gt;Balances!V66,Balances!V66,X147))</f>
        <v>0</v>
      </c>
      <c r="Y148" s="345">
        <f>IF(Y147=0,0,IF(Y147&gt;Balances!W66,Balances!W66,Y147))</f>
        <v>0</v>
      </c>
      <c r="Z148" s="345">
        <f>IF(Z147=0,0,IF(Z147&gt;Balances!X66,Balances!X66,Z147))</f>
        <v>0</v>
      </c>
      <c r="AA148" s="345">
        <f>IF(AA147=0,0,IF(AA147&gt;Balances!Y66,Balances!Y66,AA147))</f>
        <v>0</v>
      </c>
      <c r="AB148" s="345">
        <f>IF(AB147=0,0,IF(AB147&gt;Balances!Z66,Balances!Z66,AB147))</f>
        <v>0</v>
      </c>
      <c r="AC148" s="345">
        <f>IF(AC147=0,0,IF(AC147&gt;Balances!AA66,Balances!AA66,AC147))</f>
        <v>0</v>
      </c>
      <c r="AD148" s="345">
        <f>IF(AD147=0,0,IF(AD147&gt;Balances!AB66,Balances!AB66,AD147))</f>
        <v>0</v>
      </c>
      <c r="AE148" s="345">
        <f>IF(AE147=0,0,IF(AE147&gt;Balances!AC66,Balances!AC66,AE147))</f>
        <v>0</v>
      </c>
      <c r="AF148" s="345">
        <f>IF(AF147=0,0,IF(AF147&gt;Balances!AD66,Balances!AD66,AF147))</f>
        <v>0</v>
      </c>
      <c r="AG148" s="345">
        <f>IF(AG147=0,0,IF(AG147&gt;Balances!AE66,Balances!AE66,AG147))</f>
        <v>0</v>
      </c>
      <c r="AH148" s="566">
        <f>IF(AH147=0,0,IF(AH147&gt;Balances!AF66,Balances!AF66,AH147))</f>
        <v>0</v>
      </c>
      <c r="AI148" s="345">
        <f>IF(AI147=0,0,IF(AI147&gt;Balances!AG66,Balances!AG66,AI147))</f>
        <v>0</v>
      </c>
      <c r="AJ148" s="345">
        <f>IF(AJ147=0,0,IF(AJ147&gt;Balances!AH66,Balances!AH66,AJ147))</f>
        <v>0</v>
      </c>
      <c r="AK148" s="345">
        <f>IF(AK147=0,0,IF(AK147&gt;Balances!AI66,Balances!AI66,AK147))</f>
        <v>0</v>
      </c>
      <c r="AL148" s="345">
        <f>IF(AL147=0,0,IF(AL147&gt;Balances!AJ66,Balances!AJ66,AL147))</f>
        <v>0</v>
      </c>
      <c r="AM148" s="345">
        <f>IF(AM147=0,0,IF(AM147&gt;Balances!AK66,Balances!AK66,AM147))</f>
        <v>0</v>
      </c>
      <c r="AN148" s="345">
        <f>IF(AN147=0,0,IF(AN147&gt;Balances!AL66,Balances!AL66,AN147))</f>
        <v>0</v>
      </c>
      <c r="AO148" s="345">
        <f>IF(AO147=0,0,IF(AO147&gt;Balances!AM66,Balances!AM66,AO147))</f>
        <v>0</v>
      </c>
      <c r="AP148" s="345">
        <f>IF(AP147=0,0,IF(AP147&gt;Balances!AN66,Balances!AN66,AP147))</f>
        <v>0</v>
      </c>
      <c r="AQ148" s="345">
        <f>IF(AQ147=0,0,IF(AQ147&gt;Balances!AO66,Balances!AO66,AQ147))</f>
        <v>0</v>
      </c>
      <c r="AR148" s="345">
        <f>IF(AR147=0,0,IF(AR147&gt;Balances!AP66,Balances!AP66,AR147))</f>
        <v>0</v>
      </c>
      <c r="AS148" s="345">
        <f>IF(AS147=0,0,IF(AS147&gt;Balances!AQ66,Balances!AQ66,AS147))</f>
        <v>0</v>
      </c>
      <c r="AT148" s="566">
        <f>IF(AT147=0,0,IF(AT147&gt;Balances!AR66,Balances!AR66,AT147))</f>
        <v>0</v>
      </c>
      <c r="AU148" s="345">
        <f>IF(AU147=0,0,IF(AU147&gt;Balances!AS66,Balances!AS66,AU147))</f>
        <v>0</v>
      </c>
      <c r="AV148" s="345">
        <f>IF(AV147=0,0,IF(AV147&gt;Balances!AT66,Balances!AT66,AV147))</f>
        <v>0</v>
      </c>
      <c r="AW148" s="345">
        <f>IF(AW147=0,0,IF(AW147&gt;Balances!AU66,Balances!AU66,AW147))</f>
        <v>0</v>
      </c>
      <c r="AX148" s="345">
        <f>IF(AX147=0,0,IF(AX147&gt;Balances!AV66,Balances!AV66,AX147))</f>
        <v>0</v>
      </c>
      <c r="AY148" s="345">
        <f>IF(AY147=0,0,IF(AY147&gt;Balances!AW66,Balances!AW66,AY147))</f>
        <v>0</v>
      </c>
      <c r="AZ148" s="345">
        <f>IF(AZ147=0,0,IF(AZ147&gt;Balances!AX66,Balances!AX66,AZ147))</f>
        <v>0</v>
      </c>
      <c r="BA148" s="345">
        <f>IF(BA147=0,0,IF(BA147&gt;Balances!AY66,Balances!AY66,BA147))</f>
        <v>0</v>
      </c>
      <c r="BB148" s="345">
        <f>IF(BB147=0,0,IF(BB147&gt;Balances!AZ66,Balances!AZ66,BB147))</f>
        <v>0</v>
      </c>
      <c r="BC148" s="345">
        <f>IF(BC147=0,0,IF(BC147&gt;Balances!BA66,Balances!BA66,BC147))</f>
        <v>0</v>
      </c>
      <c r="BD148" s="345">
        <f>IF(BD147=0,0,IF(BD147&gt;Balances!BB66,Balances!BB66,BD147))</f>
        <v>0</v>
      </c>
      <c r="BE148" s="345">
        <f>IF(BE147=0,0,IF(BE147&gt;Balances!BC66,Balances!BC66,BE147))</f>
        <v>0</v>
      </c>
      <c r="BF148" s="566">
        <f>IF(BF147=0,0,IF(BF147&gt;Balances!BD66,Balances!BD66,BF147))</f>
        <v>0</v>
      </c>
      <c r="BG148" s="345">
        <f>IF(BG147=0,0,IF(BG147&gt;Balances!BE66,Balances!BE66,BG147))</f>
        <v>0</v>
      </c>
      <c r="BH148" s="345">
        <f>IF(BH147=0,0,IF(BH147&gt;Balances!BF66,Balances!BF66,BH147))</f>
        <v>0</v>
      </c>
      <c r="BI148" s="345">
        <f>IF(BI147=0,0,IF(BI147&gt;Balances!BG66,Balances!BG66,BI147))</f>
        <v>0</v>
      </c>
      <c r="BJ148" s="345">
        <f>IF(BJ147=0,0,IF(BJ147&gt;Balances!BH66,Balances!BH66,BJ147))</f>
        <v>0</v>
      </c>
      <c r="BK148" s="345">
        <f>IF(BK147=0,0,IF(BK147&gt;Balances!BI66,Balances!BI66,BK147))</f>
        <v>0</v>
      </c>
      <c r="BL148" s="345">
        <f>IF(BL147=0,0,IF(BL147&gt;Balances!BJ66,Balances!BJ66,BL147))</f>
        <v>0</v>
      </c>
      <c r="BM148" s="345">
        <f>IF(BM147=0,0,IF(BM147&gt;Balances!BK66,Balances!BK66,BM147))</f>
        <v>0</v>
      </c>
      <c r="BN148" s="345">
        <f>IF(BN147=0,0,IF(BN147&gt;Balances!BL66,Balances!BL66,BN147))</f>
        <v>0</v>
      </c>
      <c r="BO148" s="345">
        <f>IF(BO147=0,0,IF(BO147&gt;Balances!BM66,Balances!BM66,BO147))</f>
        <v>0</v>
      </c>
      <c r="BP148" s="345">
        <f>IF(BP147=0,0,IF(BP147&gt;Balances!BN66,Balances!BN66,BP147))</f>
        <v>0</v>
      </c>
      <c r="BQ148" s="345">
        <f>IF(BQ147=0,0,IF(BQ147&gt;Balances!BO66,Balances!BO66,BQ147))</f>
        <v>0</v>
      </c>
      <c r="BR148" s="566">
        <f>IF(BR147=0,0,IF(BR147&gt;Balances!BP66,Balances!BP66,BR147))</f>
        <v>0</v>
      </c>
      <c r="BS148" s="345">
        <f>IF(BS147=0,0,IF(BS147&gt;Balances!BQ66,Balances!BQ66,BS147))</f>
        <v>0</v>
      </c>
      <c r="BT148" s="345">
        <f>IF(BT147=0,0,IF(BT147&gt;Balances!BR66,Balances!BR66,BT147))</f>
        <v>0</v>
      </c>
      <c r="BU148" s="345">
        <f>IF(BU147=0,0,IF(BU147&gt;Balances!BS66,Balances!BS66,BU147))</f>
        <v>0</v>
      </c>
      <c r="BV148" s="345">
        <f>IF(BV147=0,0,IF(BV147&gt;Balances!BT66,Balances!BT66,BV147))</f>
        <v>0</v>
      </c>
      <c r="BW148" s="345">
        <f>IF(BW147=0,0,IF(BW147&gt;Balances!BU66,Balances!BU66,BW147))</f>
        <v>0</v>
      </c>
      <c r="BX148" s="345">
        <f>IF(BX147=0,0,IF(BX147&gt;Balances!BV66,Balances!BV66,BX147))</f>
        <v>0</v>
      </c>
      <c r="BY148" s="345">
        <f>IF(BY147=0,0,IF(BY147&gt;Balances!BW66,Balances!BW66,BY147))</f>
        <v>0</v>
      </c>
      <c r="BZ148" s="345">
        <f>IF(BZ147=0,0,IF(BZ147&gt;Balances!BX66,Balances!BX66,BZ147))</f>
        <v>0</v>
      </c>
      <c r="CA148" s="345">
        <f>IF(CA147=0,0,IF(CA147&gt;Balances!BY66,Balances!BY66,CA147))</f>
        <v>0</v>
      </c>
      <c r="CB148" s="345">
        <f>IF(CB147=0,0,IF(CB147&gt;Balances!BZ66,Balances!BZ66,CB147))</f>
        <v>0</v>
      </c>
      <c r="CC148" s="345">
        <f>IF(CC147=0,0,IF(CC147&gt;Balances!CA66,Balances!CA66,CC147))</f>
        <v>0</v>
      </c>
      <c r="CD148" s="566">
        <f>IF(CD147=0,0,IF(CD147&gt;Balances!CB66,Balances!CB66,CD147))</f>
        <v>0</v>
      </c>
      <c r="CE148" s="345">
        <f>IF(CE147=0,0,IF(CE147&gt;Balances!CC66,Balances!CC66,CE147))</f>
        <v>0</v>
      </c>
      <c r="CF148" s="345">
        <f>IF(CF147=0,0,IF(CF147&gt;Balances!CD66,Balances!CD66,CF147))</f>
        <v>0</v>
      </c>
      <c r="CG148" s="345">
        <f>IF(CG147=0,0,IF(CG147&gt;Balances!CE66,Balances!CE66,CG147))</f>
        <v>0</v>
      </c>
      <c r="CH148" s="345">
        <f>IF(CH147=0,0,IF(CH147&gt;Balances!CF66,Balances!CF66,CH147))</f>
        <v>0</v>
      </c>
      <c r="CI148" s="345">
        <f>IF(CI147=0,0,IF(CI147&gt;Balances!CG66,Balances!CG66,CI147))</f>
        <v>0</v>
      </c>
      <c r="CJ148" s="345">
        <f>IF(CJ147=0,0,IF(CJ147&gt;Balances!CH66,Balances!CH66,CJ147))</f>
        <v>0</v>
      </c>
      <c r="CK148" s="345">
        <f>IF(CK147=0,0,IF(CK147&gt;Balances!CI66,Balances!CI66,CK147))</f>
        <v>0</v>
      </c>
      <c r="CL148" s="345">
        <f>IF(CL147=0,0,IF(CL147&gt;Balances!CJ66,Balances!CJ66,CL147))</f>
        <v>0</v>
      </c>
      <c r="CM148" s="345">
        <f>IF(CM147=0,0,IF(CM147&gt;Balances!CK66,Balances!CK66,CM147))</f>
        <v>0</v>
      </c>
      <c r="CN148" s="345">
        <f>IF(CN147=0,0,IF(CN147&gt;Balances!CL66,Balances!CL66,CN147))</f>
        <v>0</v>
      </c>
      <c r="CO148" s="345">
        <f>IF(CO147=0,0,IF(CO147&gt;Balances!CM66,Balances!CM66,CO147))</f>
        <v>0</v>
      </c>
      <c r="CP148" s="566">
        <f>IF(CP147=0,0,IF(CP147&gt;Balances!CN66,Balances!CN66,CP147))</f>
        <v>0</v>
      </c>
      <c r="CQ148" s="345">
        <f>IF(CQ147=0,0,IF(CQ147&gt;Balances!CO66,Balances!CO66,CQ147))</f>
        <v>0</v>
      </c>
      <c r="CR148" s="345">
        <f>IF(CR147=0,0,IF(CR147&gt;Balances!CP66,Balances!CP66,CR147))</f>
        <v>0</v>
      </c>
      <c r="CS148" s="345">
        <f>IF(CS147=0,0,IF(CS147&gt;Balances!CQ66,Balances!CQ66,CS147))</f>
        <v>0</v>
      </c>
      <c r="CT148" s="345">
        <f>IF(CT147=0,0,IF(CT147&gt;Balances!CR66,Balances!CR66,CT147))</f>
        <v>0</v>
      </c>
      <c r="CU148" s="345">
        <f>IF(CU147=0,0,IF(CU147&gt;Balances!CS66,Balances!CS66,CU147))</f>
        <v>0</v>
      </c>
      <c r="CV148" s="345">
        <f>IF(CV147=0,0,IF(CV147&gt;Balances!CT66,Balances!CT66,CV147))</f>
        <v>0</v>
      </c>
      <c r="CW148" s="345">
        <f>IF(CW147=0,0,IF(CW147&gt;Balances!CU66,Balances!CU66,CW147))</f>
        <v>0</v>
      </c>
      <c r="CX148" s="345">
        <f>IF(CX147=0,0,IF(CX147&gt;Balances!CV66,Balances!CV66,CX147))</f>
        <v>0</v>
      </c>
      <c r="CY148" s="345">
        <f>IF(CY147=0,0,IF(CY147&gt;Balances!CW66,Balances!CW66,CY147))</f>
        <v>0</v>
      </c>
      <c r="CZ148" s="345">
        <f>IF(CZ147=0,0,IF(CZ147&gt;Balances!CX66,Balances!CX66,CZ147))</f>
        <v>0</v>
      </c>
      <c r="DA148" s="345">
        <f>IF(DA147=0,0,IF(DA147&gt;Balances!CY66,Balances!CY66,DA147))</f>
        <v>0</v>
      </c>
      <c r="DB148" s="566">
        <f>IF(DB147=0,0,IF(DB147&gt;Balances!CZ66,Balances!CZ66,DB147))</f>
        <v>0</v>
      </c>
      <c r="DC148" s="345">
        <f>IF(DC147=0,0,IF(DC147&gt;Balances!DA66,Balances!DA66,DC147))</f>
        <v>0</v>
      </c>
      <c r="DD148" s="345">
        <f>IF(DD147=0,0,IF(DD147&gt;Balances!DB66,Balances!DB66,DD147))</f>
        <v>0</v>
      </c>
      <c r="DE148" s="345">
        <f>IF(DE147=0,0,IF(DE147&gt;Balances!DC66,Balances!DC66,DE147))</f>
        <v>0</v>
      </c>
      <c r="DF148" s="345">
        <f>IF(DF147=0,0,IF(DF147&gt;Balances!DD66,Balances!DD66,DF147))</f>
        <v>0</v>
      </c>
      <c r="DG148" s="345">
        <f>IF(DG147=0,0,IF(DG147&gt;Balances!DE66,Balances!DE66,DG147))</f>
        <v>0</v>
      </c>
      <c r="DH148" s="345">
        <f>IF(DH147=0,0,IF(DH147&gt;Balances!DF66,Balances!DF66,DH147))</f>
        <v>0</v>
      </c>
      <c r="DI148" s="345">
        <f>IF(DI147=0,0,IF(DI147&gt;Balances!DG66,Balances!DG66,DI147))</f>
        <v>0</v>
      </c>
      <c r="DJ148" s="345">
        <f>IF(DJ147=0,0,IF(DJ147&gt;Balances!DH66,Balances!DH66,DJ147))</f>
        <v>0</v>
      </c>
      <c r="DK148" s="345">
        <f>IF(DK147=0,0,IF(DK147&gt;Balances!DI66,Balances!DI66,DK147))</f>
        <v>0</v>
      </c>
      <c r="DL148" s="345">
        <f>IF(DL147=0,0,IF(DL147&gt;Balances!DJ66,Balances!DJ66,DL147))</f>
        <v>0</v>
      </c>
      <c r="DM148" s="345">
        <f>IF(DM147=0,0,IF(DM147&gt;Balances!DK66,Balances!DK66,DM147))</f>
        <v>0</v>
      </c>
      <c r="DN148" s="345">
        <f>IF(DN147=0,0,IF(DN147&gt;Balances!DL66,Balances!DL66,DN147))</f>
        <v>0</v>
      </c>
      <c r="DO148" s="345"/>
      <c r="DP148" s="340">
        <f>SUM(J148:DJ148)</f>
        <v>0</v>
      </c>
    </row>
    <row r="149" spans="3:120" s="376" customFormat="1" hidden="1" outlineLevel="1" x14ac:dyDescent="0.3">
      <c r="F149" s="506" t="s">
        <v>362</v>
      </c>
      <c r="G149" s="341"/>
      <c r="H149" s="341"/>
      <c r="I149" s="341"/>
      <c r="J149" s="505"/>
      <c r="K149" s="505">
        <f t="shared" ref="K149" si="355">K147-K148</f>
        <v>0</v>
      </c>
      <c r="L149" s="505">
        <f t="shared" ref="L149:BW149" si="356">L147-L148</f>
        <v>0</v>
      </c>
      <c r="M149" s="505">
        <f t="shared" si="356"/>
        <v>0</v>
      </c>
      <c r="N149" s="505">
        <f t="shared" si="356"/>
        <v>0</v>
      </c>
      <c r="O149" s="505">
        <f t="shared" si="356"/>
        <v>0</v>
      </c>
      <c r="P149" s="505">
        <f t="shared" si="356"/>
        <v>0</v>
      </c>
      <c r="Q149" s="505">
        <f t="shared" si="356"/>
        <v>0</v>
      </c>
      <c r="R149" s="505">
        <f t="shared" si="356"/>
        <v>0</v>
      </c>
      <c r="S149" s="505">
        <f t="shared" si="356"/>
        <v>0</v>
      </c>
      <c r="T149" s="505">
        <f t="shared" si="356"/>
        <v>0</v>
      </c>
      <c r="U149" s="505">
        <f t="shared" si="356"/>
        <v>0</v>
      </c>
      <c r="V149" s="570">
        <f t="shared" si="356"/>
        <v>0</v>
      </c>
      <c r="W149" s="505">
        <f t="shared" si="356"/>
        <v>0</v>
      </c>
      <c r="X149" s="505">
        <f t="shared" si="356"/>
        <v>0</v>
      </c>
      <c r="Y149" s="505">
        <f t="shared" si="356"/>
        <v>0</v>
      </c>
      <c r="Z149" s="505">
        <f t="shared" si="356"/>
        <v>0</v>
      </c>
      <c r="AA149" s="505">
        <f t="shared" si="356"/>
        <v>0</v>
      </c>
      <c r="AB149" s="505">
        <f t="shared" si="356"/>
        <v>0</v>
      </c>
      <c r="AC149" s="505">
        <f t="shared" si="356"/>
        <v>0</v>
      </c>
      <c r="AD149" s="505">
        <f t="shared" si="356"/>
        <v>0</v>
      </c>
      <c r="AE149" s="505">
        <f t="shared" si="356"/>
        <v>0</v>
      </c>
      <c r="AF149" s="505">
        <f t="shared" si="356"/>
        <v>0</v>
      </c>
      <c r="AG149" s="505">
        <f t="shared" si="356"/>
        <v>0</v>
      </c>
      <c r="AH149" s="570">
        <f t="shared" si="356"/>
        <v>0</v>
      </c>
      <c r="AI149" s="505">
        <f t="shared" si="356"/>
        <v>0</v>
      </c>
      <c r="AJ149" s="505">
        <f t="shared" si="356"/>
        <v>0</v>
      </c>
      <c r="AK149" s="505">
        <f t="shared" si="356"/>
        <v>0</v>
      </c>
      <c r="AL149" s="505">
        <f t="shared" si="356"/>
        <v>0</v>
      </c>
      <c r="AM149" s="505">
        <f t="shared" si="356"/>
        <v>0</v>
      </c>
      <c r="AN149" s="505">
        <f t="shared" si="356"/>
        <v>0</v>
      </c>
      <c r="AO149" s="505">
        <f t="shared" si="356"/>
        <v>0</v>
      </c>
      <c r="AP149" s="505">
        <f t="shared" si="356"/>
        <v>0</v>
      </c>
      <c r="AQ149" s="505">
        <f t="shared" si="356"/>
        <v>0</v>
      </c>
      <c r="AR149" s="505">
        <f t="shared" si="356"/>
        <v>0</v>
      </c>
      <c r="AS149" s="505">
        <f t="shared" si="356"/>
        <v>0</v>
      </c>
      <c r="AT149" s="570">
        <f t="shared" si="356"/>
        <v>0</v>
      </c>
      <c r="AU149" s="505">
        <f t="shared" si="356"/>
        <v>0</v>
      </c>
      <c r="AV149" s="505">
        <f t="shared" si="356"/>
        <v>0</v>
      </c>
      <c r="AW149" s="505">
        <f t="shared" si="356"/>
        <v>0</v>
      </c>
      <c r="AX149" s="505">
        <f t="shared" si="356"/>
        <v>0</v>
      </c>
      <c r="AY149" s="505">
        <f t="shared" si="356"/>
        <v>0</v>
      </c>
      <c r="AZ149" s="505">
        <f t="shared" si="356"/>
        <v>0</v>
      </c>
      <c r="BA149" s="505">
        <f t="shared" si="356"/>
        <v>0</v>
      </c>
      <c r="BB149" s="505">
        <f t="shared" si="356"/>
        <v>0</v>
      </c>
      <c r="BC149" s="505">
        <f t="shared" si="356"/>
        <v>0</v>
      </c>
      <c r="BD149" s="505">
        <f t="shared" si="356"/>
        <v>0</v>
      </c>
      <c r="BE149" s="505">
        <f t="shared" si="356"/>
        <v>0</v>
      </c>
      <c r="BF149" s="570">
        <f t="shared" si="356"/>
        <v>0</v>
      </c>
      <c r="BG149" s="505">
        <f t="shared" si="356"/>
        <v>0</v>
      </c>
      <c r="BH149" s="505">
        <f t="shared" si="356"/>
        <v>0</v>
      </c>
      <c r="BI149" s="505">
        <f t="shared" si="356"/>
        <v>0</v>
      </c>
      <c r="BJ149" s="505">
        <f t="shared" si="356"/>
        <v>0</v>
      </c>
      <c r="BK149" s="505">
        <f t="shared" si="356"/>
        <v>0</v>
      </c>
      <c r="BL149" s="505">
        <f t="shared" si="356"/>
        <v>0</v>
      </c>
      <c r="BM149" s="505">
        <f t="shared" si="356"/>
        <v>0</v>
      </c>
      <c r="BN149" s="505">
        <f t="shared" si="356"/>
        <v>0</v>
      </c>
      <c r="BO149" s="505">
        <f t="shared" si="356"/>
        <v>0</v>
      </c>
      <c r="BP149" s="505">
        <f t="shared" si="356"/>
        <v>0</v>
      </c>
      <c r="BQ149" s="505">
        <f t="shared" si="356"/>
        <v>0</v>
      </c>
      <c r="BR149" s="570">
        <f t="shared" si="356"/>
        <v>0</v>
      </c>
      <c r="BS149" s="505">
        <f t="shared" si="356"/>
        <v>0</v>
      </c>
      <c r="BT149" s="505">
        <f t="shared" si="356"/>
        <v>0</v>
      </c>
      <c r="BU149" s="505">
        <f t="shared" si="356"/>
        <v>0</v>
      </c>
      <c r="BV149" s="505">
        <f t="shared" si="356"/>
        <v>0</v>
      </c>
      <c r="BW149" s="505">
        <f t="shared" si="356"/>
        <v>0</v>
      </c>
      <c r="BX149" s="505">
        <f t="shared" ref="BX149:DN149" si="357">BX147-BX148</f>
        <v>0</v>
      </c>
      <c r="BY149" s="505">
        <f t="shared" si="357"/>
        <v>0</v>
      </c>
      <c r="BZ149" s="505">
        <f t="shared" si="357"/>
        <v>0</v>
      </c>
      <c r="CA149" s="505">
        <f t="shared" si="357"/>
        <v>0</v>
      </c>
      <c r="CB149" s="505">
        <f t="shared" si="357"/>
        <v>0</v>
      </c>
      <c r="CC149" s="505">
        <f t="shared" si="357"/>
        <v>0</v>
      </c>
      <c r="CD149" s="570">
        <f t="shared" si="357"/>
        <v>0</v>
      </c>
      <c r="CE149" s="505">
        <f t="shared" si="357"/>
        <v>0</v>
      </c>
      <c r="CF149" s="505">
        <f t="shared" si="357"/>
        <v>0</v>
      </c>
      <c r="CG149" s="505">
        <f t="shared" si="357"/>
        <v>0</v>
      </c>
      <c r="CH149" s="505">
        <f t="shared" si="357"/>
        <v>0</v>
      </c>
      <c r="CI149" s="505">
        <f t="shared" si="357"/>
        <v>0</v>
      </c>
      <c r="CJ149" s="505">
        <f t="shared" si="357"/>
        <v>0</v>
      </c>
      <c r="CK149" s="505">
        <f t="shared" si="357"/>
        <v>0</v>
      </c>
      <c r="CL149" s="505">
        <f t="shared" si="357"/>
        <v>0</v>
      </c>
      <c r="CM149" s="505">
        <f t="shared" si="357"/>
        <v>0</v>
      </c>
      <c r="CN149" s="505">
        <f t="shared" si="357"/>
        <v>0</v>
      </c>
      <c r="CO149" s="505">
        <f t="shared" si="357"/>
        <v>0</v>
      </c>
      <c r="CP149" s="570">
        <f t="shared" si="357"/>
        <v>0</v>
      </c>
      <c r="CQ149" s="505">
        <f t="shared" si="357"/>
        <v>0</v>
      </c>
      <c r="CR149" s="505">
        <f t="shared" si="357"/>
        <v>0</v>
      </c>
      <c r="CS149" s="505">
        <f t="shared" si="357"/>
        <v>0</v>
      </c>
      <c r="CT149" s="505">
        <f t="shared" si="357"/>
        <v>0</v>
      </c>
      <c r="CU149" s="505">
        <f t="shared" si="357"/>
        <v>0</v>
      </c>
      <c r="CV149" s="505">
        <f t="shared" si="357"/>
        <v>0</v>
      </c>
      <c r="CW149" s="505">
        <f t="shared" si="357"/>
        <v>0</v>
      </c>
      <c r="CX149" s="505">
        <f t="shared" si="357"/>
        <v>0</v>
      </c>
      <c r="CY149" s="505">
        <f t="shared" si="357"/>
        <v>0</v>
      </c>
      <c r="CZ149" s="505">
        <f t="shared" si="357"/>
        <v>0</v>
      </c>
      <c r="DA149" s="505">
        <f t="shared" si="357"/>
        <v>0</v>
      </c>
      <c r="DB149" s="570">
        <f t="shared" si="357"/>
        <v>0</v>
      </c>
      <c r="DC149" s="505">
        <f t="shared" si="357"/>
        <v>0</v>
      </c>
      <c r="DD149" s="505">
        <f t="shared" si="357"/>
        <v>0</v>
      </c>
      <c r="DE149" s="505">
        <f t="shared" si="357"/>
        <v>0</v>
      </c>
      <c r="DF149" s="505">
        <f t="shared" si="357"/>
        <v>0</v>
      </c>
      <c r="DG149" s="505">
        <f t="shared" si="357"/>
        <v>0</v>
      </c>
      <c r="DH149" s="505">
        <f t="shared" si="357"/>
        <v>0</v>
      </c>
      <c r="DI149" s="505">
        <f t="shared" si="357"/>
        <v>0</v>
      </c>
      <c r="DJ149" s="505">
        <f t="shared" si="357"/>
        <v>0</v>
      </c>
      <c r="DK149" s="505">
        <f t="shared" si="357"/>
        <v>0</v>
      </c>
      <c r="DL149" s="505">
        <f t="shared" si="357"/>
        <v>0</v>
      </c>
      <c r="DM149" s="505">
        <f t="shared" si="357"/>
        <v>0</v>
      </c>
      <c r="DN149" s="505">
        <f t="shared" si="357"/>
        <v>0</v>
      </c>
      <c r="DO149" s="348"/>
      <c r="DP149" s="340">
        <f>SUM(J149:CL149)</f>
        <v>0</v>
      </c>
    </row>
    <row r="150" spans="3:120" collapsed="1" x14ac:dyDescent="0.3">
      <c r="G150" s="341"/>
      <c r="H150" s="341"/>
      <c r="I150" s="341"/>
      <c r="J150" s="345"/>
      <c r="K150" s="345"/>
      <c r="L150" s="345"/>
      <c r="M150" s="345"/>
      <c r="N150" s="345"/>
      <c r="O150" s="345"/>
      <c r="P150" s="345"/>
      <c r="Q150" s="345"/>
      <c r="R150" s="345"/>
      <c r="S150" s="345"/>
      <c r="T150" s="345"/>
      <c r="U150" s="345"/>
      <c r="V150" s="566"/>
      <c r="W150" s="345"/>
      <c r="X150" s="345"/>
      <c r="Y150" s="345"/>
      <c r="Z150" s="345"/>
      <c r="AA150" s="345"/>
      <c r="AB150" s="345"/>
      <c r="AC150" s="345"/>
      <c r="AD150" s="345"/>
      <c r="AE150" s="345"/>
      <c r="AF150" s="345"/>
      <c r="AG150" s="345"/>
      <c r="AH150" s="566"/>
      <c r="AI150" s="345"/>
      <c r="AJ150" s="345"/>
      <c r="AK150" s="345"/>
      <c r="AL150" s="345"/>
      <c r="AM150" s="345"/>
      <c r="AN150" s="345"/>
      <c r="AO150" s="345"/>
      <c r="AP150" s="345"/>
      <c r="AQ150" s="345"/>
      <c r="AR150" s="345"/>
      <c r="AS150" s="345"/>
      <c r="AT150" s="566"/>
      <c r="AU150" s="345"/>
      <c r="AV150" s="345"/>
      <c r="AW150" s="345"/>
      <c r="AX150" s="345"/>
      <c r="AY150" s="345"/>
      <c r="AZ150" s="345"/>
      <c r="BA150" s="345"/>
      <c r="BB150" s="345"/>
      <c r="BC150" s="345"/>
      <c r="BD150" s="345"/>
      <c r="BE150" s="345"/>
      <c r="BF150" s="566"/>
      <c r="BG150" s="345"/>
      <c r="BH150" s="345"/>
      <c r="BI150" s="345"/>
      <c r="BJ150" s="345"/>
      <c r="BK150" s="345"/>
      <c r="BL150" s="345"/>
      <c r="BM150" s="345"/>
      <c r="BN150" s="345"/>
      <c r="BO150" s="345"/>
      <c r="BP150" s="345"/>
      <c r="BQ150" s="345"/>
      <c r="BR150" s="566"/>
      <c r="BS150" s="345"/>
      <c r="BT150" s="345"/>
      <c r="BU150" s="345"/>
      <c r="BV150" s="345"/>
      <c r="BW150" s="345"/>
      <c r="BX150" s="345"/>
      <c r="BY150" s="345"/>
      <c r="BZ150" s="345"/>
      <c r="CA150" s="345"/>
      <c r="CB150" s="345"/>
      <c r="CC150" s="345"/>
      <c r="CD150" s="566"/>
      <c r="CE150" s="345"/>
      <c r="CF150" s="345"/>
      <c r="CG150" s="345"/>
      <c r="CH150" s="345"/>
      <c r="CI150" s="345"/>
      <c r="CJ150" s="345"/>
      <c r="CK150" s="345"/>
      <c r="CL150" s="345"/>
      <c r="CM150" s="345"/>
      <c r="CN150" s="345"/>
      <c r="CO150" s="345"/>
      <c r="CP150" s="566"/>
      <c r="CQ150" s="345"/>
      <c r="CR150" s="345"/>
      <c r="CS150" s="345"/>
      <c r="CT150" s="345"/>
      <c r="CU150" s="345"/>
      <c r="CV150" s="345"/>
      <c r="CW150" s="345"/>
      <c r="CX150" s="345"/>
      <c r="CY150" s="345"/>
      <c r="CZ150" s="345"/>
      <c r="DA150" s="345"/>
      <c r="DB150" s="566"/>
      <c r="DC150" s="345"/>
      <c r="DD150" s="345"/>
      <c r="DE150" s="345"/>
      <c r="DF150" s="345"/>
      <c r="DG150" s="345"/>
      <c r="DH150" s="345"/>
      <c r="DI150" s="345"/>
      <c r="DJ150" s="345"/>
      <c r="DK150" s="345"/>
      <c r="DL150" s="345"/>
      <c r="DM150" s="345"/>
      <c r="DN150" s="345"/>
      <c r="DO150" s="345"/>
      <c r="DP150" s="340"/>
    </row>
    <row r="151" spans="3:120" x14ac:dyDescent="0.3">
      <c r="D151" s="323" t="s">
        <v>352</v>
      </c>
      <c r="J151" s="345"/>
      <c r="K151" s="345"/>
      <c r="L151" s="345"/>
      <c r="M151" s="345"/>
      <c r="N151" s="345"/>
      <c r="O151" s="345"/>
      <c r="P151" s="345"/>
      <c r="Q151" s="345"/>
      <c r="R151" s="345"/>
      <c r="S151" s="345"/>
      <c r="T151" s="345"/>
      <c r="U151" s="345"/>
      <c r="V151" s="566"/>
      <c r="W151" s="345"/>
      <c r="X151" s="345"/>
      <c r="Y151" s="345"/>
      <c r="Z151" s="345"/>
      <c r="AA151" s="345"/>
      <c r="AB151" s="345"/>
      <c r="AC151" s="345"/>
      <c r="AD151" s="345"/>
      <c r="AE151" s="345"/>
      <c r="AF151" s="345"/>
      <c r="AG151" s="345"/>
      <c r="AH151" s="566"/>
      <c r="AI151" s="345"/>
      <c r="AJ151" s="345"/>
      <c r="AK151" s="345"/>
      <c r="AL151" s="345"/>
      <c r="AM151" s="345"/>
      <c r="AN151" s="345"/>
      <c r="AO151" s="345"/>
      <c r="AP151" s="345"/>
      <c r="AQ151" s="345"/>
      <c r="AR151" s="345"/>
      <c r="AS151" s="345"/>
      <c r="AT151" s="566"/>
      <c r="AU151" s="345"/>
      <c r="AV151" s="345"/>
      <c r="AW151" s="345"/>
      <c r="AX151" s="345"/>
      <c r="AY151" s="345"/>
      <c r="AZ151" s="345"/>
      <c r="BA151" s="345"/>
      <c r="BB151" s="345"/>
      <c r="BC151" s="345"/>
      <c r="BD151" s="345"/>
      <c r="BE151" s="345"/>
      <c r="BF151" s="566"/>
      <c r="BG151" s="345"/>
      <c r="BH151" s="345"/>
      <c r="BI151" s="345"/>
      <c r="BJ151" s="345"/>
      <c r="BK151" s="345"/>
      <c r="BL151" s="345"/>
      <c r="BM151" s="345"/>
      <c r="BN151" s="345"/>
      <c r="BO151" s="345"/>
      <c r="BP151" s="345"/>
      <c r="BQ151" s="345"/>
      <c r="BR151" s="566"/>
      <c r="BS151" s="345"/>
      <c r="BT151" s="345"/>
      <c r="BU151" s="345"/>
      <c r="BV151" s="345"/>
      <c r="BW151" s="345"/>
      <c r="BX151" s="345"/>
      <c r="BY151" s="345"/>
      <c r="BZ151" s="345"/>
      <c r="CA151" s="345"/>
      <c r="CB151" s="345"/>
      <c r="CC151" s="345"/>
      <c r="CD151" s="566"/>
      <c r="CE151" s="345"/>
      <c r="CF151" s="345"/>
      <c r="CG151" s="345"/>
      <c r="CH151" s="345"/>
      <c r="CI151" s="345"/>
      <c r="CJ151" s="345"/>
      <c r="CK151" s="345"/>
      <c r="CL151" s="345"/>
      <c r="CM151" s="345"/>
      <c r="CN151" s="345"/>
      <c r="CO151" s="345"/>
      <c r="CP151" s="566"/>
      <c r="CQ151" s="345"/>
      <c r="CR151" s="345"/>
      <c r="CS151" s="345"/>
      <c r="CT151" s="345"/>
      <c r="CU151" s="345"/>
      <c r="CV151" s="345"/>
      <c r="CW151" s="345"/>
      <c r="CX151" s="345"/>
      <c r="CY151" s="345"/>
      <c r="CZ151" s="345"/>
      <c r="DA151" s="345"/>
      <c r="DB151" s="566"/>
      <c r="DC151" s="345"/>
      <c r="DD151" s="345"/>
      <c r="DE151" s="345"/>
      <c r="DF151" s="345"/>
      <c r="DG151" s="345"/>
      <c r="DH151" s="345"/>
      <c r="DI151" s="345"/>
      <c r="DJ151" s="345"/>
      <c r="DK151" s="345"/>
      <c r="DL151" s="345"/>
      <c r="DM151" s="345"/>
      <c r="DN151" s="345"/>
      <c r="DO151" s="345"/>
      <c r="DP151" s="340"/>
    </row>
    <row r="152" spans="3:120" x14ac:dyDescent="0.3">
      <c r="E152" s="323" t="s">
        <v>360</v>
      </c>
      <c r="G152" s="341">
        <f>'Members Capital'!L4</f>
        <v>0.1</v>
      </c>
      <c r="H152" s="341"/>
      <c r="I152" s="341"/>
      <c r="J152" s="345"/>
      <c r="K152" s="345">
        <f t="shared" ref="K152" si="358">$G$152*K149</f>
        <v>0</v>
      </c>
      <c r="L152" s="345">
        <f t="shared" ref="L152:BW152" si="359">$G$152*L149</f>
        <v>0</v>
      </c>
      <c r="M152" s="345">
        <f t="shared" si="359"/>
        <v>0</v>
      </c>
      <c r="N152" s="345">
        <f t="shared" si="359"/>
        <v>0</v>
      </c>
      <c r="O152" s="345">
        <f t="shared" si="359"/>
        <v>0</v>
      </c>
      <c r="P152" s="345">
        <f t="shared" si="359"/>
        <v>0</v>
      </c>
      <c r="Q152" s="345">
        <f t="shared" si="359"/>
        <v>0</v>
      </c>
      <c r="R152" s="345">
        <f t="shared" si="359"/>
        <v>0</v>
      </c>
      <c r="S152" s="345">
        <f t="shared" si="359"/>
        <v>0</v>
      </c>
      <c r="T152" s="345">
        <f t="shared" si="359"/>
        <v>0</v>
      </c>
      <c r="U152" s="345">
        <f t="shared" si="359"/>
        <v>0</v>
      </c>
      <c r="V152" s="566">
        <f t="shared" si="359"/>
        <v>0</v>
      </c>
      <c r="W152" s="345">
        <f t="shared" si="359"/>
        <v>0</v>
      </c>
      <c r="X152" s="345">
        <f t="shared" si="359"/>
        <v>0</v>
      </c>
      <c r="Y152" s="345">
        <f t="shared" si="359"/>
        <v>0</v>
      </c>
      <c r="Z152" s="345">
        <f t="shared" si="359"/>
        <v>0</v>
      </c>
      <c r="AA152" s="345">
        <f t="shared" si="359"/>
        <v>0</v>
      </c>
      <c r="AB152" s="345">
        <f t="shared" si="359"/>
        <v>0</v>
      </c>
      <c r="AC152" s="345">
        <f t="shared" si="359"/>
        <v>0</v>
      </c>
      <c r="AD152" s="345">
        <f t="shared" si="359"/>
        <v>0</v>
      </c>
      <c r="AE152" s="345">
        <f t="shared" si="359"/>
        <v>0</v>
      </c>
      <c r="AF152" s="345">
        <f t="shared" si="359"/>
        <v>0</v>
      </c>
      <c r="AG152" s="345">
        <f t="shared" si="359"/>
        <v>0</v>
      </c>
      <c r="AH152" s="566">
        <f t="shared" si="359"/>
        <v>0</v>
      </c>
      <c r="AI152" s="345">
        <f t="shared" si="359"/>
        <v>0</v>
      </c>
      <c r="AJ152" s="345">
        <f t="shared" si="359"/>
        <v>0</v>
      </c>
      <c r="AK152" s="345">
        <f t="shared" si="359"/>
        <v>0</v>
      </c>
      <c r="AL152" s="345">
        <f t="shared" si="359"/>
        <v>0</v>
      </c>
      <c r="AM152" s="345">
        <f t="shared" si="359"/>
        <v>0</v>
      </c>
      <c r="AN152" s="345">
        <f t="shared" si="359"/>
        <v>0</v>
      </c>
      <c r="AO152" s="345">
        <f t="shared" si="359"/>
        <v>0</v>
      </c>
      <c r="AP152" s="345">
        <f t="shared" si="359"/>
        <v>0</v>
      </c>
      <c r="AQ152" s="345">
        <f t="shared" si="359"/>
        <v>0</v>
      </c>
      <c r="AR152" s="345">
        <f t="shared" si="359"/>
        <v>0</v>
      </c>
      <c r="AS152" s="345">
        <f t="shared" si="359"/>
        <v>0</v>
      </c>
      <c r="AT152" s="566">
        <f t="shared" si="359"/>
        <v>0</v>
      </c>
      <c r="AU152" s="345">
        <f t="shared" si="359"/>
        <v>0</v>
      </c>
      <c r="AV152" s="345">
        <f t="shared" si="359"/>
        <v>0</v>
      </c>
      <c r="AW152" s="345">
        <f t="shared" si="359"/>
        <v>0</v>
      </c>
      <c r="AX152" s="345">
        <f t="shared" si="359"/>
        <v>0</v>
      </c>
      <c r="AY152" s="345">
        <f t="shared" si="359"/>
        <v>0</v>
      </c>
      <c r="AZ152" s="345">
        <f t="shared" si="359"/>
        <v>0</v>
      </c>
      <c r="BA152" s="345">
        <f t="shared" si="359"/>
        <v>0</v>
      </c>
      <c r="BB152" s="345">
        <f t="shared" si="359"/>
        <v>0</v>
      </c>
      <c r="BC152" s="345">
        <f t="shared" si="359"/>
        <v>0</v>
      </c>
      <c r="BD152" s="345">
        <f t="shared" si="359"/>
        <v>0</v>
      </c>
      <c r="BE152" s="345">
        <f t="shared" si="359"/>
        <v>0</v>
      </c>
      <c r="BF152" s="566">
        <f t="shared" si="359"/>
        <v>0</v>
      </c>
      <c r="BG152" s="345">
        <f t="shared" si="359"/>
        <v>0</v>
      </c>
      <c r="BH152" s="345">
        <f t="shared" si="359"/>
        <v>0</v>
      </c>
      <c r="BI152" s="345">
        <f t="shared" si="359"/>
        <v>0</v>
      </c>
      <c r="BJ152" s="345">
        <f t="shared" si="359"/>
        <v>0</v>
      </c>
      <c r="BK152" s="345">
        <f t="shared" si="359"/>
        <v>0</v>
      </c>
      <c r="BL152" s="345">
        <f t="shared" si="359"/>
        <v>0</v>
      </c>
      <c r="BM152" s="345">
        <f t="shared" si="359"/>
        <v>0</v>
      </c>
      <c r="BN152" s="345">
        <f t="shared" si="359"/>
        <v>0</v>
      </c>
      <c r="BO152" s="345">
        <f t="shared" si="359"/>
        <v>0</v>
      </c>
      <c r="BP152" s="345">
        <f t="shared" si="359"/>
        <v>0</v>
      </c>
      <c r="BQ152" s="345">
        <f t="shared" si="359"/>
        <v>0</v>
      </c>
      <c r="BR152" s="566">
        <f t="shared" si="359"/>
        <v>0</v>
      </c>
      <c r="BS152" s="345">
        <f t="shared" si="359"/>
        <v>0</v>
      </c>
      <c r="BT152" s="345">
        <f t="shared" si="359"/>
        <v>0</v>
      </c>
      <c r="BU152" s="345">
        <f t="shared" si="359"/>
        <v>0</v>
      </c>
      <c r="BV152" s="345">
        <f t="shared" si="359"/>
        <v>0</v>
      </c>
      <c r="BW152" s="345">
        <f t="shared" si="359"/>
        <v>0</v>
      </c>
      <c r="BX152" s="345">
        <f t="shared" ref="BX152:DN152" si="360">$G$152*BX149</f>
        <v>0</v>
      </c>
      <c r="BY152" s="345">
        <f t="shared" si="360"/>
        <v>0</v>
      </c>
      <c r="BZ152" s="345">
        <f t="shared" si="360"/>
        <v>0</v>
      </c>
      <c r="CA152" s="345">
        <f t="shared" si="360"/>
        <v>0</v>
      </c>
      <c r="CB152" s="345">
        <f t="shared" si="360"/>
        <v>0</v>
      </c>
      <c r="CC152" s="345">
        <f t="shared" si="360"/>
        <v>0</v>
      </c>
      <c r="CD152" s="566">
        <f t="shared" si="360"/>
        <v>0</v>
      </c>
      <c r="CE152" s="345">
        <f t="shared" si="360"/>
        <v>0</v>
      </c>
      <c r="CF152" s="345">
        <f t="shared" si="360"/>
        <v>0</v>
      </c>
      <c r="CG152" s="345">
        <f t="shared" si="360"/>
        <v>0</v>
      </c>
      <c r="CH152" s="345">
        <f t="shared" si="360"/>
        <v>0</v>
      </c>
      <c r="CI152" s="345">
        <f t="shared" si="360"/>
        <v>0</v>
      </c>
      <c r="CJ152" s="345">
        <f t="shared" si="360"/>
        <v>0</v>
      </c>
      <c r="CK152" s="345">
        <f t="shared" si="360"/>
        <v>0</v>
      </c>
      <c r="CL152" s="345">
        <f t="shared" si="360"/>
        <v>0</v>
      </c>
      <c r="CM152" s="345">
        <f t="shared" si="360"/>
        <v>0</v>
      </c>
      <c r="CN152" s="345">
        <f t="shared" si="360"/>
        <v>0</v>
      </c>
      <c r="CO152" s="345">
        <f t="shared" si="360"/>
        <v>0</v>
      </c>
      <c r="CP152" s="566">
        <f t="shared" si="360"/>
        <v>0</v>
      </c>
      <c r="CQ152" s="345">
        <f t="shared" si="360"/>
        <v>0</v>
      </c>
      <c r="CR152" s="345">
        <f t="shared" si="360"/>
        <v>0</v>
      </c>
      <c r="CS152" s="345">
        <f t="shared" si="360"/>
        <v>0</v>
      </c>
      <c r="CT152" s="345">
        <f t="shared" si="360"/>
        <v>0</v>
      </c>
      <c r="CU152" s="345">
        <f t="shared" si="360"/>
        <v>0</v>
      </c>
      <c r="CV152" s="345">
        <f t="shared" si="360"/>
        <v>0</v>
      </c>
      <c r="CW152" s="345">
        <f t="shared" si="360"/>
        <v>0</v>
      </c>
      <c r="CX152" s="345">
        <f t="shared" si="360"/>
        <v>0</v>
      </c>
      <c r="CY152" s="345">
        <f t="shared" si="360"/>
        <v>0</v>
      </c>
      <c r="CZ152" s="345">
        <f t="shared" si="360"/>
        <v>0</v>
      </c>
      <c r="DA152" s="345">
        <f t="shared" si="360"/>
        <v>0</v>
      </c>
      <c r="DB152" s="566">
        <f t="shared" si="360"/>
        <v>0</v>
      </c>
      <c r="DC152" s="345">
        <f t="shared" si="360"/>
        <v>0</v>
      </c>
      <c r="DD152" s="345">
        <f t="shared" si="360"/>
        <v>0</v>
      </c>
      <c r="DE152" s="345">
        <f t="shared" si="360"/>
        <v>0</v>
      </c>
      <c r="DF152" s="345">
        <f t="shared" si="360"/>
        <v>0</v>
      </c>
      <c r="DG152" s="345">
        <f t="shared" si="360"/>
        <v>0</v>
      </c>
      <c r="DH152" s="345">
        <f t="shared" si="360"/>
        <v>0</v>
      </c>
      <c r="DI152" s="345">
        <f t="shared" si="360"/>
        <v>0</v>
      </c>
      <c r="DJ152" s="345">
        <f t="shared" si="360"/>
        <v>0</v>
      </c>
      <c r="DK152" s="345">
        <f t="shared" si="360"/>
        <v>0</v>
      </c>
      <c r="DL152" s="345">
        <f t="shared" si="360"/>
        <v>0</v>
      </c>
      <c r="DM152" s="345">
        <f t="shared" si="360"/>
        <v>0</v>
      </c>
      <c r="DN152" s="345">
        <f t="shared" si="360"/>
        <v>0</v>
      </c>
      <c r="DO152" s="345"/>
      <c r="DP152" s="340">
        <f>SUM(J152:DJ152)</f>
        <v>0</v>
      </c>
    </row>
    <row r="153" spans="3:120" x14ac:dyDescent="0.3">
      <c r="E153" s="323" t="s">
        <v>359</v>
      </c>
      <c r="G153" s="341">
        <f>'Members Capital'!L14</f>
        <v>0.65</v>
      </c>
      <c r="H153" s="341"/>
      <c r="I153" s="341"/>
      <c r="J153" s="345"/>
      <c r="K153" s="345">
        <f t="shared" ref="K153" si="361">$G$153*K149</f>
        <v>0</v>
      </c>
      <c r="L153" s="345">
        <f t="shared" ref="L153:BW153" si="362">$G$153*L149</f>
        <v>0</v>
      </c>
      <c r="M153" s="345">
        <f t="shared" si="362"/>
        <v>0</v>
      </c>
      <c r="N153" s="345">
        <f t="shared" si="362"/>
        <v>0</v>
      </c>
      <c r="O153" s="345">
        <f t="shared" si="362"/>
        <v>0</v>
      </c>
      <c r="P153" s="345">
        <f t="shared" si="362"/>
        <v>0</v>
      </c>
      <c r="Q153" s="345">
        <f t="shared" si="362"/>
        <v>0</v>
      </c>
      <c r="R153" s="345">
        <f t="shared" si="362"/>
        <v>0</v>
      </c>
      <c r="S153" s="345">
        <f t="shared" si="362"/>
        <v>0</v>
      </c>
      <c r="T153" s="345">
        <f t="shared" si="362"/>
        <v>0</v>
      </c>
      <c r="U153" s="345">
        <f t="shared" si="362"/>
        <v>0</v>
      </c>
      <c r="V153" s="566">
        <f t="shared" si="362"/>
        <v>0</v>
      </c>
      <c r="W153" s="345">
        <f t="shared" si="362"/>
        <v>0</v>
      </c>
      <c r="X153" s="345">
        <f t="shared" si="362"/>
        <v>0</v>
      </c>
      <c r="Y153" s="345">
        <f t="shared" si="362"/>
        <v>0</v>
      </c>
      <c r="Z153" s="345">
        <f t="shared" si="362"/>
        <v>0</v>
      </c>
      <c r="AA153" s="345">
        <f t="shared" si="362"/>
        <v>0</v>
      </c>
      <c r="AB153" s="345">
        <f t="shared" si="362"/>
        <v>0</v>
      </c>
      <c r="AC153" s="345">
        <f t="shared" si="362"/>
        <v>0</v>
      </c>
      <c r="AD153" s="345">
        <f t="shared" si="362"/>
        <v>0</v>
      </c>
      <c r="AE153" s="345">
        <f t="shared" si="362"/>
        <v>0</v>
      </c>
      <c r="AF153" s="345">
        <f t="shared" si="362"/>
        <v>0</v>
      </c>
      <c r="AG153" s="345">
        <f t="shared" si="362"/>
        <v>0</v>
      </c>
      <c r="AH153" s="566">
        <f t="shared" si="362"/>
        <v>0</v>
      </c>
      <c r="AI153" s="345">
        <f t="shared" si="362"/>
        <v>0</v>
      </c>
      <c r="AJ153" s="345">
        <f t="shared" si="362"/>
        <v>0</v>
      </c>
      <c r="AK153" s="345">
        <f t="shared" si="362"/>
        <v>0</v>
      </c>
      <c r="AL153" s="345">
        <f t="shared" si="362"/>
        <v>0</v>
      </c>
      <c r="AM153" s="345">
        <f t="shared" si="362"/>
        <v>0</v>
      </c>
      <c r="AN153" s="345">
        <f t="shared" si="362"/>
        <v>0</v>
      </c>
      <c r="AO153" s="345">
        <f t="shared" si="362"/>
        <v>0</v>
      </c>
      <c r="AP153" s="345">
        <f t="shared" si="362"/>
        <v>0</v>
      </c>
      <c r="AQ153" s="345">
        <f t="shared" si="362"/>
        <v>0</v>
      </c>
      <c r="AR153" s="345">
        <f t="shared" si="362"/>
        <v>0</v>
      </c>
      <c r="AS153" s="345">
        <f t="shared" si="362"/>
        <v>0</v>
      </c>
      <c r="AT153" s="566">
        <f t="shared" si="362"/>
        <v>0</v>
      </c>
      <c r="AU153" s="345">
        <f t="shared" si="362"/>
        <v>0</v>
      </c>
      <c r="AV153" s="345">
        <f t="shared" si="362"/>
        <v>0</v>
      </c>
      <c r="AW153" s="345">
        <f t="shared" si="362"/>
        <v>0</v>
      </c>
      <c r="AX153" s="345">
        <f t="shared" si="362"/>
        <v>0</v>
      </c>
      <c r="AY153" s="345">
        <f t="shared" si="362"/>
        <v>0</v>
      </c>
      <c r="AZ153" s="345">
        <f t="shared" si="362"/>
        <v>0</v>
      </c>
      <c r="BA153" s="345">
        <f t="shared" si="362"/>
        <v>0</v>
      </c>
      <c r="BB153" s="345">
        <f t="shared" si="362"/>
        <v>0</v>
      </c>
      <c r="BC153" s="345">
        <f t="shared" si="362"/>
        <v>0</v>
      </c>
      <c r="BD153" s="345">
        <f t="shared" si="362"/>
        <v>0</v>
      </c>
      <c r="BE153" s="345">
        <f t="shared" si="362"/>
        <v>0</v>
      </c>
      <c r="BF153" s="566">
        <f t="shared" si="362"/>
        <v>0</v>
      </c>
      <c r="BG153" s="345">
        <f t="shared" si="362"/>
        <v>0</v>
      </c>
      <c r="BH153" s="345">
        <f t="shared" si="362"/>
        <v>0</v>
      </c>
      <c r="BI153" s="345">
        <f t="shared" si="362"/>
        <v>0</v>
      </c>
      <c r="BJ153" s="345">
        <f t="shared" si="362"/>
        <v>0</v>
      </c>
      <c r="BK153" s="345">
        <f t="shared" si="362"/>
        <v>0</v>
      </c>
      <c r="BL153" s="345">
        <f t="shared" si="362"/>
        <v>0</v>
      </c>
      <c r="BM153" s="345">
        <f t="shared" si="362"/>
        <v>0</v>
      </c>
      <c r="BN153" s="345">
        <f t="shared" si="362"/>
        <v>0</v>
      </c>
      <c r="BO153" s="345">
        <f t="shared" si="362"/>
        <v>0</v>
      </c>
      <c r="BP153" s="345">
        <f t="shared" si="362"/>
        <v>0</v>
      </c>
      <c r="BQ153" s="345">
        <f t="shared" si="362"/>
        <v>0</v>
      </c>
      <c r="BR153" s="566">
        <f t="shared" si="362"/>
        <v>0</v>
      </c>
      <c r="BS153" s="345">
        <f t="shared" si="362"/>
        <v>0</v>
      </c>
      <c r="BT153" s="345">
        <f t="shared" si="362"/>
        <v>0</v>
      </c>
      <c r="BU153" s="345">
        <f t="shared" si="362"/>
        <v>0</v>
      </c>
      <c r="BV153" s="345">
        <f t="shared" si="362"/>
        <v>0</v>
      </c>
      <c r="BW153" s="345">
        <f t="shared" si="362"/>
        <v>0</v>
      </c>
      <c r="BX153" s="345">
        <f t="shared" ref="BX153:DN153" si="363">$G$153*BX149</f>
        <v>0</v>
      </c>
      <c r="BY153" s="345">
        <f t="shared" si="363"/>
        <v>0</v>
      </c>
      <c r="BZ153" s="345">
        <f t="shared" si="363"/>
        <v>0</v>
      </c>
      <c r="CA153" s="345">
        <f t="shared" si="363"/>
        <v>0</v>
      </c>
      <c r="CB153" s="345">
        <f t="shared" si="363"/>
        <v>0</v>
      </c>
      <c r="CC153" s="345">
        <f t="shared" si="363"/>
        <v>0</v>
      </c>
      <c r="CD153" s="566">
        <f t="shared" si="363"/>
        <v>0</v>
      </c>
      <c r="CE153" s="345">
        <f t="shared" si="363"/>
        <v>0</v>
      </c>
      <c r="CF153" s="345">
        <f t="shared" si="363"/>
        <v>0</v>
      </c>
      <c r="CG153" s="345">
        <f t="shared" si="363"/>
        <v>0</v>
      </c>
      <c r="CH153" s="345">
        <f t="shared" si="363"/>
        <v>0</v>
      </c>
      <c r="CI153" s="345">
        <f t="shared" si="363"/>
        <v>0</v>
      </c>
      <c r="CJ153" s="345">
        <f t="shared" si="363"/>
        <v>0</v>
      </c>
      <c r="CK153" s="345">
        <f t="shared" si="363"/>
        <v>0</v>
      </c>
      <c r="CL153" s="345">
        <f t="shared" si="363"/>
        <v>0</v>
      </c>
      <c r="CM153" s="345">
        <f t="shared" si="363"/>
        <v>0</v>
      </c>
      <c r="CN153" s="345">
        <f t="shared" si="363"/>
        <v>0</v>
      </c>
      <c r="CO153" s="345">
        <f t="shared" si="363"/>
        <v>0</v>
      </c>
      <c r="CP153" s="566">
        <f t="shared" si="363"/>
        <v>0</v>
      </c>
      <c r="CQ153" s="345">
        <f t="shared" si="363"/>
        <v>0</v>
      </c>
      <c r="CR153" s="345">
        <f t="shared" si="363"/>
        <v>0</v>
      </c>
      <c r="CS153" s="345">
        <f t="shared" si="363"/>
        <v>0</v>
      </c>
      <c r="CT153" s="345">
        <f t="shared" si="363"/>
        <v>0</v>
      </c>
      <c r="CU153" s="345">
        <f t="shared" si="363"/>
        <v>0</v>
      </c>
      <c r="CV153" s="345">
        <f t="shared" si="363"/>
        <v>0</v>
      </c>
      <c r="CW153" s="345">
        <f t="shared" si="363"/>
        <v>0</v>
      </c>
      <c r="CX153" s="345">
        <f t="shared" si="363"/>
        <v>0</v>
      </c>
      <c r="CY153" s="345">
        <f t="shared" si="363"/>
        <v>0</v>
      </c>
      <c r="CZ153" s="345">
        <f t="shared" si="363"/>
        <v>0</v>
      </c>
      <c r="DA153" s="345">
        <f t="shared" si="363"/>
        <v>0</v>
      </c>
      <c r="DB153" s="566">
        <f t="shared" si="363"/>
        <v>0</v>
      </c>
      <c r="DC153" s="345">
        <f t="shared" si="363"/>
        <v>0</v>
      </c>
      <c r="DD153" s="345">
        <f t="shared" si="363"/>
        <v>0</v>
      </c>
      <c r="DE153" s="345">
        <f t="shared" si="363"/>
        <v>0</v>
      </c>
      <c r="DF153" s="345">
        <f t="shared" si="363"/>
        <v>0</v>
      </c>
      <c r="DG153" s="345">
        <f t="shared" si="363"/>
        <v>0</v>
      </c>
      <c r="DH153" s="345">
        <f t="shared" si="363"/>
        <v>0</v>
      </c>
      <c r="DI153" s="345">
        <f t="shared" si="363"/>
        <v>0</v>
      </c>
      <c r="DJ153" s="345">
        <f t="shared" si="363"/>
        <v>0</v>
      </c>
      <c r="DK153" s="345">
        <f t="shared" si="363"/>
        <v>0</v>
      </c>
      <c r="DL153" s="345">
        <f t="shared" si="363"/>
        <v>0</v>
      </c>
      <c r="DM153" s="345">
        <f t="shared" si="363"/>
        <v>0</v>
      </c>
      <c r="DN153" s="345">
        <f t="shared" si="363"/>
        <v>0</v>
      </c>
      <c r="DO153" s="345"/>
      <c r="DP153" s="340">
        <f>SUM(J153:DJ153)</f>
        <v>0</v>
      </c>
    </row>
    <row r="154" spans="3:120" x14ac:dyDescent="0.3">
      <c r="E154" s="323" t="s">
        <v>507</v>
      </c>
      <c r="G154" s="341">
        <f>'Members Capital'!L22</f>
        <v>0.1</v>
      </c>
      <c r="H154" s="341"/>
      <c r="I154" s="341"/>
      <c r="J154" s="345"/>
      <c r="K154" s="345">
        <f t="shared" ref="K154" si="364">$G$154*K149</f>
        <v>0</v>
      </c>
      <c r="L154" s="345">
        <f t="shared" ref="L154:BW154" si="365">$G$154*L149</f>
        <v>0</v>
      </c>
      <c r="M154" s="345">
        <f t="shared" si="365"/>
        <v>0</v>
      </c>
      <c r="N154" s="345">
        <f t="shared" si="365"/>
        <v>0</v>
      </c>
      <c r="O154" s="345">
        <f t="shared" si="365"/>
        <v>0</v>
      </c>
      <c r="P154" s="345">
        <f t="shared" si="365"/>
        <v>0</v>
      </c>
      <c r="Q154" s="345">
        <f t="shared" si="365"/>
        <v>0</v>
      </c>
      <c r="R154" s="345">
        <f t="shared" si="365"/>
        <v>0</v>
      </c>
      <c r="S154" s="345">
        <f t="shared" si="365"/>
        <v>0</v>
      </c>
      <c r="T154" s="345">
        <f t="shared" si="365"/>
        <v>0</v>
      </c>
      <c r="U154" s="345">
        <f t="shared" si="365"/>
        <v>0</v>
      </c>
      <c r="V154" s="566">
        <f t="shared" si="365"/>
        <v>0</v>
      </c>
      <c r="W154" s="345">
        <f t="shared" si="365"/>
        <v>0</v>
      </c>
      <c r="X154" s="345">
        <f t="shared" si="365"/>
        <v>0</v>
      </c>
      <c r="Y154" s="345">
        <f t="shared" si="365"/>
        <v>0</v>
      </c>
      <c r="Z154" s="345">
        <f t="shared" si="365"/>
        <v>0</v>
      </c>
      <c r="AA154" s="345">
        <f t="shared" si="365"/>
        <v>0</v>
      </c>
      <c r="AB154" s="345">
        <f t="shared" si="365"/>
        <v>0</v>
      </c>
      <c r="AC154" s="345">
        <f t="shared" si="365"/>
        <v>0</v>
      </c>
      <c r="AD154" s="345">
        <f t="shared" si="365"/>
        <v>0</v>
      </c>
      <c r="AE154" s="345">
        <f t="shared" si="365"/>
        <v>0</v>
      </c>
      <c r="AF154" s="345">
        <f t="shared" si="365"/>
        <v>0</v>
      </c>
      <c r="AG154" s="345">
        <f t="shared" si="365"/>
        <v>0</v>
      </c>
      <c r="AH154" s="566">
        <f t="shared" si="365"/>
        <v>0</v>
      </c>
      <c r="AI154" s="345">
        <f t="shared" si="365"/>
        <v>0</v>
      </c>
      <c r="AJ154" s="345">
        <f t="shared" si="365"/>
        <v>0</v>
      </c>
      <c r="AK154" s="345">
        <f t="shared" si="365"/>
        <v>0</v>
      </c>
      <c r="AL154" s="345">
        <f t="shared" si="365"/>
        <v>0</v>
      </c>
      <c r="AM154" s="345">
        <f t="shared" si="365"/>
        <v>0</v>
      </c>
      <c r="AN154" s="345">
        <f t="shared" si="365"/>
        <v>0</v>
      </c>
      <c r="AO154" s="345">
        <f t="shared" si="365"/>
        <v>0</v>
      </c>
      <c r="AP154" s="345">
        <f t="shared" si="365"/>
        <v>0</v>
      </c>
      <c r="AQ154" s="345">
        <f t="shared" si="365"/>
        <v>0</v>
      </c>
      <c r="AR154" s="345">
        <f t="shared" si="365"/>
        <v>0</v>
      </c>
      <c r="AS154" s="345">
        <f t="shared" si="365"/>
        <v>0</v>
      </c>
      <c r="AT154" s="566">
        <f t="shared" si="365"/>
        <v>0</v>
      </c>
      <c r="AU154" s="345">
        <f t="shared" si="365"/>
        <v>0</v>
      </c>
      <c r="AV154" s="345">
        <f t="shared" si="365"/>
        <v>0</v>
      </c>
      <c r="AW154" s="345">
        <f t="shared" si="365"/>
        <v>0</v>
      </c>
      <c r="AX154" s="345">
        <f t="shared" si="365"/>
        <v>0</v>
      </c>
      <c r="AY154" s="345">
        <f t="shared" si="365"/>
        <v>0</v>
      </c>
      <c r="AZ154" s="345">
        <f t="shared" si="365"/>
        <v>0</v>
      </c>
      <c r="BA154" s="345">
        <f t="shared" si="365"/>
        <v>0</v>
      </c>
      <c r="BB154" s="345">
        <f t="shared" si="365"/>
        <v>0</v>
      </c>
      <c r="BC154" s="345">
        <f t="shared" si="365"/>
        <v>0</v>
      </c>
      <c r="BD154" s="345">
        <f t="shared" si="365"/>
        <v>0</v>
      </c>
      <c r="BE154" s="345">
        <f t="shared" si="365"/>
        <v>0</v>
      </c>
      <c r="BF154" s="566">
        <f t="shared" si="365"/>
        <v>0</v>
      </c>
      <c r="BG154" s="345">
        <f t="shared" si="365"/>
        <v>0</v>
      </c>
      <c r="BH154" s="345">
        <f t="shared" si="365"/>
        <v>0</v>
      </c>
      <c r="BI154" s="345">
        <f t="shared" si="365"/>
        <v>0</v>
      </c>
      <c r="BJ154" s="345">
        <f t="shared" si="365"/>
        <v>0</v>
      </c>
      <c r="BK154" s="345">
        <f t="shared" si="365"/>
        <v>0</v>
      </c>
      <c r="BL154" s="345">
        <f t="shared" si="365"/>
        <v>0</v>
      </c>
      <c r="BM154" s="345">
        <f t="shared" si="365"/>
        <v>0</v>
      </c>
      <c r="BN154" s="345">
        <f t="shared" si="365"/>
        <v>0</v>
      </c>
      <c r="BO154" s="345">
        <f t="shared" si="365"/>
        <v>0</v>
      </c>
      <c r="BP154" s="345">
        <f t="shared" si="365"/>
        <v>0</v>
      </c>
      <c r="BQ154" s="345">
        <f t="shared" si="365"/>
        <v>0</v>
      </c>
      <c r="BR154" s="566">
        <f t="shared" si="365"/>
        <v>0</v>
      </c>
      <c r="BS154" s="345">
        <f t="shared" si="365"/>
        <v>0</v>
      </c>
      <c r="BT154" s="345">
        <f t="shared" si="365"/>
        <v>0</v>
      </c>
      <c r="BU154" s="345">
        <f t="shared" si="365"/>
        <v>0</v>
      </c>
      <c r="BV154" s="345">
        <f t="shared" si="365"/>
        <v>0</v>
      </c>
      <c r="BW154" s="345">
        <f t="shared" si="365"/>
        <v>0</v>
      </c>
      <c r="BX154" s="345">
        <f t="shared" ref="BX154:DN154" si="366">$G$154*BX149</f>
        <v>0</v>
      </c>
      <c r="BY154" s="345">
        <f t="shared" si="366"/>
        <v>0</v>
      </c>
      <c r="BZ154" s="345">
        <f t="shared" si="366"/>
        <v>0</v>
      </c>
      <c r="CA154" s="345">
        <f t="shared" si="366"/>
        <v>0</v>
      </c>
      <c r="CB154" s="345">
        <f t="shared" si="366"/>
        <v>0</v>
      </c>
      <c r="CC154" s="345">
        <f t="shared" si="366"/>
        <v>0</v>
      </c>
      <c r="CD154" s="566">
        <f t="shared" si="366"/>
        <v>0</v>
      </c>
      <c r="CE154" s="345">
        <f t="shared" si="366"/>
        <v>0</v>
      </c>
      <c r="CF154" s="345">
        <f t="shared" si="366"/>
        <v>0</v>
      </c>
      <c r="CG154" s="345">
        <f t="shared" si="366"/>
        <v>0</v>
      </c>
      <c r="CH154" s="345">
        <f t="shared" si="366"/>
        <v>0</v>
      </c>
      <c r="CI154" s="345">
        <f t="shared" si="366"/>
        <v>0</v>
      </c>
      <c r="CJ154" s="345">
        <f t="shared" si="366"/>
        <v>0</v>
      </c>
      <c r="CK154" s="345">
        <f t="shared" si="366"/>
        <v>0</v>
      </c>
      <c r="CL154" s="345">
        <f t="shared" si="366"/>
        <v>0</v>
      </c>
      <c r="CM154" s="345">
        <f t="shared" si="366"/>
        <v>0</v>
      </c>
      <c r="CN154" s="345">
        <f t="shared" si="366"/>
        <v>0</v>
      </c>
      <c r="CO154" s="345">
        <f t="shared" si="366"/>
        <v>0</v>
      </c>
      <c r="CP154" s="566">
        <f t="shared" si="366"/>
        <v>0</v>
      </c>
      <c r="CQ154" s="345">
        <f t="shared" si="366"/>
        <v>0</v>
      </c>
      <c r="CR154" s="345">
        <f t="shared" si="366"/>
        <v>0</v>
      </c>
      <c r="CS154" s="345">
        <f t="shared" si="366"/>
        <v>0</v>
      </c>
      <c r="CT154" s="345">
        <f t="shared" si="366"/>
        <v>0</v>
      </c>
      <c r="CU154" s="345">
        <f t="shared" si="366"/>
        <v>0</v>
      </c>
      <c r="CV154" s="345">
        <f t="shared" si="366"/>
        <v>0</v>
      </c>
      <c r="CW154" s="345">
        <f t="shared" si="366"/>
        <v>0</v>
      </c>
      <c r="CX154" s="345">
        <f t="shared" si="366"/>
        <v>0</v>
      </c>
      <c r="CY154" s="345">
        <f t="shared" si="366"/>
        <v>0</v>
      </c>
      <c r="CZ154" s="345">
        <f t="shared" si="366"/>
        <v>0</v>
      </c>
      <c r="DA154" s="345">
        <f t="shared" si="366"/>
        <v>0</v>
      </c>
      <c r="DB154" s="566">
        <f t="shared" si="366"/>
        <v>0</v>
      </c>
      <c r="DC154" s="345">
        <f t="shared" si="366"/>
        <v>0</v>
      </c>
      <c r="DD154" s="345">
        <f t="shared" si="366"/>
        <v>0</v>
      </c>
      <c r="DE154" s="345">
        <f t="shared" si="366"/>
        <v>0</v>
      </c>
      <c r="DF154" s="345">
        <f t="shared" si="366"/>
        <v>0</v>
      </c>
      <c r="DG154" s="345">
        <f t="shared" si="366"/>
        <v>0</v>
      </c>
      <c r="DH154" s="345">
        <f t="shared" si="366"/>
        <v>0</v>
      </c>
      <c r="DI154" s="345">
        <f t="shared" si="366"/>
        <v>0</v>
      </c>
      <c r="DJ154" s="345">
        <f t="shared" si="366"/>
        <v>0</v>
      </c>
      <c r="DK154" s="345">
        <f t="shared" si="366"/>
        <v>0</v>
      </c>
      <c r="DL154" s="345">
        <f t="shared" si="366"/>
        <v>0</v>
      </c>
      <c r="DM154" s="345">
        <f t="shared" si="366"/>
        <v>0</v>
      </c>
      <c r="DN154" s="345">
        <f t="shared" si="366"/>
        <v>0</v>
      </c>
      <c r="DO154" s="345"/>
      <c r="DP154" s="340">
        <f>SUM(J154:DJ154)</f>
        <v>0</v>
      </c>
    </row>
    <row r="155" spans="3:120" x14ac:dyDescent="0.3">
      <c r="E155" s="323" t="s">
        <v>340</v>
      </c>
      <c r="G155" s="341">
        <f>'Members Capital'!L26</f>
        <v>0.15000000000000002</v>
      </c>
      <c r="H155" s="341"/>
      <c r="I155" s="341"/>
      <c r="J155" s="345"/>
      <c r="K155" s="345">
        <f t="shared" ref="K155" si="367">K149-SUM(K152:K154)</f>
        <v>0</v>
      </c>
      <c r="L155" s="345">
        <f t="shared" ref="L155:BW155" si="368">L149-SUM(L152:L154)</f>
        <v>0</v>
      </c>
      <c r="M155" s="345">
        <f t="shared" si="368"/>
        <v>0</v>
      </c>
      <c r="N155" s="345">
        <f t="shared" si="368"/>
        <v>0</v>
      </c>
      <c r="O155" s="345">
        <f t="shared" si="368"/>
        <v>0</v>
      </c>
      <c r="P155" s="345">
        <f t="shared" si="368"/>
        <v>0</v>
      </c>
      <c r="Q155" s="345">
        <f t="shared" si="368"/>
        <v>0</v>
      </c>
      <c r="R155" s="345">
        <f t="shared" si="368"/>
        <v>0</v>
      </c>
      <c r="S155" s="345">
        <f t="shared" si="368"/>
        <v>0</v>
      </c>
      <c r="T155" s="345">
        <f t="shared" si="368"/>
        <v>0</v>
      </c>
      <c r="U155" s="345">
        <f t="shared" si="368"/>
        <v>0</v>
      </c>
      <c r="V155" s="566">
        <f t="shared" si="368"/>
        <v>0</v>
      </c>
      <c r="W155" s="345">
        <f t="shared" si="368"/>
        <v>0</v>
      </c>
      <c r="X155" s="345">
        <f t="shared" si="368"/>
        <v>0</v>
      </c>
      <c r="Y155" s="345">
        <f t="shared" si="368"/>
        <v>0</v>
      </c>
      <c r="Z155" s="345">
        <f t="shared" si="368"/>
        <v>0</v>
      </c>
      <c r="AA155" s="345">
        <f t="shared" si="368"/>
        <v>0</v>
      </c>
      <c r="AB155" s="345">
        <f t="shared" si="368"/>
        <v>0</v>
      </c>
      <c r="AC155" s="345">
        <f t="shared" si="368"/>
        <v>0</v>
      </c>
      <c r="AD155" s="345">
        <f t="shared" si="368"/>
        <v>0</v>
      </c>
      <c r="AE155" s="345">
        <f t="shared" si="368"/>
        <v>0</v>
      </c>
      <c r="AF155" s="345">
        <f t="shared" si="368"/>
        <v>0</v>
      </c>
      <c r="AG155" s="345">
        <f t="shared" si="368"/>
        <v>0</v>
      </c>
      <c r="AH155" s="566">
        <f t="shared" si="368"/>
        <v>0</v>
      </c>
      <c r="AI155" s="345">
        <f t="shared" si="368"/>
        <v>0</v>
      </c>
      <c r="AJ155" s="345">
        <f t="shared" si="368"/>
        <v>0</v>
      </c>
      <c r="AK155" s="345">
        <f t="shared" si="368"/>
        <v>0</v>
      </c>
      <c r="AL155" s="345">
        <f t="shared" si="368"/>
        <v>0</v>
      </c>
      <c r="AM155" s="345">
        <f t="shared" si="368"/>
        <v>0</v>
      </c>
      <c r="AN155" s="345">
        <f t="shared" si="368"/>
        <v>0</v>
      </c>
      <c r="AO155" s="345">
        <f t="shared" si="368"/>
        <v>0</v>
      </c>
      <c r="AP155" s="345">
        <f t="shared" si="368"/>
        <v>0</v>
      </c>
      <c r="AQ155" s="345">
        <f t="shared" si="368"/>
        <v>0</v>
      </c>
      <c r="AR155" s="345">
        <f t="shared" si="368"/>
        <v>0</v>
      </c>
      <c r="AS155" s="345">
        <f t="shared" si="368"/>
        <v>0</v>
      </c>
      <c r="AT155" s="566">
        <f t="shared" si="368"/>
        <v>0</v>
      </c>
      <c r="AU155" s="345">
        <f t="shared" si="368"/>
        <v>0</v>
      </c>
      <c r="AV155" s="345">
        <f t="shared" si="368"/>
        <v>0</v>
      </c>
      <c r="AW155" s="345">
        <f t="shared" si="368"/>
        <v>0</v>
      </c>
      <c r="AX155" s="345">
        <f t="shared" si="368"/>
        <v>0</v>
      </c>
      <c r="AY155" s="345">
        <f t="shared" si="368"/>
        <v>0</v>
      </c>
      <c r="AZ155" s="345">
        <f t="shared" si="368"/>
        <v>0</v>
      </c>
      <c r="BA155" s="345">
        <f t="shared" si="368"/>
        <v>0</v>
      </c>
      <c r="BB155" s="345">
        <f t="shared" si="368"/>
        <v>0</v>
      </c>
      <c r="BC155" s="345">
        <f t="shared" si="368"/>
        <v>0</v>
      </c>
      <c r="BD155" s="345">
        <f t="shared" si="368"/>
        <v>0</v>
      </c>
      <c r="BE155" s="345">
        <f t="shared" si="368"/>
        <v>0</v>
      </c>
      <c r="BF155" s="566">
        <f t="shared" si="368"/>
        <v>0</v>
      </c>
      <c r="BG155" s="345">
        <f t="shared" si="368"/>
        <v>0</v>
      </c>
      <c r="BH155" s="345">
        <f t="shared" si="368"/>
        <v>0</v>
      </c>
      <c r="BI155" s="345">
        <f t="shared" si="368"/>
        <v>0</v>
      </c>
      <c r="BJ155" s="345">
        <f t="shared" si="368"/>
        <v>0</v>
      </c>
      <c r="BK155" s="345">
        <f t="shared" si="368"/>
        <v>0</v>
      </c>
      <c r="BL155" s="345">
        <f t="shared" si="368"/>
        <v>0</v>
      </c>
      <c r="BM155" s="345">
        <f t="shared" si="368"/>
        <v>0</v>
      </c>
      <c r="BN155" s="345">
        <f t="shared" si="368"/>
        <v>0</v>
      </c>
      <c r="BO155" s="345">
        <f t="shared" si="368"/>
        <v>0</v>
      </c>
      <c r="BP155" s="345">
        <f t="shared" si="368"/>
        <v>0</v>
      </c>
      <c r="BQ155" s="345">
        <f t="shared" si="368"/>
        <v>0</v>
      </c>
      <c r="BR155" s="566">
        <f t="shared" si="368"/>
        <v>0</v>
      </c>
      <c r="BS155" s="345">
        <f t="shared" si="368"/>
        <v>0</v>
      </c>
      <c r="BT155" s="345">
        <f t="shared" si="368"/>
        <v>0</v>
      </c>
      <c r="BU155" s="345">
        <f t="shared" si="368"/>
        <v>0</v>
      </c>
      <c r="BV155" s="345">
        <f t="shared" si="368"/>
        <v>0</v>
      </c>
      <c r="BW155" s="345">
        <f t="shared" si="368"/>
        <v>0</v>
      </c>
      <c r="BX155" s="345">
        <f t="shared" ref="BX155:DN155" si="369">BX149-SUM(BX152:BX154)</f>
        <v>0</v>
      </c>
      <c r="BY155" s="345">
        <f t="shared" si="369"/>
        <v>0</v>
      </c>
      <c r="BZ155" s="345">
        <f t="shared" si="369"/>
        <v>0</v>
      </c>
      <c r="CA155" s="345">
        <f t="shared" si="369"/>
        <v>0</v>
      </c>
      <c r="CB155" s="345">
        <f t="shared" si="369"/>
        <v>0</v>
      </c>
      <c r="CC155" s="345">
        <f t="shared" si="369"/>
        <v>0</v>
      </c>
      <c r="CD155" s="566">
        <f t="shared" si="369"/>
        <v>0</v>
      </c>
      <c r="CE155" s="345">
        <f t="shared" si="369"/>
        <v>0</v>
      </c>
      <c r="CF155" s="345">
        <f t="shared" si="369"/>
        <v>0</v>
      </c>
      <c r="CG155" s="345">
        <f t="shared" si="369"/>
        <v>0</v>
      </c>
      <c r="CH155" s="345">
        <f t="shared" si="369"/>
        <v>0</v>
      </c>
      <c r="CI155" s="345">
        <f t="shared" si="369"/>
        <v>0</v>
      </c>
      <c r="CJ155" s="345">
        <f t="shared" si="369"/>
        <v>0</v>
      </c>
      <c r="CK155" s="345">
        <f t="shared" si="369"/>
        <v>0</v>
      </c>
      <c r="CL155" s="345">
        <f t="shared" si="369"/>
        <v>0</v>
      </c>
      <c r="CM155" s="345">
        <f t="shared" si="369"/>
        <v>0</v>
      </c>
      <c r="CN155" s="345">
        <f t="shared" si="369"/>
        <v>0</v>
      </c>
      <c r="CO155" s="345">
        <f t="shared" si="369"/>
        <v>0</v>
      </c>
      <c r="CP155" s="566">
        <f t="shared" si="369"/>
        <v>0</v>
      </c>
      <c r="CQ155" s="345">
        <f t="shared" si="369"/>
        <v>0</v>
      </c>
      <c r="CR155" s="345">
        <f t="shared" si="369"/>
        <v>0</v>
      </c>
      <c r="CS155" s="345">
        <f t="shared" si="369"/>
        <v>0</v>
      </c>
      <c r="CT155" s="345">
        <f t="shared" si="369"/>
        <v>0</v>
      </c>
      <c r="CU155" s="345">
        <f t="shared" si="369"/>
        <v>0</v>
      </c>
      <c r="CV155" s="345">
        <f t="shared" si="369"/>
        <v>0</v>
      </c>
      <c r="CW155" s="345">
        <f t="shared" si="369"/>
        <v>0</v>
      </c>
      <c r="CX155" s="345">
        <f t="shared" si="369"/>
        <v>0</v>
      </c>
      <c r="CY155" s="345">
        <f t="shared" si="369"/>
        <v>0</v>
      </c>
      <c r="CZ155" s="345">
        <f t="shared" si="369"/>
        <v>0</v>
      </c>
      <c r="DA155" s="345">
        <f t="shared" si="369"/>
        <v>0</v>
      </c>
      <c r="DB155" s="566">
        <f t="shared" si="369"/>
        <v>0</v>
      </c>
      <c r="DC155" s="345">
        <f t="shared" si="369"/>
        <v>0</v>
      </c>
      <c r="DD155" s="345">
        <f t="shared" si="369"/>
        <v>0</v>
      </c>
      <c r="DE155" s="345">
        <f t="shared" si="369"/>
        <v>0</v>
      </c>
      <c r="DF155" s="345">
        <f t="shared" si="369"/>
        <v>0</v>
      </c>
      <c r="DG155" s="345">
        <f t="shared" si="369"/>
        <v>0</v>
      </c>
      <c r="DH155" s="345">
        <f t="shared" si="369"/>
        <v>0</v>
      </c>
      <c r="DI155" s="345">
        <f t="shared" si="369"/>
        <v>0</v>
      </c>
      <c r="DJ155" s="345">
        <f t="shared" si="369"/>
        <v>0</v>
      </c>
      <c r="DK155" s="345">
        <f t="shared" si="369"/>
        <v>0</v>
      </c>
      <c r="DL155" s="345">
        <f t="shared" si="369"/>
        <v>0</v>
      </c>
      <c r="DM155" s="345">
        <f t="shared" si="369"/>
        <v>0</v>
      </c>
      <c r="DN155" s="345">
        <f t="shared" si="369"/>
        <v>0</v>
      </c>
      <c r="DO155" s="345"/>
      <c r="DP155" s="340">
        <f>SUM(J155:DJ155)</f>
        <v>0</v>
      </c>
    </row>
    <row r="156" spans="3:120" x14ac:dyDescent="0.3">
      <c r="J156" s="345"/>
      <c r="K156" s="345"/>
      <c r="L156" s="345"/>
      <c r="M156" s="345"/>
      <c r="N156" s="345"/>
      <c r="O156" s="345"/>
      <c r="P156" s="345"/>
      <c r="Q156" s="345"/>
      <c r="R156" s="345"/>
      <c r="S156" s="345"/>
      <c r="T156" s="345"/>
      <c r="U156" s="345"/>
      <c r="V156" s="566"/>
      <c r="W156" s="345"/>
      <c r="X156" s="345"/>
      <c r="Y156" s="345"/>
      <c r="Z156" s="345"/>
      <c r="AA156" s="345"/>
      <c r="AB156" s="345"/>
      <c r="AC156" s="345"/>
      <c r="AD156" s="345"/>
      <c r="AE156" s="345"/>
      <c r="AF156" s="345"/>
      <c r="AG156" s="345"/>
      <c r="AH156" s="566"/>
      <c r="AI156" s="345"/>
      <c r="AJ156" s="345"/>
      <c r="AK156" s="345"/>
      <c r="AL156" s="345"/>
      <c r="AM156" s="345"/>
      <c r="AN156" s="345"/>
      <c r="AO156" s="345"/>
      <c r="AP156" s="345"/>
      <c r="AQ156" s="345"/>
      <c r="AR156" s="345"/>
      <c r="AS156" s="345"/>
      <c r="AT156" s="566"/>
      <c r="AU156" s="345"/>
      <c r="AV156" s="345"/>
      <c r="AW156" s="345"/>
      <c r="AX156" s="345"/>
      <c r="AY156" s="345"/>
      <c r="AZ156" s="345"/>
      <c r="BA156" s="345"/>
      <c r="BB156" s="345"/>
      <c r="BC156" s="345"/>
      <c r="BD156" s="345"/>
      <c r="BE156" s="345"/>
      <c r="BF156" s="566"/>
      <c r="BG156" s="345"/>
      <c r="BH156" s="345"/>
      <c r="BI156" s="345"/>
      <c r="BJ156" s="345"/>
      <c r="BK156" s="345"/>
      <c r="BL156" s="345"/>
      <c r="BM156" s="345"/>
      <c r="BN156" s="345"/>
      <c r="BO156" s="345"/>
      <c r="BP156" s="345"/>
      <c r="BQ156" s="345"/>
      <c r="BR156" s="566"/>
      <c r="BS156" s="345"/>
      <c r="BT156" s="345"/>
      <c r="BU156" s="345"/>
      <c r="BV156" s="345"/>
      <c r="BW156" s="345"/>
      <c r="BX156" s="345"/>
      <c r="BY156" s="345"/>
      <c r="BZ156" s="345"/>
      <c r="CA156" s="345"/>
      <c r="CB156" s="345"/>
      <c r="CC156" s="345"/>
      <c r="CD156" s="566"/>
      <c r="CE156" s="345"/>
      <c r="CF156" s="345"/>
      <c r="CG156" s="345"/>
      <c r="CH156" s="345"/>
      <c r="CI156" s="345"/>
      <c r="CJ156" s="345"/>
      <c r="CK156" s="345"/>
      <c r="CL156" s="345"/>
      <c r="CM156" s="345"/>
      <c r="CN156" s="345"/>
      <c r="CO156" s="345"/>
      <c r="CP156" s="566"/>
      <c r="CQ156" s="345"/>
      <c r="CR156" s="345"/>
      <c r="CS156" s="345"/>
      <c r="CT156" s="345"/>
      <c r="CU156" s="345"/>
      <c r="CV156" s="345"/>
      <c r="CW156" s="345"/>
      <c r="CX156" s="345"/>
      <c r="CY156" s="345"/>
      <c r="CZ156" s="345"/>
      <c r="DA156" s="345"/>
      <c r="DB156" s="566"/>
      <c r="DC156" s="345"/>
      <c r="DD156" s="345"/>
      <c r="DE156" s="345"/>
      <c r="DF156" s="345"/>
      <c r="DG156" s="345"/>
      <c r="DH156" s="345"/>
      <c r="DI156" s="345"/>
      <c r="DJ156" s="345"/>
      <c r="DK156" s="345"/>
      <c r="DL156" s="345"/>
      <c r="DM156" s="345"/>
      <c r="DN156" s="345"/>
      <c r="DO156" s="345"/>
      <c r="DP156" s="340"/>
    </row>
    <row r="157" spans="3:120" ht="14.4" thickBot="1" x14ac:dyDescent="0.35">
      <c r="C157" s="334" t="s">
        <v>363</v>
      </c>
      <c r="D157" s="334"/>
      <c r="E157" s="334"/>
      <c r="F157" s="334"/>
      <c r="G157" s="334"/>
      <c r="H157" s="334"/>
      <c r="I157" s="334"/>
      <c r="J157" s="378"/>
      <c r="K157" s="378">
        <f t="shared" ref="K157" si="370">K140+K142+K146+K148+SUM(K152:K155)</f>
        <v>0</v>
      </c>
      <c r="L157" s="378">
        <f t="shared" ref="L157:BW157" si="371">L140+L142+L146+L148+SUM(L152:L155)</f>
        <v>0</v>
      </c>
      <c r="M157" s="378">
        <f t="shared" si="371"/>
        <v>0</v>
      </c>
      <c r="N157" s="378">
        <f t="shared" si="371"/>
        <v>0</v>
      </c>
      <c r="O157" s="378">
        <f t="shared" si="371"/>
        <v>0</v>
      </c>
      <c r="P157" s="378">
        <f t="shared" si="371"/>
        <v>0</v>
      </c>
      <c r="Q157" s="378">
        <f t="shared" si="371"/>
        <v>0</v>
      </c>
      <c r="R157" s="378">
        <f t="shared" si="371"/>
        <v>0</v>
      </c>
      <c r="S157" s="378">
        <f t="shared" si="371"/>
        <v>0</v>
      </c>
      <c r="T157" s="378">
        <f t="shared" si="371"/>
        <v>0</v>
      </c>
      <c r="U157" s="378">
        <f t="shared" si="371"/>
        <v>0</v>
      </c>
      <c r="V157" s="687">
        <f t="shared" si="371"/>
        <v>0</v>
      </c>
      <c r="W157" s="378">
        <f t="shared" si="371"/>
        <v>0</v>
      </c>
      <c r="X157" s="378">
        <f t="shared" si="371"/>
        <v>0</v>
      </c>
      <c r="Y157" s="378">
        <f t="shared" si="371"/>
        <v>0</v>
      </c>
      <c r="Z157" s="378">
        <f t="shared" si="371"/>
        <v>0</v>
      </c>
      <c r="AA157" s="378">
        <f t="shared" si="371"/>
        <v>0</v>
      </c>
      <c r="AB157" s="378">
        <f t="shared" si="371"/>
        <v>0</v>
      </c>
      <c r="AC157" s="378">
        <f t="shared" si="371"/>
        <v>0</v>
      </c>
      <c r="AD157" s="378">
        <f t="shared" si="371"/>
        <v>0</v>
      </c>
      <c r="AE157" s="378">
        <f t="shared" si="371"/>
        <v>0</v>
      </c>
      <c r="AF157" s="378">
        <f t="shared" si="371"/>
        <v>0</v>
      </c>
      <c r="AG157" s="378">
        <f t="shared" si="371"/>
        <v>0</v>
      </c>
      <c r="AH157" s="687">
        <f t="shared" si="371"/>
        <v>0</v>
      </c>
      <c r="AI157" s="378">
        <f t="shared" si="371"/>
        <v>0</v>
      </c>
      <c r="AJ157" s="378">
        <f t="shared" si="371"/>
        <v>0</v>
      </c>
      <c r="AK157" s="378">
        <f t="shared" si="371"/>
        <v>0</v>
      </c>
      <c r="AL157" s="378">
        <f t="shared" si="371"/>
        <v>0</v>
      </c>
      <c r="AM157" s="378">
        <f t="shared" si="371"/>
        <v>0</v>
      </c>
      <c r="AN157" s="378">
        <f t="shared" si="371"/>
        <v>0</v>
      </c>
      <c r="AO157" s="378">
        <f t="shared" si="371"/>
        <v>0</v>
      </c>
      <c r="AP157" s="378">
        <f t="shared" si="371"/>
        <v>0</v>
      </c>
      <c r="AQ157" s="378">
        <f t="shared" si="371"/>
        <v>0</v>
      </c>
      <c r="AR157" s="378">
        <f t="shared" si="371"/>
        <v>0</v>
      </c>
      <c r="AS157" s="378">
        <f t="shared" si="371"/>
        <v>0</v>
      </c>
      <c r="AT157" s="687">
        <f t="shared" si="371"/>
        <v>0</v>
      </c>
      <c r="AU157" s="378">
        <f t="shared" si="371"/>
        <v>0</v>
      </c>
      <c r="AV157" s="378">
        <f t="shared" si="371"/>
        <v>0</v>
      </c>
      <c r="AW157" s="378">
        <f t="shared" si="371"/>
        <v>0</v>
      </c>
      <c r="AX157" s="378">
        <f t="shared" si="371"/>
        <v>0</v>
      </c>
      <c r="AY157" s="378">
        <f t="shared" si="371"/>
        <v>0</v>
      </c>
      <c r="AZ157" s="378">
        <f t="shared" si="371"/>
        <v>0</v>
      </c>
      <c r="BA157" s="378">
        <f t="shared" si="371"/>
        <v>0</v>
      </c>
      <c r="BB157" s="378">
        <f t="shared" si="371"/>
        <v>0</v>
      </c>
      <c r="BC157" s="378">
        <f t="shared" si="371"/>
        <v>0</v>
      </c>
      <c r="BD157" s="378">
        <f t="shared" si="371"/>
        <v>0</v>
      </c>
      <c r="BE157" s="378">
        <f t="shared" si="371"/>
        <v>0</v>
      </c>
      <c r="BF157" s="687">
        <f t="shared" si="371"/>
        <v>0</v>
      </c>
      <c r="BG157" s="378">
        <f t="shared" si="371"/>
        <v>0</v>
      </c>
      <c r="BH157" s="378">
        <f t="shared" si="371"/>
        <v>0</v>
      </c>
      <c r="BI157" s="378">
        <f t="shared" si="371"/>
        <v>0</v>
      </c>
      <c r="BJ157" s="378">
        <f t="shared" si="371"/>
        <v>0</v>
      </c>
      <c r="BK157" s="378">
        <f t="shared" si="371"/>
        <v>0</v>
      </c>
      <c r="BL157" s="378">
        <f t="shared" si="371"/>
        <v>0</v>
      </c>
      <c r="BM157" s="378">
        <f t="shared" si="371"/>
        <v>0</v>
      </c>
      <c r="BN157" s="378">
        <f t="shared" si="371"/>
        <v>0</v>
      </c>
      <c r="BO157" s="378">
        <f t="shared" si="371"/>
        <v>0</v>
      </c>
      <c r="BP157" s="378">
        <f t="shared" si="371"/>
        <v>0</v>
      </c>
      <c r="BQ157" s="378">
        <f t="shared" si="371"/>
        <v>0</v>
      </c>
      <c r="BR157" s="687">
        <f t="shared" si="371"/>
        <v>0</v>
      </c>
      <c r="BS157" s="378">
        <f t="shared" si="371"/>
        <v>0</v>
      </c>
      <c r="BT157" s="378">
        <f t="shared" si="371"/>
        <v>0</v>
      </c>
      <c r="BU157" s="378">
        <f t="shared" si="371"/>
        <v>0</v>
      </c>
      <c r="BV157" s="378">
        <f t="shared" si="371"/>
        <v>0</v>
      </c>
      <c r="BW157" s="378">
        <f t="shared" si="371"/>
        <v>0</v>
      </c>
      <c r="BX157" s="378">
        <f t="shared" ref="BX157:DN157" si="372">BX140+BX142+BX146+BX148+SUM(BX152:BX155)</f>
        <v>0</v>
      </c>
      <c r="BY157" s="378">
        <f t="shared" si="372"/>
        <v>0</v>
      </c>
      <c r="BZ157" s="378">
        <f t="shared" si="372"/>
        <v>0</v>
      </c>
      <c r="CA157" s="378">
        <f t="shared" si="372"/>
        <v>0</v>
      </c>
      <c r="CB157" s="378">
        <f t="shared" si="372"/>
        <v>0</v>
      </c>
      <c r="CC157" s="378">
        <f t="shared" si="372"/>
        <v>0</v>
      </c>
      <c r="CD157" s="687">
        <f t="shared" si="372"/>
        <v>0</v>
      </c>
      <c r="CE157" s="378">
        <f t="shared" si="372"/>
        <v>0</v>
      </c>
      <c r="CF157" s="378">
        <f t="shared" si="372"/>
        <v>0</v>
      </c>
      <c r="CG157" s="378">
        <f t="shared" si="372"/>
        <v>0</v>
      </c>
      <c r="CH157" s="378">
        <f t="shared" si="372"/>
        <v>0</v>
      </c>
      <c r="CI157" s="378">
        <f t="shared" si="372"/>
        <v>0</v>
      </c>
      <c r="CJ157" s="378">
        <f t="shared" si="372"/>
        <v>0</v>
      </c>
      <c r="CK157" s="378">
        <f t="shared" si="372"/>
        <v>0</v>
      </c>
      <c r="CL157" s="378">
        <f t="shared" si="372"/>
        <v>0</v>
      </c>
      <c r="CM157" s="378">
        <f t="shared" si="372"/>
        <v>0</v>
      </c>
      <c r="CN157" s="378">
        <f t="shared" si="372"/>
        <v>0</v>
      </c>
      <c r="CO157" s="378">
        <f t="shared" si="372"/>
        <v>0</v>
      </c>
      <c r="CP157" s="687">
        <f t="shared" si="372"/>
        <v>0</v>
      </c>
      <c r="CQ157" s="378">
        <f t="shared" si="372"/>
        <v>0</v>
      </c>
      <c r="CR157" s="378">
        <f t="shared" si="372"/>
        <v>0</v>
      </c>
      <c r="CS157" s="378">
        <f t="shared" si="372"/>
        <v>0</v>
      </c>
      <c r="CT157" s="378">
        <f t="shared" si="372"/>
        <v>0</v>
      </c>
      <c r="CU157" s="378">
        <f t="shared" si="372"/>
        <v>0</v>
      </c>
      <c r="CV157" s="378">
        <f t="shared" si="372"/>
        <v>0</v>
      </c>
      <c r="CW157" s="378">
        <f t="shared" si="372"/>
        <v>0</v>
      </c>
      <c r="CX157" s="378">
        <f t="shared" si="372"/>
        <v>0</v>
      </c>
      <c r="CY157" s="378">
        <f t="shared" si="372"/>
        <v>0</v>
      </c>
      <c r="CZ157" s="378">
        <f t="shared" si="372"/>
        <v>0</v>
      </c>
      <c r="DA157" s="378">
        <f t="shared" si="372"/>
        <v>0</v>
      </c>
      <c r="DB157" s="687">
        <f t="shared" si="372"/>
        <v>0</v>
      </c>
      <c r="DC157" s="378">
        <f t="shared" si="372"/>
        <v>0</v>
      </c>
      <c r="DD157" s="378">
        <f t="shared" si="372"/>
        <v>0</v>
      </c>
      <c r="DE157" s="378">
        <f t="shared" si="372"/>
        <v>0</v>
      </c>
      <c r="DF157" s="378">
        <f t="shared" si="372"/>
        <v>0</v>
      </c>
      <c r="DG157" s="378">
        <f t="shared" si="372"/>
        <v>0</v>
      </c>
      <c r="DH157" s="378">
        <f t="shared" si="372"/>
        <v>0</v>
      </c>
      <c r="DI157" s="378">
        <f t="shared" si="372"/>
        <v>0</v>
      </c>
      <c r="DJ157" s="378">
        <f t="shared" si="372"/>
        <v>0</v>
      </c>
      <c r="DK157" s="378">
        <f t="shared" si="372"/>
        <v>0</v>
      </c>
      <c r="DL157" s="378">
        <f t="shared" si="372"/>
        <v>0</v>
      </c>
      <c r="DM157" s="378">
        <f t="shared" si="372"/>
        <v>0</v>
      </c>
      <c r="DN157" s="378">
        <f t="shared" si="372"/>
        <v>0</v>
      </c>
      <c r="DO157" s="378"/>
      <c r="DP157" s="378">
        <f>SUM(J157:DJ157)</f>
        <v>0</v>
      </c>
    </row>
    <row r="158" spans="3:120" ht="14.4" thickTop="1" x14ac:dyDescent="0.3">
      <c r="J158" s="345"/>
      <c r="K158" s="345"/>
      <c r="L158" s="345"/>
      <c r="M158" s="345"/>
      <c r="N158" s="345"/>
      <c r="O158" s="345"/>
      <c r="P158" s="345"/>
      <c r="Q158" s="345"/>
      <c r="R158" s="345"/>
      <c r="S158" s="345"/>
      <c r="T158" s="345"/>
      <c r="U158" s="345"/>
      <c r="V158" s="345"/>
      <c r="W158" s="345"/>
      <c r="X158" s="345"/>
      <c r="Y158" s="345"/>
      <c r="Z158" s="345"/>
      <c r="AA158" s="345"/>
      <c r="AB158" s="345"/>
      <c r="AC158" s="345"/>
      <c r="AD158" s="345"/>
      <c r="AE158" s="345"/>
      <c r="AF158" s="345"/>
      <c r="AG158" s="345"/>
      <c r="AH158" s="345"/>
      <c r="AI158" s="345"/>
      <c r="AJ158" s="345"/>
      <c r="AK158" s="345"/>
      <c r="AL158" s="345"/>
      <c r="AM158" s="345"/>
      <c r="AN158" s="345"/>
      <c r="AO158" s="345"/>
      <c r="AP158" s="345"/>
      <c r="AQ158" s="345"/>
      <c r="AR158" s="345"/>
      <c r="AS158" s="345"/>
      <c r="AT158" s="345"/>
      <c r="AU158" s="345"/>
      <c r="AV158" s="345"/>
      <c r="AW158" s="345"/>
      <c r="AX158" s="345"/>
      <c r="AY158" s="345"/>
      <c r="AZ158" s="345"/>
      <c r="BA158" s="345"/>
      <c r="BB158" s="345"/>
      <c r="BC158" s="345"/>
      <c r="BD158" s="345"/>
      <c r="BE158" s="345"/>
      <c r="BF158" s="345"/>
      <c r="BG158" s="345"/>
      <c r="BH158" s="345"/>
      <c r="BI158" s="345"/>
      <c r="BJ158" s="345"/>
      <c r="BK158" s="345"/>
      <c r="BL158" s="345"/>
      <c r="BM158" s="345"/>
      <c r="BN158" s="345"/>
      <c r="BO158" s="345"/>
      <c r="BP158" s="345"/>
      <c r="BQ158" s="345"/>
      <c r="BR158" s="345"/>
      <c r="BS158" s="345"/>
      <c r="BT158" s="345"/>
      <c r="BU158" s="345"/>
      <c r="BV158" s="345"/>
      <c r="BW158" s="345"/>
      <c r="BX158" s="345"/>
      <c r="BY158" s="345"/>
      <c r="BZ158" s="345"/>
      <c r="CA158" s="345"/>
      <c r="CB158" s="345"/>
      <c r="CC158" s="345"/>
      <c r="CD158" s="345"/>
      <c r="CE158" s="345"/>
      <c r="CF158" s="345"/>
      <c r="CG158" s="345"/>
      <c r="CH158" s="345"/>
      <c r="CI158" s="345"/>
      <c r="CJ158" s="345"/>
      <c r="CK158" s="345"/>
      <c r="CL158" s="345"/>
      <c r="CM158" s="345"/>
      <c r="CN158" s="345"/>
      <c r="CO158" s="345"/>
      <c r="CP158" s="345"/>
      <c r="CQ158" s="345"/>
      <c r="CR158" s="345"/>
      <c r="CS158" s="345"/>
      <c r="CT158" s="345"/>
      <c r="CU158" s="345"/>
      <c r="CV158" s="345"/>
      <c r="CW158" s="345"/>
      <c r="CX158" s="345"/>
      <c r="CY158" s="345"/>
      <c r="CZ158" s="345"/>
      <c r="DA158" s="345"/>
      <c r="DB158" s="345"/>
      <c r="DC158" s="345"/>
      <c r="DD158" s="345"/>
      <c r="DE158" s="345"/>
      <c r="DF158" s="345"/>
      <c r="DG158" s="345"/>
      <c r="DH158" s="345"/>
      <c r="DI158" s="345"/>
      <c r="DJ158" s="345"/>
      <c r="DK158" s="345"/>
      <c r="DL158" s="345"/>
      <c r="DM158" s="345"/>
      <c r="DN158" s="345"/>
      <c r="DO158" s="345"/>
      <c r="DP158" s="345"/>
    </row>
    <row r="159" spans="3:120" x14ac:dyDescent="0.3">
      <c r="J159" s="345"/>
      <c r="K159" s="345"/>
      <c r="L159" s="345"/>
      <c r="M159" s="345"/>
      <c r="N159" s="345"/>
      <c r="O159" s="345"/>
      <c r="P159" s="345"/>
      <c r="Q159" s="345"/>
      <c r="R159" s="345"/>
      <c r="S159" s="345"/>
      <c r="T159" s="345"/>
      <c r="U159" s="345"/>
      <c r="V159" s="345"/>
      <c r="W159" s="345"/>
      <c r="X159" s="345"/>
      <c r="Y159" s="345"/>
      <c r="Z159" s="345"/>
      <c r="AA159" s="345"/>
      <c r="AB159" s="345"/>
      <c r="AC159" s="345"/>
      <c r="AD159" s="345"/>
      <c r="AE159" s="345"/>
      <c r="AF159" s="345"/>
      <c r="AG159" s="345"/>
      <c r="AH159" s="345"/>
      <c r="AI159" s="345"/>
      <c r="AJ159" s="345"/>
      <c r="AK159" s="345"/>
      <c r="AL159" s="345"/>
      <c r="AM159" s="345"/>
      <c r="AN159" s="345"/>
      <c r="AO159" s="345"/>
      <c r="AP159" s="345"/>
      <c r="AQ159" s="345"/>
      <c r="AR159" s="345"/>
      <c r="AS159" s="345"/>
      <c r="AT159" s="345"/>
      <c r="AU159" s="345"/>
      <c r="AV159" s="345"/>
      <c r="AW159" s="345"/>
      <c r="AX159" s="345"/>
      <c r="AY159" s="345"/>
      <c r="AZ159" s="345"/>
      <c r="BA159" s="345"/>
      <c r="BB159" s="345"/>
      <c r="BC159" s="345"/>
      <c r="BD159" s="345"/>
      <c r="BE159" s="345"/>
      <c r="BF159" s="345"/>
      <c r="BG159" s="345"/>
      <c r="BH159" s="345"/>
      <c r="BI159" s="345"/>
      <c r="BJ159" s="345"/>
      <c r="BK159" s="345"/>
      <c r="BL159" s="345"/>
      <c r="BM159" s="345"/>
      <c r="BN159" s="345"/>
      <c r="BO159" s="345"/>
      <c r="BP159" s="345"/>
      <c r="BQ159" s="345"/>
      <c r="BR159" s="345"/>
      <c r="BS159" s="345"/>
      <c r="BT159" s="345"/>
      <c r="BU159" s="345"/>
      <c r="BV159" s="345"/>
      <c r="BW159" s="345"/>
      <c r="BX159" s="345"/>
      <c r="BY159" s="345"/>
      <c r="BZ159" s="345"/>
      <c r="CA159" s="345"/>
      <c r="CB159" s="345"/>
      <c r="CC159" s="345"/>
      <c r="CD159" s="345"/>
      <c r="CE159" s="345"/>
      <c r="CF159" s="345"/>
      <c r="CG159" s="345"/>
      <c r="CH159" s="345"/>
      <c r="CI159" s="345"/>
      <c r="CJ159" s="345"/>
      <c r="CK159" s="345"/>
      <c r="CL159" s="345"/>
      <c r="CM159" s="345"/>
      <c r="CN159" s="345"/>
      <c r="CO159" s="345"/>
      <c r="CP159" s="345"/>
      <c r="CQ159" s="345"/>
      <c r="CR159" s="345"/>
      <c r="CS159" s="345"/>
      <c r="CT159" s="345"/>
      <c r="CU159" s="345"/>
      <c r="CV159" s="345"/>
      <c r="CW159" s="345"/>
      <c r="CX159" s="345"/>
      <c r="CY159" s="345"/>
      <c r="CZ159" s="345"/>
      <c r="DA159" s="345"/>
      <c r="DB159" s="345"/>
      <c r="DC159" s="345"/>
      <c r="DD159" s="345"/>
      <c r="DE159" s="345"/>
      <c r="DF159" s="345"/>
      <c r="DG159" s="345"/>
      <c r="DH159" s="345"/>
      <c r="DI159" s="345"/>
      <c r="DJ159" s="345"/>
      <c r="DK159" s="345"/>
      <c r="DL159" s="345"/>
      <c r="DM159" s="345"/>
      <c r="DN159" s="345"/>
      <c r="DO159" s="345"/>
      <c r="DP159" s="345"/>
    </row>
    <row r="160" spans="3:120" x14ac:dyDescent="0.3">
      <c r="J160" s="345"/>
      <c r="K160" s="345"/>
      <c r="L160" s="345"/>
      <c r="M160" s="345"/>
      <c r="N160" s="345"/>
      <c r="O160" s="345"/>
      <c r="P160" s="345"/>
      <c r="Q160" s="345"/>
      <c r="R160" s="345"/>
      <c r="S160" s="345"/>
      <c r="T160" s="345"/>
      <c r="U160" s="345"/>
      <c r="V160" s="345"/>
      <c r="W160" s="345"/>
      <c r="X160" s="345"/>
      <c r="Y160" s="345"/>
      <c r="Z160" s="345"/>
      <c r="AA160" s="345"/>
      <c r="AB160" s="345"/>
      <c r="AC160" s="345"/>
      <c r="AD160" s="345"/>
      <c r="AE160" s="345"/>
      <c r="AF160" s="345"/>
      <c r="AG160" s="345"/>
      <c r="AH160" s="345"/>
      <c r="AI160" s="345"/>
      <c r="AJ160" s="345"/>
      <c r="AK160" s="345"/>
      <c r="AL160" s="345"/>
      <c r="AM160" s="345"/>
      <c r="AN160" s="345"/>
      <c r="AO160" s="345"/>
      <c r="AP160" s="345"/>
      <c r="AQ160" s="345"/>
      <c r="AR160" s="345"/>
      <c r="AS160" s="345"/>
      <c r="AT160" s="345"/>
      <c r="AU160" s="345"/>
      <c r="AV160" s="345"/>
      <c r="AW160" s="345"/>
      <c r="AX160" s="345"/>
      <c r="AY160" s="345"/>
      <c r="AZ160" s="345"/>
      <c r="BA160" s="345"/>
      <c r="BB160" s="345"/>
      <c r="BC160" s="345"/>
      <c r="BD160" s="345"/>
      <c r="BE160" s="345"/>
      <c r="BF160" s="345"/>
      <c r="BG160" s="345"/>
      <c r="BH160" s="345"/>
      <c r="BI160" s="345"/>
      <c r="BJ160" s="345"/>
      <c r="BK160" s="345"/>
      <c r="BL160" s="345"/>
      <c r="BM160" s="345"/>
      <c r="BN160" s="345"/>
      <c r="BO160" s="345"/>
      <c r="BP160" s="345"/>
      <c r="BQ160" s="345"/>
      <c r="BR160" s="345"/>
      <c r="BS160" s="345"/>
      <c r="BT160" s="345"/>
      <c r="BU160" s="345"/>
      <c r="BV160" s="345"/>
      <c r="BW160" s="345"/>
      <c r="BX160" s="345"/>
      <c r="BY160" s="345"/>
      <c r="BZ160" s="345"/>
      <c r="CA160" s="345"/>
      <c r="CB160" s="345"/>
      <c r="CC160" s="345"/>
      <c r="CD160" s="345"/>
      <c r="CE160" s="345"/>
      <c r="CF160" s="345"/>
      <c r="CG160" s="345"/>
      <c r="CH160" s="345"/>
      <c r="CI160" s="345"/>
      <c r="CJ160" s="345"/>
      <c r="CK160" s="345"/>
      <c r="CL160" s="345"/>
      <c r="CM160" s="345"/>
      <c r="CN160" s="345"/>
      <c r="CO160" s="345"/>
      <c r="CP160" s="345"/>
      <c r="CQ160" s="345"/>
      <c r="CR160" s="345"/>
      <c r="CS160" s="345"/>
      <c r="CT160" s="345"/>
      <c r="CU160" s="345"/>
      <c r="CV160" s="345"/>
      <c r="CW160" s="345"/>
      <c r="CX160" s="345"/>
      <c r="CY160" s="345"/>
      <c r="CZ160" s="345"/>
      <c r="DA160" s="345"/>
      <c r="DB160" s="345"/>
      <c r="DC160" s="345"/>
      <c r="DD160" s="345"/>
      <c r="DE160" s="345"/>
      <c r="DF160" s="345"/>
      <c r="DG160" s="345"/>
      <c r="DH160" s="345"/>
      <c r="DI160" s="345"/>
      <c r="DJ160" s="345"/>
      <c r="DK160" s="345"/>
      <c r="DL160" s="345"/>
      <c r="DM160" s="345"/>
      <c r="DN160" s="345"/>
      <c r="DO160" s="345"/>
      <c r="DP160" s="345"/>
    </row>
    <row r="161" spans="10:120" x14ac:dyDescent="0.3">
      <c r="J161" s="345"/>
      <c r="K161" s="345"/>
      <c r="L161" s="345"/>
      <c r="M161" s="345"/>
      <c r="N161" s="345"/>
      <c r="O161" s="345"/>
      <c r="P161" s="345"/>
      <c r="Q161" s="345"/>
      <c r="R161" s="345"/>
      <c r="S161" s="345"/>
      <c r="T161" s="345"/>
      <c r="U161" s="345"/>
      <c r="V161" s="345"/>
      <c r="W161" s="345"/>
      <c r="X161" s="345"/>
      <c r="Y161" s="345"/>
      <c r="Z161" s="345"/>
      <c r="AA161" s="345"/>
      <c r="AB161" s="345"/>
      <c r="AC161" s="345"/>
      <c r="AD161" s="345"/>
      <c r="AE161" s="345"/>
      <c r="AF161" s="345"/>
      <c r="AG161" s="345"/>
      <c r="AH161" s="345"/>
      <c r="AI161" s="345"/>
      <c r="AJ161" s="345"/>
      <c r="AK161" s="345"/>
      <c r="AL161" s="345"/>
      <c r="AM161" s="345"/>
      <c r="AN161" s="345"/>
      <c r="AO161" s="345"/>
      <c r="AP161" s="345"/>
      <c r="AQ161" s="345"/>
      <c r="AR161" s="345"/>
      <c r="AS161" s="345"/>
      <c r="AT161" s="345"/>
      <c r="AU161" s="345"/>
      <c r="AV161" s="345"/>
      <c r="AW161" s="345"/>
      <c r="AX161" s="345"/>
      <c r="AY161" s="345"/>
      <c r="AZ161" s="345"/>
      <c r="BA161" s="345"/>
      <c r="BB161" s="345"/>
      <c r="BC161" s="345"/>
      <c r="BD161" s="345"/>
      <c r="BE161" s="345"/>
      <c r="BF161" s="345"/>
      <c r="BG161" s="345"/>
      <c r="BH161" s="345"/>
      <c r="BI161" s="345"/>
      <c r="BJ161" s="345"/>
      <c r="BK161" s="345"/>
      <c r="BL161" s="345"/>
      <c r="BM161" s="345"/>
      <c r="BN161" s="345"/>
      <c r="BO161" s="345"/>
      <c r="BP161" s="345"/>
      <c r="BQ161" s="345"/>
      <c r="BR161" s="345"/>
      <c r="BS161" s="345"/>
      <c r="BT161" s="345"/>
      <c r="BU161" s="345"/>
      <c r="BV161" s="345"/>
      <c r="BW161" s="345"/>
      <c r="BX161" s="345"/>
      <c r="BY161" s="345"/>
      <c r="BZ161" s="345"/>
      <c r="CA161" s="345"/>
      <c r="CB161" s="345"/>
      <c r="CC161" s="345"/>
      <c r="CD161" s="345"/>
      <c r="CE161" s="345"/>
      <c r="CF161" s="345"/>
      <c r="CG161" s="345"/>
      <c r="CH161" s="345"/>
      <c r="CI161" s="345"/>
      <c r="CJ161" s="345"/>
      <c r="CK161" s="345"/>
      <c r="CL161" s="345"/>
      <c r="CM161" s="345"/>
      <c r="CN161" s="345"/>
      <c r="CO161" s="345"/>
      <c r="CP161" s="345"/>
      <c r="CQ161" s="345"/>
      <c r="CR161" s="345"/>
      <c r="CS161" s="345"/>
      <c r="CT161" s="345"/>
      <c r="CU161" s="345"/>
      <c r="CV161" s="345"/>
      <c r="CW161" s="345"/>
      <c r="CX161" s="345"/>
      <c r="CY161" s="345"/>
      <c r="CZ161" s="345"/>
      <c r="DA161" s="345"/>
      <c r="DB161" s="345"/>
      <c r="DC161" s="345"/>
      <c r="DD161" s="345"/>
      <c r="DE161" s="345"/>
      <c r="DF161" s="345"/>
      <c r="DG161" s="345"/>
      <c r="DH161" s="345"/>
      <c r="DI161" s="345"/>
      <c r="DJ161" s="345"/>
      <c r="DK161" s="345"/>
      <c r="DL161" s="345"/>
      <c r="DM161" s="345"/>
      <c r="DN161" s="345"/>
      <c r="DO161" s="345"/>
      <c r="DP161" s="345"/>
    </row>
    <row r="162" spans="10:120" x14ac:dyDescent="0.3">
      <c r="J162" s="345"/>
      <c r="K162" s="345"/>
      <c r="L162" s="345"/>
      <c r="M162" s="345"/>
      <c r="N162" s="345"/>
      <c r="O162" s="345"/>
      <c r="P162" s="345"/>
      <c r="Q162" s="345"/>
      <c r="R162" s="345"/>
      <c r="S162" s="345"/>
      <c r="T162" s="345"/>
      <c r="U162" s="345"/>
      <c r="V162" s="345"/>
      <c r="W162" s="345"/>
      <c r="X162" s="345"/>
      <c r="Y162" s="345"/>
      <c r="Z162" s="345"/>
      <c r="AA162" s="345"/>
      <c r="AB162" s="345"/>
      <c r="AC162" s="345"/>
      <c r="AD162" s="345"/>
      <c r="AE162" s="345"/>
      <c r="AF162" s="345"/>
      <c r="AG162" s="345"/>
      <c r="AH162" s="345"/>
      <c r="AI162" s="345"/>
      <c r="AJ162" s="345"/>
      <c r="AK162" s="345"/>
      <c r="AL162" s="345"/>
      <c r="AM162" s="345"/>
      <c r="AN162" s="345"/>
      <c r="AO162" s="345"/>
      <c r="AP162" s="345"/>
      <c r="AQ162" s="345"/>
      <c r="AR162" s="345"/>
      <c r="AS162" s="345"/>
      <c r="AT162" s="345"/>
      <c r="AU162" s="345"/>
      <c r="AV162" s="345"/>
      <c r="AW162" s="345"/>
      <c r="AX162" s="345"/>
      <c r="AY162" s="345"/>
      <c r="AZ162" s="345"/>
      <c r="BA162" s="345"/>
      <c r="BB162" s="345"/>
      <c r="BC162" s="345"/>
      <c r="BD162" s="345"/>
      <c r="BE162" s="345"/>
      <c r="BF162" s="345"/>
      <c r="BG162" s="345"/>
      <c r="BH162" s="345"/>
      <c r="BI162" s="345"/>
      <c r="BJ162" s="345"/>
      <c r="BK162" s="345"/>
      <c r="BL162" s="345"/>
      <c r="BM162" s="345"/>
      <c r="BN162" s="345"/>
      <c r="BO162" s="345"/>
      <c r="BP162" s="345"/>
      <c r="BQ162" s="345"/>
      <c r="BR162" s="345"/>
      <c r="BS162" s="345"/>
      <c r="BT162" s="345"/>
      <c r="BU162" s="345"/>
      <c r="BV162" s="345"/>
      <c r="BW162" s="345"/>
      <c r="BX162" s="345"/>
      <c r="BY162" s="345"/>
      <c r="BZ162" s="345"/>
      <c r="CA162" s="345"/>
      <c r="CB162" s="345"/>
      <c r="CC162" s="345"/>
      <c r="CD162" s="345"/>
      <c r="CE162" s="345"/>
      <c r="CF162" s="345"/>
      <c r="CG162" s="345"/>
      <c r="CH162" s="345"/>
      <c r="CI162" s="345"/>
      <c r="CJ162" s="345"/>
      <c r="CK162" s="345"/>
      <c r="CL162" s="345"/>
      <c r="CM162" s="345"/>
      <c r="CN162" s="345"/>
      <c r="CO162" s="345"/>
      <c r="CP162" s="345"/>
      <c r="CQ162" s="345"/>
      <c r="CR162" s="345"/>
      <c r="CS162" s="345"/>
      <c r="CT162" s="345"/>
      <c r="CU162" s="345"/>
      <c r="CV162" s="345"/>
      <c r="CW162" s="345"/>
      <c r="CX162" s="345"/>
      <c r="CY162" s="345"/>
      <c r="CZ162" s="345"/>
      <c r="DA162" s="345"/>
      <c r="DB162" s="345"/>
      <c r="DC162" s="345"/>
      <c r="DD162" s="345"/>
      <c r="DE162" s="345"/>
      <c r="DF162" s="345"/>
      <c r="DG162" s="345"/>
      <c r="DH162" s="345"/>
      <c r="DI162" s="345"/>
      <c r="DJ162" s="345"/>
      <c r="DK162" s="345"/>
      <c r="DL162" s="345"/>
      <c r="DM162" s="345"/>
      <c r="DN162" s="345"/>
      <c r="DO162" s="345"/>
      <c r="DP162" s="345"/>
    </row>
    <row r="163" spans="10:120" x14ac:dyDescent="0.3">
      <c r="J163" s="345"/>
      <c r="K163" s="345"/>
      <c r="L163" s="345"/>
      <c r="M163" s="345"/>
      <c r="N163" s="345"/>
      <c r="O163" s="345"/>
      <c r="P163" s="345"/>
      <c r="Q163" s="345"/>
      <c r="R163" s="345"/>
      <c r="S163" s="345"/>
      <c r="T163" s="345"/>
      <c r="U163" s="345"/>
      <c r="V163" s="345"/>
      <c r="W163" s="345"/>
      <c r="X163" s="345"/>
      <c r="Y163" s="345"/>
      <c r="Z163" s="345"/>
      <c r="AA163" s="345"/>
      <c r="AB163" s="345"/>
      <c r="AC163" s="345"/>
      <c r="AD163" s="345"/>
      <c r="AE163" s="345"/>
      <c r="AF163" s="345"/>
      <c r="AG163" s="345"/>
      <c r="AH163" s="345"/>
      <c r="AI163" s="345"/>
      <c r="AJ163" s="345"/>
      <c r="AK163" s="345"/>
      <c r="AL163" s="345"/>
      <c r="AM163" s="345"/>
      <c r="AN163" s="345"/>
      <c r="AO163" s="345"/>
      <c r="AP163" s="345"/>
      <c r="AQ163" s="345"/>
      <c r="AR163" s="345"/>
      <c r="AS163" s="345"/>
      <c r="AT163" s="345"/>
      <c r="AU163" s="345"/>
      <c r="AV163" s="345"/>
      <c r="AW163" s="345"/>
      <c r="AX163" s="345"/>
      <c r="AY163" s="345"/>
      <c r="AZ163" s="345"/>
      <c r="BA163" s="345"/>
      <c r="BB163" s="345"/>
      <c r="BC163" s="345"/>
      <c r="BD163" s="345"/>
      <c r="BE163" s="345"/>
      <c r="BF163" s="345"/>
      <c r="BG163" s="345"/>
      <c r="BH163" s="345"/>
      <c r="BI163" s="345"/>
      <c r="BJ163" s="345"/>
      <c r="BK163" s="345"/>
      <c r="BL163" s="345"/>
      <c r="BM163" s="345"/>
      <c r="BN163" s="345"/>
      <c r="BO163" s="345"/>
      <c r="BP163" s="345"/>
      <c r="BQ163" s="345"/>
      <c r="BR163" s="345"/>
      <c r="BS163" s="345"/>
      <c r="BT163" s="345"/>
      <c r="BU163" s="345"/>
      <c r="BV163" s="345"/>
      <c r="BW163" s="345"/>
      <c r="BX163" s="345"/>
      <c r="BY163" s="345"/>
      <c r="BZ163" s="345"/>
      <c r="CA163" s="345"/>
      <c r="CB163" s="345"/>
      <c r="CC163" s="345"/>
      <c r="CD163" s="345"/>
      <c r="CE163" s="345"/>
      <c r="CF163" s="345"/>
      <c r="CG163" s="345"/>
      <c r="CH163" s="345"/>
      <c r="CI163" s="345"/>
      <c r="CJ163" s="345"/>
      <c r="CK163" s="345"/>
      <c r="CL163" s="345"/>
      <c r="CM163" s="345"/>
      <c r="CN163" s="345"/>
      <c r="CO163" s="345"/>
      <c r="CP163" s="345"/>
      <c r="CQ163" s="345"/>
      <c r="CR163" s="345"/>
      <c r="CS163" s="345"/>
      <c r="CT163" s="345"/>
      <c r="CU163" s="345"/>
      <c r="CV163" s="345"/>
      <c r="CW163" s="345"/>
      <c r="CX163" s="345"/>
      <c r="CY163" s="345"/>
      <c r="CZ163" s="345"/>
      <c r="DA163" s="345"/>
      <c r="DB163" s="345"/>
      <c r="DC163" s="345"/>
      <c r="DD163" s="345"/>
      <c r="DE163" s="345"/>
      <c r="DF163" s="345"/>
      <c r="DG163" s="345"/>
      <c r="DH163" s="345"/>
      <c r="DI163" s="345"/>
      <c r="DJ163" s="345"/>
      <c r="DK163" s="345"/>
      <c r="DL163" s="345"/>
      <c r="DM163" s="345"/>
      <c r="DN163" s="345"/>
      <c r="DO163" s="345"/>
      <c r="DP163" s="345"/>
    </row>
    <row r="164" spans="10:120" x14ac:dyDescent="0.3">
      <c r="J164" s="345"/>
      <c r="K164" s="345"/>
      <c r="L164" s="345"/>
      <c r="M164" s="345"/>
      <c r="N164" s="345"/>
      <c r="O164" s="345"/>
      <c r="P164" s="345"/>
      <c r="Q164" s="345"/>
      <c r="R164" s="345"/>
      <c r="S164" s="345"/>
      <c r="T164" s="345"/>
      <c r="U164" s="345"/>
      <c r="V164" s="345"/>
      <c r="W164" s="345"/>
      <c r="X164" s="345"/>
      <c r="Y164" s="345"/>
      <c r="Z164" s="345"/>
      <c r="AA164" s="345"/>
      <c r="AB164" s="345"/>
      <c r="AC164" s="345"/>
      <c r="AD164" s="345"/>
      <c r="AE164" s="345"/>
      <c r="AF164" s="345"/>
      <c r="AG164" s="345"/>
      <c r="AH164" s="345"/>
      <c r="AI164" s="345"/>
      <c r="AJ164" s="345"/>
      <c r="AK164" s="345"/>
      <c r="AL164" s="345"/>
      <c r="AM164" s="345"/>
      <c r="AN164" s="345"/>
      <c r="AO164" s="345"/>
      <c r="AP164" s="345"/>
      <c r="AQ164" s="345"/>
      <c r="AR164" s="345"/>
      <c r="AS164" s="345"/>
      <c r="AT164" s="345"/>
      <c r="AU164" s="345"/>
      <c r="AV164" s="345"/>
      <c r="AW164" s="345"/>
      <c r="AX164" s="345"/>
      <c r="AY164" s="345"/>
      <c r="AZ164" s="345"/>
      <c r="BA164" s="345"/>
      <c r="BB164" s="345"/>
      <c r="BC164" s="345"/>
      <c r="BD164" s="345"/>
      <c r="BE164" s="345"/>
      <c r="BF164" s="345"/>
      <c r="BG164" s="345"/>
      <c r="BH164" s="345"/>
      <c r="BI164" s="345"/>
      <c r="BJ164" s="345"/>
      <c r="BK164" s="345"/>
      <c r="BL164" s="345"/>
      <c r="BM164" s="345"/>
      <c r="BN164" s="345"/>
      <c r="BO164" s="345"/>
      <c r="BP164" s="345"/>
      <c r="BQ164" s="345"/>
      <c r="BR164" s="345"/>
      <c r="BS164" s="345"/>
      <c r="BT164" s="345"/>
      <c r="BU164" s="345"/>
      <c r="BV164" s="345"/>
      <c r="BW164" s="345"/>
      <c r="BX164" s="345"/>
      <c r="BY164" s="345"/>
      <c r="BZ164" s="345"/>
      <c r="CA164" s="345"/>
      <c r="CB164" s="345"/>
      <c r="CC164" s="345"/>
      <c r="CD164" s="345"/>
      <c r="CE164" s="345"/>
      <c r="CF164" s="345"/>
      <c r="CG164" s="345"/>
      <c r="CH164" s="345"/>
      <c r="CI164" s="345"/>
      <c r="CJ164" s="345"/>
      <c r="CK164" s="345"/>
      <c r="CL164" s="345"/>
      <c r="CM164" s="345"/>
      <c r="CN164" s="345"/>
      <c r="CO164" s="345"/>
      <c r="CP164" s="345"/>
      <c r="CQ164" s="345"/>
      <c r="CR164" s="345"/>
      <c r="CS164" s="345"/>
      <c r="CT164" s="345"/>
      <c r="CU164" s="345"/>
      <c r="CV164" s="345"/>
      <c r="CW164" s="345"/>
      <c r="CX164" s="345"/>
      <c r="CY164" s="345"/>
      <c r="CZ164" s="345"/>
      <c r="DA164" s="345"/>
      <c r="DB164" s="345"/>
      <c r="DC164" s="345"/>
      <c r="DD164" s="345"/>
      <c r="DE164" s="345"/>
      <c r="DF164" s="345"/>
      <c r="DG164" s="345"/>
      <c r="DH164" s="345"/>
      <c r="DI164" s="345"/>
      <c r="DJ164" s="345"/>
      <c r="DK164" s="345"/>
      <c r="DL164" s="345"/>
      <c r="DM164" s="345"/>
      <c r="DN164" s="345"/>
      <c r="DO164" s="345"/>
      <c r="DP164" s="345"/>
    </row>
  </sheetData>
  <mergeCells count="9">
    <mergeCell ref="CE3:CP3"/>
    <mergeCell ref="CQ3:DB3"/>
    <mergeCell ref="DC3:DN3"/>
    <mergeCell ref="K3:V3"/>
    <mergeCell ref="W3:AH3"/>
    <mergeCell ref="AI3:AT3"/>
    <mergeCell ref="AU3:BF3"/>
    <mergeCell ref="BG3:BR3"/>
    <mergeCell ref="BS3:CD3"/>
  </mergeCells>
  <phoneticPr fontId="13" type="noConversion"/>
  <pageMargins left="0.2" right="0.2" top="0.75" bottom="0.75" header="0.3" footer="0.3"/>
  <pageSetup paperSize="5" scale="67" fitToWidth="2" fitToHeight="2" orientation="landscape" r:id="rId1"/>
  <headerFooter>
    <oddHeader>&amp;C&amp;"Arial,Bold"&amp;12 2400 Enfield
Monthly Cash Flows</oddHeader>
  </headerFooter>
  <ignoredErrors>
    <ignoredError sqref="W8 AI8 AU8 BG8 BS8 CE8 CQ8 DC8" formula="1"/>
    <ignoredError sqref="L118" evalError="1"/>
  </ignoredErrors>
  <legacy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8B9DD4-904E-4017-AF6F-E1CF95123293}">
  <dimension ref="B3:Z24"/>
  <sheetViews>
    <sheetView workbookViewId="0"/>
  </sheetViews>
  <sheetFormatPr defaultColWidth="9.109375" defaultRowHeight="13.8" x14ac:dyDescent="0.3"/>
  <cols>
    <col min="1" max="1" width="1.77734375" style="543" customWidth="1"/>
    <col min="2" max="2" width="26" style="543" bestFit="1" customWidth="1"/>
    <col min="3" max="3" width="11" style="543" bestFit="1" customWidth="1"/>
    <col min="4" max="4" width="10.109375" style="543" bestFit="1" customWidth="1"/>
    <col min="5" max="5" width="9.109375" style="543"/>
    <col min="6" max="7" width="10.109375" style="543" bestFit="1" customWidth="1"/>
    <col min="8" max="8" width="11" style="543" bestFit="1" customWidth="1"/>
    <col min="9" max="16384" width="9.109375" style="543"/>
  </cols>
  <sheetData>
    <row r="3" spans="2:26" x14ac:dyDescent="0.3">
      <c r="B3" s="722" t="s">
        <v>864</v>
      </c>
      <c r="C3" s="722" t="s">
        <v>866</v>
      </c>
      <c r="D3" s="722" t="s">
        <v>867</v>
      </c>
    </row>
    <row r="4" spans="2:26" x14ac:dyDescent="0.3">
      <c r="B4" s="545" t="s">
        <v>830</v>
      </c>
      <c r="C4" s="855">
        <v>65000</v>
      </c>
    </row>
    <row r="5" spans="2:26" x14ac:dyDescent="0.3">
      <c r="B5" s="545" t="s">
        <v>831</v>
      </c>
      <c r="C5" s="855">
        <v>60000</v>
      </c>
    </row>
    <row r="6" spans="2:26" x14ac:dyDescent="0.3">
      <c r="B6" s="545" t="s">
        <v>868</v>
      </c>
      <c r="D6" s="856">
        <v>20</v>
      </c>
    </row>
    <row r="7" spans="2:26" x14ac:dyDescent="0.3">
      <c r="B7" s="545" t="s">
        <v>869</v>
      </c>
      <c r="D7" s="961">
        <f>D6</f>
        <v>20</v>
      </c>
    </row>
    <row r="10" spans="2:26" x14ac:dyDescent="0.3">
      <c r="C10" s="860">
        <v>0.25</v>
      </c>
      <c r="D10" s="860">
        <v>0.29166666666666702</v>
      </c>
      <c r="E10" s="860">
        <v>0.33333333333333298</v>
      </c>
      <c r="F10" s="860">
        <v>0.375</v>
      </c>
      <c r="G10" s="860">
        <v>0.41666666666666702</v>
      </c>
      <c r="H10" s="860">
        <v>0.45833333333333298</v>
      </c>
      <c r="I10" s="860">
        <v>0.5</v>
      </c>
      <c r="J10" s="860">
        <v>0.54166666666666696</v>
      </c>
      <c r="K10" s="860">
        <v>0.58333333333333304</v>
      </c>
      <c r="L10" s="860">
        <v>0.625</v>
      </c>
      <c r="M10" s="860">
        <v>0.66666666666666696</v>
      </c>
      <c r="N10" s="860">
        <v>0.70833333333333304</v>
      </c>
      <c r="O10" s="860">
        <v>0.75</v>
      </c>
      <c r="P10" s="860">
        <v>0.79166666666666696</v>
      </c>
      <c r="Q10" s="860">
        <v>0.83333333333333304</v>
      </c>
      <c r="R10" s="860">
        <v>0.875</v>
      </c>
      <c r="S10" s="860">
        <v>0.91666666666666696</v>
      </c>
      <c r="T10" s="860">
        <v>0.95833333333333304</v>
      </c>
      <c r="U10" s="860">
        <v>1</v>
      </c>
      <c r="V10" s="860">
        <v>1.0416666666666701</v>
      </c>
      <c r="W10" s="860">
        <v>1.0833333333333299</v>
      </c>
      <c r="X10" s="860">
        <v>1.125</v>
      </c>
      <c r="Y10" s="860">
        <v>1.1666666666666701</v>
      </c>
      <c r="Z10" s="861">
        <v>1.2083333333333299</v>
      </c>
    </row>
    <row r="11" spans="2:26" x14ac:dyDescent="0.3">
      <c r="B11" s="741" t="str">
        <f>B4</f>
        <v>Community Manager</v>
      </c>
      <c r="C11" s="857"/>
      <c r="D11" s="863"/>
      <c r="E11" s="862"/>
      <c r="F11" s="862">
        <v>1</v>
      </c>
      <c r="G11" s="862">
        <v>1</v>
      </c>
      <c r="H11" s="862">
        <v>1</v>
      </c>
      <c r="I11" s="862">
        <v>1</v>
      </c>
      <c r="J11" s="862"/>
      <c r="K11" s="862">
        <v>1</v>
      </c>
      <c r="L11" s="862">
        <v>1</v>
      </c>
      <c r="M11" s="862">
        <v>1</v>
      </c>
      <c r="N11" s="862">
        <v>1</v>
      </c>
      <c r="O11" s="862"/>
      <c r="P11" s="863"/>
      <c r="Q11" s="858"/>
      <c r="R11" s="858"/>
      <c r="S11" s="858"/>
      <c r="T11" s="858"/>
      <c r="U11" s="858"/>
      <c r="V11" s="858"/>
      <c r="W11" s="858"/>
      <c r="X11" s="858"/>
      <c r="Y11" s="858"/>
      <c r="Z11" s="859"/>
    </row>
    <row r="12" spans="2:26" x14ac:dyDescent="0.3">
      <c r="B12" s="741" t="str">
        <f>B5</f>
        <v>Maintenance</v>
      </c>
      <c r="C12" s="864"/>
      <c r="D12" s="865"/>
      <c r="E12" s="865">
        <v>1</v>
      </c>
      <c r="F12" s="865">
        <v>1</v>
      </c>
      <c r="G12" s="865">
        <v>1</v>
      </c>
      <c r="H12" s="865">
        <v>1</v>
      </c>
      <c r="I12" s="865"/>
      <c r="J12" s="865"/>
      <c r="K12" s="865">
        <v>1</v>
      </c>
      <c r="L12" s="865">
        <v>1</v>
      </c>
      <c r="M12" s="865">
        <v>1</v>
      </c>
      <c r="N12" s="865">
        <v>1</v>
      </c>
      <c r="O12" s="865">
        <v>1</v>
      </c>
      <c r="P12" s="865">
        <v>1</v>
      </c>
      <c r="Q12" s="545"/>
      <c r="R12" s="545"/>
      <c r="S12" s="545"/>
      <c r="T12" s="545"/>
      <c r="U12" s="545"/>
      <c r="V12" s="545"/>
      <c r="W12" s="545"/>
      <c r="X12" s="545"/>
      <c r="Y12" s="545"/>
      <c r="Z12" s="866"/>
    </row>
    <row r="13" spans="2:26" x14ac:dyDescent="0.3">
      <c r="B13" s="741" t="str">
        <f>B6</f>
        <v>Convenience Store Employee #1</v>
      </c>
      <c r="C13" s="867"/>
      <c r="D13" s="865"/>
      <c r="E13" s="865">
        <v>1</v>
      </c>
      <c r="F13" s="865">
        <v>1</v>
      </c>
      <c r="G13" s="865">
        <v>1</v>
      </c>
      <c r="H13" s="865">
        <v>1</v>
      </c>
      <c r="I13" s="865"/>
      <c r="J13" s="865">
        <v>1</v>
      </c>
      <c r="K13" s="865">
        <v>1</v>
      </c>
      <c r="L13" s="865">
        <v>1</v>
      </c>
      <c r="M13" s="865">
        <v>1</v>
      </c>
      <c r="N13" s="865"/>
      <c r="O13" s="865"/>
      <c r="P13" s="865"/>
      <c r="Q13" s="865"/>
      <c r="R13" s="865"/>
      <c r="S13" s="865"/>
      <c r="T13" s="865"/>
      <c r="U13" s="865"/>
      <c r="V13" s="865"/>
      <c r="W13" s="865"/>
      <c r="X13" s="865"/>
      <c r="Y13" s="865"/>
      <c r="Z13" s="866"/>
    </row>
    <row r="14" spans="2:26" x14ac:dyDescent="0.3">
      <c r="B14" s="741" t="str">
        <f>B7</f>
        <v>Convenience Store Employee #2</v>
      </c>
      <c r="C14" s="868"/>
      <c r="D14" s="871"/>
      <c r="E14" s="871"/>
      <c r="F14" s="871"/>
      <c r="G14" s="871"/>
      <c r="H14" s="871"/>
      <c r="I14" s="871"/>
      <c r="J14" s="871"/>
      <c r="K14" s="871"/>
      <c r="L14" s="871"/>
      <c r="M14" s="871">
        <v>1</v>
      </c>
      <c r="N14" s="871">
        <v>1</v>
      </c>
      <c r="O14" s="871">
        <v>1</v>
      </c>
      <c r="P14" s="871">
        <v>1</v>
      </c>
      <c r="Q14" s="869"/>
      <c r="R14" s="869"/>
      <c r="S14" s="869"/>
      <c r="T14" s="869"/>
      <c r="U14" s="869"/>
      <c r="V14" s="869"/>
      <c r="W14" s="869"/>
      <c r="X14" s="869"/>
      <c r="Y14" s="869"/>
      <c r="Z14" s="870"/>
    </row>
    <row r="17" spans="2:8" x14ac:dyDescent="0.3">
      <c r="C17" s="545" t="s">
        <v>870</v>
      </c>
      <c r="D17" s="545" t="s">
        <v>871</v>
      </c>
      <c r="E17" s="545" t="s">
        <v>872</v>
      </c>
      <c r="F17" s="869" t="s">
        <v>873</v>
      </c>
      <c r="G17" s="545" t="s">
        <v>867</v>
      </c>
      <c r="H17" s="545" t="s">
        <v>874</v>
      </c>
    </row>
    <row r="18" spans="2:8" x14ac:dyDescent="0.3">
      <c r="B18" s="741" t="str">
        <f>B4</f>
        <v>Community Manager</v>
      </c>
      <c r="C18" s="873">
        <f>COUNT(C11:Z11)</f>
        <v>8</v>
      </c>
      <c r="D18" s="862">
        <v>5</v>
      </c>
      <c r="E18" s="862">
        <v>50</v>
      </c>
      <c r="F18" s="962">
        <f>C18*D18*E18</f>
        <v>2000</v>
      </c>
      <c r="G18" s="858"/>
      <c r="H18" s="874">
        <f>C4</f>
        <v>65000</v>
      </c>
    </row>
    <row r="19" spans="2:8" x14ac:dyDescent="0.3">
      <c r="B19" s="741" t="str">
        <f>B5</f>
        <v>Maintenance</v>
      </c>
      <c r="C19" s="867">
        <f>COUNT(C12:Z12)</f>
        <v>10</v>
      </c>
      <c r="D19" s="545">
        <f>D18</f>
        <v>5</v>
      </c>
      <c r="E19" s="545">
        <f>E18</f>
        <v>50</v>
      </c>
      <c r="F19" s="962">
        <f t="shared" ref="F19:F21" si="0">C19*D19*E19</f>
        <v>2500</v>
      </c>
      <c r="H19" s="875">
        <f>C5</f>
        <v>60000</v>
      </c>
    </row>
    <row r="20" spans="2:8" x14ac:dyDescent="0.3">
      <c r="B20" s="741" t="str">
        <f>B6</f>
        <v>Convenience Store Employee #1</v>
      </c>
      <c r="C20" s="867">
        <f>COUNT(C13:Z13)</f>
        <v>8</v>
      </c>
      <c r="D20" s="545">
        <f t="shared" ref="D20:D21" si="1">D19</f>
        <v>5</v>
      </c>
      <c r="E20" s="545">
        <f t="shared" ref="E20:E21" si="2">E19</f>
        <v>50</v>
      </c>
      <c r="F20" s="962">
        <f t="shared" si="0"/>
        <v>2000</v>
      </c>
      <c r="G20" s="872">
        <f>D6</f>
        <v>20</v>
      </c>
      <c r="H20" s="875">
        <f>G20*E20*D20*C20</f>
        <v>40000</v>
      </c>
    </row>
    <row r="21" spans="2:8" x14ac:dyDescent="0.3">
      <c r="B21" s="741" t="str">
        <f>B7</f>
        <v>Convenience Store Employee #2</v>
      </c>
      <c r="C21" s="868">
        <f>COUNT(C14:Z14)</f>
        <v>4</v>
      </c>
      <c r="D21" s="869">
        <f t="shared" si="1"/>
        <v>5</v>
      </c>
      <c r="E21" s="869">
        <f t="shared" si="2"/>
        <v>50</v>
      </c>
      <c r="F21" s="963">
        <f t="shared" si="0"/>
        <v>1000</v>
      </c>
      <c r="G21" s="876">
        <f>D7</f>
        <v>20</v>
      </c>
      <c r="H21" s="877">
        <f t="shared" ref="H21" si="3">G21*E21*D21*C21</f>
        <v>20000</v>
      </c>
    </row>
    <row r="23" spans="2:8" x14ac:dyDescent="0.3">
      <c r="G23" s="741" t="s">
        <v>875</v>
      </c>
      <c r="H23" s="546">
        <f>SUM(H18:H21)</f>
        <v>185000</v>
      </c>
    </row>
    <row r="24" spans="2:8" x14ac:dyDescent="0.3">
      <c r="G24" s="741" t="s">
        <v>876</v>
      </c>
      <c r="H24" s="872">
        <f>H23/12</f>
        <v>15416.666666666666</v>
      </c>
    </row>
  </sheetData>
  <phoneticPr fontId="1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ED42F-9AAA-4795-94E7-BA61D75211C5}">
  <dimension ref="C1:DP38"/>
  <sheetViews>
    <sheetView zoomScaleNormal="100" workbookViewId="0">
      <selection activeCell="J3" sqref="J3"/>
    </sheetView>
  </sheetViews>
  <sheetFormatPr defaultColWidth="9.109375" defaultRowHeight="13.8" x14ac:dyDescent="0.3"/>
  <cols>
    <col min="1" max="2" width="1.77734375" style="323" customWidth="1"/>
    <col min="3" max="3" width="1.77734375" style="375" customWidth="1"/>
    <col min="4" max="4" width="31.44140625" style="323" bestFit="1" customWidth="1"/>
    <col min="5" max="5" width="8" style="323" customWidth="1"/>
    <col min="6" max="6" width="11" style="323" bestFit="1" customWidth="1"/>
    <col min="7" max="7" width="9.109375" style="323"/>
    <col min="8" max="8" width="1.77734375" style="323" customWidth="1"/>
    <col min="9" max="9" width="12" style="323" bestFit="1" customWidth="1"/>
    <col min="10" max="18" width="11.21875" style="323" customWidth="1"/>
    <col min="19" max="19" width="11" style="323" bestFit="1" customWidth="1"/>
    <col min="20" max="25" width="9.44140625" style="323" bestFit="1" customWidth="1"/>
    <col min="26" max="26" width="9.5546875" style="323" bestFit="1" customWidth="1"/>
    <col min="27" max="32" width="9.44140625" style="323" bestFit="1" customWidth="1"/>
    <col min="33" max="33" width="9.5546875" style="323" bestFit="1" customWidth="1"/>
    <col min="34" max="39" width="9.44140625" style="323" bestFit="1" customWidth="1"/>
    <col min="40" max="40" width="9.5546875" style="323" bestFit="1" customWidth="1"/>
    <col min="41" max="46" width="9.44140625" style="323" bestFit="1" customWidth="1"/>
    <col min="47" max="51" width="9.109375" style="323"/>
    <col min="52" max="54" width="9.77734375" style="323" bestFit="1" customWidth="1"/>
    <col min="55" max="63" width="9.109375" style="323"/>
    <col min="64" max="66" width="9.77734375" style="323" bestFit="1" customWidth="1"/>
    <col min="67" max="75" width="9.109375" style="323"/>
    <col min="76" max="78" width="9.77734375" style="323" bestFit="1" customWidth="1"/>
    <col min="79" max="87" width="9.109375" style="323"/>
    <col min="88" max="90" width="9.77734375" style="323" bestFit="1" customWidth="1"/>
    <col min="91" max="99" width="9.109375" style="323"/>
    <col min="100" max="102" width="9.77734375" style="323" bestFit="1" customWidth="1"/>
    <col min="103" max="111" width="9.109375" style="323"/>
    <col min="112" max="114" width="9.77734375" style="323" bestFit="1" customWidth="1"/>
    <col min="115" max="118" width="9.109375" style="323"/>
    <col min="119" max="119" width="1.77734375" style="323" customWidth="1"/>
    <col min="120" max="120" width="12" style="323" bestFit="1" customWidth="1"/>
    <col min="121" max="16384" width="9.109375" style="323"/>
  </cols>
  <sheetData>
    <row r="1" spans="3:120" ht="14.4" thickBot="1" x14ac:dyDescent="0.35"/>
    <row r="2" spans="3:120" s="375" customFormat="1" ht="14.4" thickBot="1" x14ac:dyDescent="0.35">
      <c r="J2" s="337" t="s">
        <v>901</v>
      </c>
      <c r="K2" s="1009" t="str">
        <f>Monthly!K3</f>
        <v>Year 1</v>
      </c>
      <c r="L2" s="1010"/>
      <c r="M2" s="1010"/>
      <c r="N2" s="1010"/>
      <c r="O2" s="1010"/>
      <c r="P2" s="1010"/>
      <c r="Q2" s="1010"/>
      <c r="R2" s="1010"/>
      <c r="S2" s="1010"/>
      <c r="T2" s="1010"/>
      <c r="U2" s="1010"/>
      <c r="V2" s="1011"/>
      <c r="W2" s="1009" t="str">
        <f>Monthly!W3</f>
        <v>Year 2</v>
      </c>
      <c r="X2" s="1010"/>
      <c r="Y2" s="1010"/>
      <c r="Z2" s="1010"/>
      <c r="AA2" s="1010"/>
      <c r="AB2" s="1010"/>
      <c r="AC2" s="1010"/>
      <c r="AD2" s="1010"/>
      <c r="AE2" s="1010"/>
      <c r="AF2" s="1010"/>
      <c r="AG2" s="1010"/>
      <c r="AH2" s="1011"/>
      <c r="AI2" s="1009" t="str">
        <f>Monthly!AI3</f>
        <v>Year 3</v>
      </c>
      <c r="AJ2" s="1010"/>
      <c r="AK2" s="1010"/>
      <c r="AL2" s="1010"/>
      <c r="AM2" s="1010"/>
      <c r="AN2" s="1010"/>
      <c r="AO2" s="1010"/>
      <c r="AP2" s="1010"/>
      <c r="AQ2" s="1010"/>
      <c r="AR2" s="1010"/>
      <c r="AS2" s="1010"/>
      <c r="AT2" s="1011"/>
      <c r="AU2" s="1009" t="str">
        <f>Monthly!AU3</f>
        <v>Year 4</v>
      </c>
      <c r="AV2" s="1010"/>
      <c r="AW2" s="1010"/>
      <c r="AX2" s="1010"/>
      <c r="AY2" s="1010"/>
      <c r="AZ2" s="1010"/>
      <c r="BA2" s="1010"/>
      <c r="BB2" s="1010"/>
      <c r="BC2" s="1010"/>
      <c r="BD2" s="1010"/>
      <c r="BE2" s="1010"/>
      <c r="BF2" s="1011"/>
      <c r="BG2" s="1009" t="str">
        <f>Monthly!BG3</f>
        <v>Year 5</v>
      </c>
      <c r="BH2" s="1010"/>
      <c r="BI2" s="1010"/>
      <c r="BJ2" s="1010"/>
      <c r="BK2" s="1010"/>
      <c r="BL2" s="1010"/>
      <c r="BM2" s="1010"/>
      <c r="BN2" s="1010"/>
      <c r="BO2" s="1010"/>
      <c r="BP2" s="1010"/>
      <c r="BQ2" s="1010"/>
      <c r="BR2" s="1011"/>
      <c r="BS2" s="1009" t="str">
        <f>Monthly!BS3</f>
        <v>Year 6</v>
      </c>
      <c r="BT2" s="1010"/>
      <c r="BU2" s="1010"/>
      <c r="BV2" s="1010"/>
      <c r="BW2" s="1010"/>
      <c r="BX2" s="1010"/>
      <c r="BY2" s="1010"/>
      <c r="BZ2" s="1010"/>
      <c r="CA2" s="1010"/>
      <c r="CB2" s="1010"/>
      <c r="CC2" s="1010"/>
      <c r="CD2" s="1011"/>
      <c r="CE2" s="1009" t="str">
        <f>Monthly!CE3</f>
        <v>Year 7</v>
      </c>
      <c r="CF2" s="1010"/>
      <c r="CG2" s="1010"/>
      <c r="CH2" s="1010"/>
      <c r="CI2" s="1010"/>
      <c r="CJ2" s="1010"/>
      <c r="CK2" s="1010"/>
      <c r="CL2" s="1010"/>
      <c r="CM2" s="1010"/>
      <c r="CN2" s="1010"/>
      <c r="CO2" s="1010"/>
      <c r="CP2" s="1011"/>
      <c r="CQ2" s="1009" t="str">
        <f>Monthly!CQ3</f>
        <v>Year 8</v>
      </c>
      <c r="CR2" s="1010"/>
      <c r="CS2" s="1010"/>
      <c r="CT2" s="1010"/>
      <c r="CU2" s="1010"/>
      <c r="CV2" s="1010"/>
      <c r="CW2" s="1010"/>
      <c r="CX2" s="1010"/>
      <c r="CY2" s="1010"/>
      <c r="CZ2" s="1010"/>
      <c r="DA2" s="1010"/>
      <c r="DB2" s="1011"/>
      <c r="DC2" s="1009" t="str">
        <f>Monthly!DC3</f>
        <v>Year 9</v>
      </c>
      <c r="DD2" s="1010"/>
      <c r="DE2" s="1010"/>
      <c r="DF2" s="1010"/>
      <c r="DG2" s="1010"/>
      <c r="DH2" s="1010"/>
      <c r="DI2" s="1010"/>
      <c r="DJ2" s="1010"/>
      <c r="DK2" s="1010"/>
      <c r="DL2" s="1010"/>
      <c r="DM2" s="1010"/>
      <c r="DN2" s="1011"/>
    </row>
    <row r="3" spans="3:120" ht="14.4" thickBot="1" x14ac:dyDescent="0.35">
      <c r="C3" s="325"/>
      <c r="D3" s="327"/>
      <c r="E3" s="327"/>
      <c r="F3" s="327"/>
      <c r="G3" s="326" t="s">
        <v>117</v>
      </c>
      <c r="H3" s="327"/>
      <c r="I3" s="327"/>
      <c r="J3" s="891">
        <f>Monthly!J4</f>
        <v>45383</v>
      </c>
      <c r="K3" s="891">
        <f>Monthly!K4</f>
        <v>45413</v>
      </c>
      <c r="L3" s="891">
        <f>Monthly!L4</f>
        <v>45444</v>
      </c>
      <c r="M3" s="891">
        <f>Monthly!M4</f>
        <v>45474</v>
      </c>
      <c r="N3" s="891">
        <f>Monthly!N4</f>
        <v>45505</v>
      </c>
      <c r="O3" s="891">
        <f>Monthly!O4</f>
        <v>45536</v>
      </c>
      <c r="P3" s="891">
        <f>Monthly!P4</f>
        <v>45566</v>
      </c>
      <c r="Q3" s="891">
        <f>Monthly!Q4</f>
        <v>45597</v>
      </c>
      <c r="R3" s="891">
        <f>Monthly!R4</f>
        <v>45627</v>
      </c>
      <c r="S3" s="891">
        <f>Monthly!S4</f>
        <v>45658</v>
      </c>
      <c r="T3" s="891">
        <f>Monthly!T4</f>
        <v>45689</v>
      </c>
      <c r="U3" s="891">
        <f>Monthly!U4</f>
        <v>45717</v>
      </c>
      <c r="V3" s="891">
        <f>Monthly!V4</f>
        <v>45748</v>
      </c>
      <c r="W3" s="891">
        <f>Monthly!W4</f>
        <v>45778</v>
      </c>
      <c r="X3" s="891">
        <f>Monthly!X4</f>
        <v>45809</v>
      </c>
      <c r="Y3" s="891">
        <f>Monthly!Y4</f>
        <v>45839</v>
      </c>
      <c r="Z3" s="891">
        <f>Monthly!Z4</f>
        <v>45870</v>
      </c>
      <c r="AA3" s="891">
        <f>Monthly!AA4</f>
        <v>45901</v>
      </c>
      <c r="AB3" s="891">
        <f>Monthly!AB4</f>
        <v>45931</v>
      </c>
      <c r="AC3" s="891">
        <f>Monthly!AC4</f>
        <v>45962</v>
      </c>
      <c r="AD3" s="891">
        <f>Monthly!AD4</f>
        <v>45992</v>
      </c>
      <c r="AE3" s="891">
        <f>Monthly!AE4</f>
        <v>46023</v>
      </c>
      <c r="AF3" s="891">
        <f>Monthly!AF4</f>
        <v>46054</v>
      </c>
      <c r="AG3" s="891">
        <f>Monthly!AG4</f>
        <v>46082</v>
      </c>
      <c r="AH3" s="891">
        <f>Monthly!AH4</f>
        <v>46113</v>
      </c>
      <c r="AI3" s="891">
        <f>Monthly!AI4</f>
        <v>46143</v>
      </c>
      <c r="AJ3" s="891">
        <f>Monthly!AJ4</f>
        <v>46174</v>
      </c>
      <c r="AK3" s="891">
        <f>Monthly!AK4</f>
        <v>46204</v>
      </c>
      <c r="AL3" s="891">
        <f>Monthly!AL4</f>
        <v>46235</v>
      </c>
      <c r="AM3" s="891">
        <f>Monthly!AM4</f>
        <v>46266</v>
      </c>
      <c r="AN3" s="891">
        <f>Monthly!AN4</f>
        <v>46296</v>
      </c>
      <c r="AO3" s="891">
        <f>Monthly!AO4</f>
        <v>46327</v>
      </c>
      <c r="AP3" s="891">
        <f>Monthly!AP4</f>
        <v>46357</v>
      </c>
      <c r="AQ3" s="891">
        <f>Monthly!AQ4</f>
        <v>46388</v>
      </c>
      <c r="AR3" s="891">
        <f>Monthly!AR4</f>
        <v>46419</v>
      </c>
      <c r="AS3" s="891">
        <f>Monthly!AS4</f>
        <v>46447</v>
      </c>
      <c r="AT3" s="891">
        <f>Monthly!AT4</f>
        <v>46478</v>
      </c>
      <c r="AU3" s="891">
        <f>Monthly!AU4</f>
        <v>46508</v>
      </c>
      <c r="AV3" s="891">
        <f>Monthly!AV4</f>
        <v>46539</v>
      </c>
      <c r="AW3" s="891">
        <f>Monthly!AW4</f>
        <v>46569</v>
      </c>
      <c r="AX3" s="891">
        <f>Monthly!AX4</f>
        <v>46600</v>
      </c>
      <c r="AY3" s="891">
        <f>Monthly!AY4</f>
        <v>46631</v>
      </c>
      <c r="AZ3" s="891">
        <f>Monthly!AZ4</f>
        <v>46661</v>
      </c>
      <c r="BA3" s="891">
        <f>Monthly!BA4</f>
        <v>46692</v>
      </c>
      <c r="BB3" s="891">
        <f>Monthly!BB4</f>
        <v>46722</v>
      </c>
      <c r="BC3" s="891">
        <f>Monthly!BC4</f>
        <v>46753</v>
      </c>
      <c r="BD3" s="891">
        <f>Monthly!BD4</f>
        <v>46784</v>
      </c>
      <c r="BE3" s="891">
        <f>Monthly!BE4</f>
        <v>46813</v>
      </c>
      <c r="BF3" s="891">
        <f>Monthly!BF4</f>
        <v>46844</v>
      </c>
      <c r="BG3" s="891">
        <f>Monthly!BG4</f>
        <v>46874</v>
      </c>
      <c r="BH3" s="891">
        <f>Monthly!BH4</f>
        <v>46905</v>
      </c>
      <c r="BI3" s="891">
        <f>Monthly!BI4</f>
        <v>46935</v>
      </c>
      <c r="BJ3" s="891">
        <f>Monthly!BJ4</f>
        <v>46966</v>
      </c>
      <c r="BK3" s="891">
        <f>Monthly!BK4</f>
        <v>46997</v>
      </c>
      <c r="BL3" s="891">
        <f>Monthly!BL4</f>
        <v>47027</v>
      </c>
      <c r="BM3" s="891">
        <f>Monthly!BM4</f>
        <v>47058</v>
      </c>
      <c r="BN3" s="891">
        <f>Monthly!BN4</f>
        <v>47088</v>
      </c>
      <c r="BO3" s="891">
        <f>Monthly!BO4</f>
        <v>47119</v>
      </c>
      <c r="BP3" s="891">
        <f>Monthly!BP4</f>
        <v>47150</v>
      </c>
      <c r="BQ3" s="891">
        <f>Monthly!BQ4</f>
        <v>47178</v>
      </c>
      <c r="BR3" s="891">
        <f>Monthly!BR4</f>
        <v>47209</v>
      </c>
      <c r="BS3" s="891">
        <f>Monthly!BS4</f>
        <v>47239</v>
      </c>
      <c r="BT3" s="891">
        <f>Monthly!BT4</f>
        <v>47270</v>
      </c>
      <c r="BU3" s="891">
        <f>Monthly!BU4</f>
        <v>47300</v>
      </c>
      <c r="BV3" s="891">
        <f>Monthly!BV4</f>
        <v>47331</v>
      </c>
      <c r="BW3" s="891">
        <f>Monthly!BW4</f>
        <v>47362</v>
      </c>
      <c r="BX3" s="891">
        <f>Monthly!BX4</f>
        <v>47392</v>
      </c>
      <c r="BY3" s="891">
        <f>Monthly!BY4</f>
        <v>47423</v>
      </c>
      <c r="BZ3" s="891">
        <f>Monthly!BZ4</f>
        <v>47453</v>
      </c>
      <c r="CA3" s="891">
        <f>Monthly!CA4</f>
        <v>47484</v>
      </c>
      <c r="CB3" s="891">
        <f>Monthly!CB4</f>
        <v>47515</v>
      </c>
      <c r="CC3" s="891">
        <f>Monthly!CC4</f>
        <v>47543</v>
      </c>
      <c r="CD3" s="891">
        <f>Monthly!CD4</f>
        <v>47574</v>
      </c>
      <c r="CE3" s="891">
        <f>Monthly!CE4</f>
        <v>47604</v>
      </c>
      <c r="CF3" s="891">
        <f>Monthly!CF4</f>
        <v>47635</v>
      </c>
      <c r="CG3" s="891">
        <f>Monthly!CG4</f>
        <v>47665</v>
      </c>
      <c r="CH3" s="891">
        <f>Monthly!CH4</f>
        <v>47696</v>
      </c>
      <c r="CI3" s="891">
        <f>Monthly!CI4</f>
        <v>47727</v>
      </c>
      <c r="CJ3" s="891">
        <f>Monthly!CJ4</f>
        <v>47757</v>
      </c>
      <c r="CK3" s="891">
        <f>Monthly!CK4</f>
        <v>47788</v>
      </c>
      <c r="CL3" s="891">
        <f>Monthly!CL4</f>
        <v>47818</v>
      </c>
      <c r="CM3" s="891">
        <f>Monthly!CM4</f>
        <v>47849</v>
      </c>
      <c r="CN3" s="891">
        <f>Monthly!CN4</f>
        <v>47880</v>
      </c>
      <c r="CO3" s="891">
        <f>Monthly!CO4</f>
        <v>47908</v>
      </c>
      <c r="CP3" s="891">
        <f>Monthly!CP4</f>
        <v>47939</v>
      </c>
      <c r="CQ3" s="891">
        <f>Monthly!CQ4</f>
        <v>47969</v>
      </c>
      <c r="CR3" s="891">
        <f>Monthly!CR4</f>
        <v>48000</v>
      </c>
      <c r="CS3" s="891">
        <f>Monthly!CS4</f>
        <v>48030</v>
      </c>
      <c r="CT3" s="891">
        <f>Monthly!CT4</f>
        <v>48061</v>
      </c>
      <c r="CU3" s="891">
        <f>Monthly!CU4</f>
        <v>48092</v>
      </c>
      <c r="CV3" s="891">
        <f>Monthly!CV4</f>
        <v>48122</v>
      </c>
      <c r="CW3" s="891">
        <f>Monthly!CW4</f>
        <v>48153</v>
      </c>
      <c r="CX3" s="891">
        <f>Monthly!CX4</f>
        <v>48183</v>
      </c>
      <c r="CY3" s="891">
        <f>Monthly!CY4</f>
        <v>48214</v>
      </c>
      <c r="CZ3" s="891">
        <f>Monthly!CZ4</f>
        <v>48245</v>
      </c>
      <c r="DA3" s="891">
        <f>Monthly!DA4</f>
        <v>48274</v>
      </c>
      <c r="DB3" s="891">
        <f>Monthly!DB4</f>
        <v>48305</v>
      </c>
      <c r="DC3" s="891">
        <f>Monthly!DC4</f>
        <v>48335</v>
      </c>
      <c r="DD3" s="891">
        <f>Monthly!DD4</f>
        <v>48366</v>
      </c>
      <c r="DE3" s="891">
        <f>Monthly!DE4</f>
        <v>48396</v>
      </c>
      <c r="DF3" s="891">
        <f>Monthly!DF4</f>
        <v>48427</v>
      </c>
      <c r="DG3" s="891">
        <f>Monthly!DG4</f>
        <v>48458</v>
      </c>
      <c r="DH3" s="891">
        <f>Monthly!DH4</f>
        <v>48488</v>
      </c>
      <c r="DI3" s="891">
        <f>Monthly!DI4</f>
        <v>48519</v>
      </c>
      <c r="DJ3" s="891">
        <f>Monthly!DJ4</f>
        <v>48549</v>
      </c>
      <c r="DK3" s="891">
        <f>Monthly!DK4</f>
        <v>48580</v>
      </c>
      <c r="DL3" s="891">
        <f>Monthly!DL4</f>
        <v>48611</v>
      </c>
      <c r="DM3" s="891">
        <f>Monthly!DM4</f>
        <v>48639</v>
      </c>
      <c r="DN3" s="891">
        <f>Monthly!DN4</f>
        <v>48670</v>
      </c>
      <c r="DO3" s="327"/>
      <c r="DP3" s="326" t="s">
        <v>117</v>
      </c>
    </row>
    <row r="5" spans="3:120" x14ac:dyDescent="0.3">
      <c r="C5" s="489" t="s">
        <v>311</v>
      </c>
      <c r="D5" s="483"/>
      <c r="E5" s="483"/>
      <c r="F5" s="483"/>
      <c r="G5" s="483"/>
      <c r="H5" s="483"/>
      <c r="I5" s="483"/>
      <c r="J5" s="483"/>
      <c r="K5" s="483"/>
      <c r="L5" s="483"/>
      <c r="M5" s="483"/>
      <c r="N5" s="483"/>
      <c r="O5" s="483"/>
      <c r="P5" s="483"/>
      <c r="Q5" s="483"/>
      <c r="R5" s="483"/>
      <c r="S5" s="484"/>
      <c r="T5" s="484"/>
      <c r="U5" s="484"/>
      <c r="V5" s="484"/>
      <c r="W5" s="484"/>
      <c r="X5" s="484"/>
      <c r="Y5" s="484"/>
      <c r="Z5" s="484"/>
      <c r="AA5" s="484"/>
      <c r="AB5" s="484"/>
      <c r="AC5" s="484"/>
      <c r="AD5" s="484"/>
      <c r="AE5" s="484"/>
      <c r="AF5" s="484"/>
      <c r="AG5" s="484"/>
      <c r="AH5" s="484"/>
      <c r="AI5" s="484"/>
      <c r="AJ5" s="484"/>
      <c r="AK5" s="484"/>
      <c r="AL5" s="484"/>
      <c r="AM5" s="484"/>
      <c r="AN5" s="484"/>
      <c r="AO5" s="484"/>
      <c r="AP5" s="484"/>
      <c r="AQ5" s="484"/>
      <c r="AR5" s="484"/>
      <c r="AS5" s="484"/>
      <c r="AT5" s="484"/>
      <c r="AU5" s="484"/>
      <c r="AV5" s="484"/>
      <c r="AW5" s="484"/>
      <c r="AX5" s="484"/>
      <c r="AY5" s="484"/>
      <c r="AZ5" s="484"/>
      <c r="BA5" s="484"/>
      <c r="BB5" s="484"/>
      <c r="BC5" s="484"/>
      <c r="BD5" s="484"/>
      <c r="BE5" s="484"/>
      <c r="BF5" s="484"/>
      <c r="BG5" s="484"/>
      <c r="BH5" s="484"/>
      <c r="BI5" s="484"/>
      <c r="BJ5" s="484"/>
      <c r="BK5" s="484"/>
      <c r="BL5" s="484"/>
      <c r="BM5" s="484"/>
      <c r="BN5" s="484"/>
      <c r="BO5" s="484"/>
      <c r="BP5" s="484"/>
      <c r="BQ5" s="484"/>
      <c r="BR5" s="484"/>
      <c r="BS5" s="484"/>
      <c r="BT5" s="484"/>
      <c r="BU5" s="484"/>
      <c r="BV5" s="484"/>
      <c r="BW5" s="484"/>
      <c r="BX5" s="484"/>
      <c r="BY5" s="484"/>
      <c r="BZ5" s="484"/>
      <c r="CA5" s="484"/>
      <c r="CB5" s="484"/>
      <c r="CC5" s="484"/>
      <c r="CD5" s="484"/>
      <c r="CE5" s="484"/>
      <c r="CF5" s="484"/>
      <c r="CG5" s="484"/>
      <c r="CH5" s="484"/>
      <c r="CI5" s="484"/>
      <c r="CJ5" s="484"/>
      <c r="CK5" s="484"/>
      <c r="CL5" s="484"/>
      <c r="CM5" s="484"/>
      <c r="CN5" s="484"/>
      <c r="CO5" s="484"/>
      <c r="CP5" s="484"/>
      <c r="CQ5" s="484"/>
      <c r="CR5" s="484"/>
      <c r="CS5" s="484"/>
      <c r="CT5" s="484"/>
      <c r="CU5" s="484"/>
      <c r="CV5" s="484"/>
      <c r="CW5" s="484"/>
      <c r="CX5" s="484"/>
      <c r="CY5" s="484"/>
      <c r="CZ5" s="484"/>
      <c r="DA5" s="484"/>
      <c r="DB5" s="484"/>
      <c r="DC5" s="484"/>
      <c r="DD5" s="484"/>
      <c r="DE5" s="484"/>
      <c r="DF5" s="484"/>
      <c r="DG5" s="484"/>
      <c r="DH5" s="484"/>
      <c r="DI5" s="484"/>
      <c r="DJ5" s="484"/>
      <c r="DK5" s="484"/>
      <c r="DL5" s="484"/>
      <c r="DM5" s="484"/>
      <c r="DN5" s="484"/>
      <c r="DO5" s="483"/>
      <c r="DP5" s="485"/>
    </row>
    <row r="6" spans="3:120" ht="24.6" x14ac:dyDescent="0.3">
      <c r="C6" s="490"/>
      <c r="D6" s="486" t="s">
        <v>296</v>
      </c>
      <c r="E6" s="486" t="s">
        <v>463</v>
      </c>
      <c r="F6" s="487" t="s">
        <v>402</v>
      </c>
      <c r="G6" s="486"/>
      <c r="H6" s="486"/>
      <c r="I6" s="486"/>
      <c r="J6" s="486"/>
      <c r="K6" s="486"/>
      <c r="L6" s="486"/>
      <c r="M6" s="486"/>
      <c r="N6" s="486"/>
      <c r="O6" s="486"/>
      <c r="P6" s="486"/>
      <c r="Q6" s="486"/>
      <c r="R6" s="486"/>
      <c r="S6" s="486"/>
      <c r="T6" s="486"/>
      <c r="U6" s="486"/>
      <c r="V6" s="486"/>
      <c r="W6" s="486"/>
      <c r="X6" s="486"/>
      <c r="Y6" s="486"/>
      <c r="Z6" s="486"/>
      <c r="AA6" s="486"/>
      <c r="AB6" s="486"/>
      <c r="AC6" s="486"/>
      <c r="AD6" s="486"/>
      <c r="AE6" s="486"/>
      <c r="AF6" s="486"/>
      <c r="AG6" s="486"/>
      <c r="AH6" s="486"/>
      <c r="AI6" s="486"/>
      <c r="AJ6" s="486"/>
      <c r="AK6" s="486"/>
      <c r="AL6" s="486"/>
      <c r="AM6" s="486"/>
      <c r="AN6" s="486"/>
      <c r="AO6" s="486"/>
      <c r="AP6" s="486"/>
      <c r="AQ6" s="486"/>
      <c r="AR6" s="486"/>
      <c r="AS6" s="486"/>
      <c r="AT6" s="486"/>
      <c r="AU6" s="486"/>
      <c r="AV6" s="486"/>
      <c r="AW6" s="486"/>
      <c r="AX6" s="486"/>
      <c r="AY6" s="486"/>
      <c r="AZ6" s="486"/>
      <c r="BA6" s="486"/>
      <c r="BB6" s="486"/>
      <c r="BC6" s="486"/>
      <c r="BD6" s="486"/>
      <c r="BE6" s="486"/>
      <c r="BF6" s="486"/>
      <c r="BG6" s="486"/>
      <c r="BH6" s="486"/>
      <c r="BI6" s="486"/>
      <c r="BJ6" s="486"/>
      <c r="BK6" s="486"/>
      <c r="BL6" s="486"/>
      <c r="BM6" s="486"/>
      <c r="BN6" s="486"/>
      <c r="BO6" s="486"/>
      <c r="BP6" s="486"/>
      <c r="BQ6" s="486"/>
      <c r="BR6" s="486"/>
      <c r="BS6" s="486"/>
      <c r="BT6" s="486"/>
      <c r="BU6" s="486"/>
      <c r="BV6" s="486"/>
      <c r="BW6" s="486"/>
      <c r="BX6" s="486"/>
      <c r="BY6" s="486"/>
      <c r="BZ6" s="486"/>
      <c r="CA6" s="486"/>
      <c r="CB6" s="486"/>
      <c r="CC6" s="486"/>
      <c r="CD6" s="486"/>
      <c r="CE6" s="486"/>
      <c r="CF6" s="486"/>
      <c r="CG6" s="486"/>
      <c r="CH6" s="486"/>
      <c r="CI6" s="486"/>
      <c r="CJ6" s="486"/>
      <c r="CK6" s="486"/>
      <c r="CL6" s="486"/>
      <c r="CM6" s="486"/>
      <c r="CN6" s="486"/>
      <c r="CO6" s="486"/>
      <c r="CP6" s="486"/>
      <c r="CQ6" s="486"/>
      <c r="CR6" s="486"/>
      <c r="CS6" s="486"/>
      <c r="CT6" s="486"/>
      <c r="CU6" s="486"/>
      <c r="CV6" s="486"/>
      <c r="CW6" s="486"/>
      <c r="CX6" s="486"/>
      <c r="CY6" s="486"/>
      <c r="CZ6" s="486"/>
      <c r="DA6" s="486"/>
      <c r="DB6" s="486"/>
      <c r="DC6" s="486"/>
      <c r="DD6" s="486"/>
      <c r="DE6" s="486"/>
      <c r="DF6" s="486"/>
      <c r="DG6" s="486"/>
      <c r="DH6" s="486"/>
      <c r="DI6" s="486"/>
      <c r="DJ6" s="486"/>
      <c r="DK6" s="486"/>
      <c r="DL6" s="486"/>
      <c r="DM6" s="486"/>
      <c r="DN6" s="486"/>
      <c r="DO6" s="486"/>
      <c r="DP6" s="488"/>
    </row>
    <row r="7" spans="3:120" x14ac:dyDescent="0.3">
      <c r="D7" s="342" t="s">
        <v>658</v>
      </c>
      <c r="E7" s="725">
        <f>'Table 3.0'!K7</f>
        <v>72</v>
      </c>
      <c r="F7" s="682">
        <v>0</v>
      </c>
      <c r="G7" s="450">
        <f>SUM(K7:DN7)</f>
        <v>0</v>
      </c>
      <c r="I7" s="323" t="s">
        <v>381</v>
      </c>
      <c r="S7" s="534"/>
      <c r="T7" s="534"/>
      <c r="U7" s="534"/>
      <c r="V7" s="534"/>
      <c r="W7" s="534"/>
      <c r="X7" s="534"/>
      <c r="Y7" s="534"/>
      <c r="Z7" s="534"/>
      <c r="AA7" s="534"/>
      <c r="AB7" s="534"/>
      <c r="AC7" s="534"/>
      <c r="AD7" s="534"/>
      <c r="AE7" s="534"/>
      <c r="AF7" s="534"/>
      <c r="AG7" s="534"/>
      <c r="AH7" s="534"/>
      <c r="AI7" s="534"/>
      <c r="AJ7" s="534"/>
      <c r="AK7" s="534"/>
      <c r="AL7" s="534"/>
      <c r="AM7" s="534"/>
      <c r="AN7" s="534"/>
      <c r="AO7" s="534"/>
      <c r="AP7" s="534"/>
      <c r="AQ7" s="534"/>
      <c r="AR7" s="534"/>
      <c r="AS7" s="534"/>
      <c r="AT7" s="534"/>
      <c r="AU7" s="534"/>
      <c r="AV7" s="534"/>
      <c r="AW7" s="534"/>
      <c r="AX7" s="534"/>
      <c r="AY7" s="534"/>
      <c r="AZ7" s="534"/>
      <c r="BA7" s="534"/>
      <c r="BB7" s="534"/>
      <c r="BC7" s="534"/>
      <c r="BD7" s="534"/>
      <c r="BE7" s="534"/>
      <c r="BF7" s="534"/>
      <c r="BG7" s="534"/>
      <c r="BH7" s="534"/>
      <c r="BI7" s="534"/>
      <c r="BJ7" s="534"/>
      <c r="BK7" s="534"/>
      <c r="BL7" s="534"/>
      <c r="BM7" s="534"/>
      <c r="BN7" s="534"/>
      <c r="BO7" s="534"/>
      <c r="BP7" s="534"/>
      <c r="BQ7" s="534"/>
      <c r="BR7" s="534"/>
      <c r="BS7" s="534"/>
      <c r="BT7" s="534"/>
      <c r="BU7" s="534"/>
      <c r="BV7" s="534"/>
      <c r="BW7" s="534"/>
      <c r="BX7" s="534"/>
      <c r="BY7" s="534"/>
      <c r="BZ7" s="534"/>
      <c r="CA7" s="534"/>
      <c r="CB7" s="534"/>
      <c r="CC7" s="534"/>
      <c r="CD7" s="534"/>
      <c r="CE7" s="534"/>
      <c r="CF7" s="534"/>
      <c r="CG7" s="534"/>
      <c r="CH7" s="534"/>
      <c r="CI7" s="534"/>
      <c r="CJ7" s="534"/>
      <c r="CK7" s="534"/>
      <c r="CL7" s="534"/>
      <c r="CM7" s="534"/>
      <c r="CN7" s="534"/>
      <c r="CO7" s="534"/>
      <c r="CP7" s="534"/>
      <c r="CQ7" s="534"/>
      <c r="CR7" s="534"/>
      <c r="CS7" s="534"/>
      <c r="CT7" s="534"/>
      <c r="CU7" s="534"/>
      <c r="CV7" s="534"/>
      <c r="CW7" s="534"/>
      <c r="CX7" s="534"/>
      <c r="CY7" s="534"/>
      <c r="CZ7" s="534"/>
      <c r="DA7" s="534"/>
      <c r="DB7" s="534"/>
      <c r="DC7" s="534"/>
      <c r="DD7" s="534"/>
      <c r="DE7" s="534"/>
      <c r="DF7" s="534"/>
      <c r="DG7" s="534"/>
      <c r="DH7" s="534"/>
      <c r="DI7" s="534"/>
      <c r="DJ7" s="534"/>
      <c r="DK7" s="534"/>
      <c r="DL7" s="534"/>
      <c r="DM7" s="534"/>
      <c r="DN7" s="534"/>
      <c r="DP7" s="341">
        <f>SUM(K7:DN7)</f>
        <v>0</v>
      </c>
    </row>
    <row r="8" spans="3:120" x14ac:dyDescent="0.3">
      <c r="D8" s="438" t="s">
        <v>117</v>
      </c>
      <c r="E8" s="338">
        <f>SUM(E7:E7)</f>
        <v>72</v>
      </c>
      <c r="F8" s="444">
        <f>F7</f>
        <v>0</v>
      </c>
      <c r="G8" s="341"/>
      <c r="S8" s="434"/>
      <c r="T8" s="434"/>
      <c r="U8" s="434"/>
      <c r="V8" s="434"/>
      <c r="W8" s="434"/>
      <c r="X8" s="434"/>
      <c r="Y8" s="434"/>
      <c r="Z8" s="434"/>
      <c r="AA8" s="434"/>
      <c r="AB8" s="434"/>
      <c r="AC8" s="434"/>
      <c r="AD8" s="434"/>
      <c r="AE8" s="434"/>
      <c r="AF8" s="434"/>
      <c r="AG8" s="434"/>
      <c r="AH8" s="434"/>
      <c r="AI8" s="434"/>
      <c r="AJ8" s="434"/>
      <c r="AK8" s="434"/>
      <c r="AL8" s="434"/>
      <c r="AM8" s="434"/>
      <c r="AN8" s="434"/>
      <c r="AO8" s="434"/>
      <c r="AP8" s="434"/>
      <c r="AQ8" s="434"/>
      <c r="AR8" s="434"/>
      <c r="AS8" s="434"/>
      <c r="AT8" s="434"/>
      <c r="AU8" s="434"/>
      <c r="AV8" s="434"/>
      <c r="AW8" s="434"/>
      <c r="AX8" s="434"/>
      <c r="AY8" s="434"/>
      <c r="AZ8" s="434"/>
      <c r="BA8" s="434"/>
      <c r="BB8" s="434"/>
      <c r="BC8" s="434"/>
      <c r="BD8" s="434"/>
      <c r="BE8" s="434"/>
      <c r="BF8" s="434"/>
      <c r="BG8" s="434"/>
      <c r="BH8" s="434"/>
      <c r="BI8" s="434"/>
      <c r="BJ8" s="434"/>
      <c r="BK8" s="434"/>
      <c r="BL8" s="434"/>
      <c r="BM8" s="434"/>
      <c r="BN8" s="434"/>
      <c r="BO8" s="434"/>
      <c r="BP8" s="434"/>
      <c r="BQ8" s="434"/>
      <c r="BR8" s="434"/>
      <c r="BS8" s="434"/>
      <c r="BT8" s="434"/>
      <c r="BU8" s="434"/>
      <c r="BV8" s="434"/>
      <c r="BW8" s="434"/>
      <c r="BX8" s="434"/>
      <c r="BY8" s="434"/>
      <c r="BZ8" s="434"/>
      <c r="CA8" s="434"/>
      <c r="CB8" s="434"/>
      <c r="CC8" s="434"/>
      <c r="CD8" s="434"/>
      <c r="CE8" s="434"/>
      <c r="CF8" s="434"/>
      <c r="CG8" s="434"/>
      <c r="CH8" s="434"/>
      <c r="CI8" s="434"/>
      <c r="CJ8" s="434"/>
      <c r="CK8" s="434"/>
      <c r="CL8" s="434"/>
      <c r="CM8" s="434"/>
      <c r="CN8" s="434"/>
      <c r="CO8" s="434"/>
      <c r="CP8" s="434"/>
      <c r="CQ8" s="434"/>
      <c r="CR8" s="434"/>
      <c r="CS8" s="434"/>
      <c r="CT8" s="434"/>
      <c r="CU8" s="434"/>
      <c r="CV8" s="434"/>
      <c r="CW8" s="434"/>
      <c r="CX8" s="434"/>
      <c r="CY8" s="434"/>
      <c r="CZ8" s="434"/>
      <c r="DA8" s="434"/>
      <c r="DB8" s="434"/>
      <c r="DC8" s="434"/>
      <c r="DD8" s="434"/>
      <c r="DE8" s="434"/>
      <c r="DF8" s="434"/>
      <c r="DG8" s="434"/>
      <c r="DH8" s="434"/>
      <c r="DI8" s="434"/>
      <c r="DJ8" s="434"/>
      <c r="DK8" s="434"/>
      <c r="DL8" s="434"/>
      <c r="DM8" s="434"/>
      <c r="DN8" s="434"/>
      <c r="DO8" s="435"/>
      <c r="DP8" s="341"/>
    </row>
    <row r="9" spans="3:120" x14ac:dyDescent="0.3">
      <c r="D9" s="438"/>
      <c r="E9" s="338"/>
      <c r="F9" s="444"/>
      <c r="G9" s="341"/>
      <c r="S9" s="434"/>
      <c r="T9" s="434"/>
      <c r="U9" s="434"/>
      <c r="V9" s="434"/>
      <c r="W9" s="434"/>
      <c r="X9" s="434"/>
      <c r="Y9" s="434"/>
      <c r="Z9" s="434"/>
      <c r="AA9" s="434"/>
      <c r="AB9" s="434"/>
      <c r="AC9" s="434"/>
      <c r="AD9" s="434"/>
      <c r="AE9" s="434"/>
      <c r="AF9" s="434"/>
      <c r="AG9" s="434"/>
      <c r="AH9" s="434"/>
      <c r="AI9" s="434"/>
      <c r="AJ9" s="434"/>
      <c r="AK9" s="434"/>
      <c r="AL9" s="434"/>
      <c r="AM9" s="434"/>
      <c r="AN9" s="434"/>
      <c r="AO9" s="434"/>
      <c r="AP9" s="434"/>
      <c r="AQ9" s="434"/>
      <c r="AR9" s="434"/>
      <c r="AS9" s="434"/>
      <c r="AT9" s="434"/>
      <c r="AU9" s="434"/>
      <c r="AV9" s="434"/>
      <c r="AW9" s="434"/>
      <c r="AX9" s="434"/>
      <c r="AY9" s="434"/>
      <c r="AZ9" s="434"/>
      <c r="BA9" s="434"/>
      <c r="BB9" s="434"/>
      <c r="BC9" s="434"/>
      <c r="BD9" s="434"/>
      <c r="BE9" s="434"/>
      <c r="BF9" s="434"/>
      <c r="BG9" s="434"/>
      <c r="BH9" s="434"/>
      <c r="BI9" s="434"/>
      <c r="BJ9" s="434"/>
      <c r="BK9" s="434"/>
      <c r="BL9" s="434"/>
      <c r="BM9" s="434"/>
      <c r="BN9" s="434"/>
      <c r="BO9" s="434"/>
      <c r="BP9" s="434"/>
      <c r="BQ9" s="434"/>
      <c r="BR9" s="434"/>
      <c r="BS9" s="434"/>
      <c r="BT9" s="434"/>
      <c r="BU9" s="434"/>
      <c r="BV9" s="434"/>
      <c r="BW9" s="434"/>
      <c r="BX9" s="434"/>
      <c r="BY9" s="434"/>
      <c r="BZ9" s="434"/>
      <c r="CA9" s="434"/>
      <c r="CB9" s="434"/>
      <c r="CC9" s="434"/>
      <c r="CD9" s="434"/>
      <c r="CE9" s="434"/>
      <c r="CF9" s="434"/>
      <c r="CG9" s="434"/>
      <c r="CH9" s="434"/>
      <c r="CI9" s="434"/>
      <c r="CJ9" s="434"/>
      <c r="CK9" s="434"/>
      <c r="CL9" s="434"/>
      <c r="CM9" s="434"/>
      <c r="CN9" s="434"/>
      <c r="CO9" s="434"/>
      <c r="CP9" s="434"/>
      <c r="CQ9" s="434"/>
      <c r="CR9" s="434"/>
      <c r="CS9" s="434"/>
      <c r="CT9" s="434"/>
      <c r="CU9" s="434"/>
      <c r="CV9" s="434"/>
      <c r="CW9" s="434"/>
      <c r="CX9" s="434"/>
      <c r="CY9" s="434"/>
      <c r="CZ9" s="434"/>
      <c r="DA9" s="434"/>
      <c r="DB9" s="434"/>
      <c r="DC9" s="434"/>
      <c r="DD9" s="434"/>
      <c r="DE9" s="434"/>
      <c r="DF9" s="434"/>
      <c r="DG9" s="434"/>
      <c r="DH9" s="434"/>
      <c r="DI9" s="434"/>
      <c r="DJ9" s="434"/>
      <c r="DK9" s="434"/>
      <c r="DL9" s="434"/>
      <c r="DM9" s="434"/>
      <c r="DN9" s="434"/>
      <c r="DO9" s="435"/>
      <c r="DP9" s="341"/>
    </row>
    <row r="10" spans="3:120" ht="14.4" thickBot="1" x14ac:dyDescent="0.35">
      <c r="R10" s="458"/>
      <c r="S10" s="340"/>
      <c r="T10" s="340"/>
      <c r="U10" s="340"/>
      <c r="V10" s="340"/>
      <c r="W10" s="340"/>
      <c r="X10" s="340"/>
      <c r="Y10" s="340"/>
      <c r="Z10" s="340"/>
      <c r="AA10" s="340"/>
      <c r="AB10" s="340"/>
      <c r="AC10" s="340"/>
      <c r="AD10" s="340"/>
      <c r="AE10" s="340"/>
      <c r="AF10" s="340"/>
      <c r="AG10" s="340"/>
      <c r="AH10" s="340"/>
      <c r="AI10" s="340"/>
      <c r="AJ10" s="340"/>
      <c r="AK10" s="340"/>
      <c r="AL10" s="340"/>
      <c r="AM10" s="340"/>
      <c r="AN10" s="340"/>
      <c r="AO10" s="340"/>
      <c r="AP10" s="340"/>
      <c r="AQ10" s="340"/>
      <c r="AR10" s="340"/>
      <c r="AS10" s="340"/>
      <c r="AT10" s="340"/>
      <c r="AU10" s="340"/>
      <c r="AV10" s="340"/>
      <c r="AW10" s="340"/>
      <c r="AX10" s="340"/>
      <c r="AY10" s="340"/>
      <c r="AZ10" s="340"/>
      <c r="BA10" s="340"/>
      <c r="BB10" s="340"/>
      <c r="BC10" s="340"/>
      <c r="BD10" s="340"/>
      <c r="BE10" s="340"/>
      <c r="BF10" s="340"/>
      <c r="BG10" s="340"/>
      <c r="BH10" s="340"/>
      <c r="BI10" s="340"/>
      <c r="BJ10" s="340"/>
      <c r="BK10" s="340"/>
      <c r="BL10" s="340"/>
      <c r="BM10" s="340"/>
      <c r="BN10" s="340"/>
      <c r="BO10" s="340"/>
      <c r="BP10" s="340"/>
      <c r="BQ10" s="340"/>
      <c r="BR10" s="340"/>
      <c r="BS10" s="340"/>
      <c r="BT10" s="340"/>
      <c r="BU10" s="340"/>
      <c r="BV10" s="340"/>
      <c r="BW10" s="340"/>
      <c r="BX10" s="340"/>
      <c r="BY10" s="340"/>
      <c r="BZ10" s="340"/>
      <c r="CA10" s="340"/>
      <c r="CB10" s="340"/>
      <c r="CC10" s="340"/>
      <c r="CD10" s="340"/>
      <c r="CE10" s="340"/>
      <c r="CF10" s="340"/>
      <c r="CG10" s="340"/>
      <c r="CH10" s="340"/>
      <c r="CI10" s="340"/>
      <c r="CJ10" s="340"/>
      <c r="CK10" s="340"/>
      <c r="CL10" s="340"/>
      <c r="CM10" s="340"/>
      <c r="CN10" s="340"/>
      <c r="CO10" s="340"/>
      <c r="CP10" s="340"/>
      <c r="CQ10" s="340"/>
      <c r="CR10" s="340"/>
      <c r="CS10" s="340"/>
      <c r="CT10" s="340"/>
      <c r="CU10" s="340"/>
      <c r="CV10" s="340"/>
      <c r="CW10" s="340"/>
      <c r="CX10" s="340"/>
      <c r="CY10" s="340"/>
      <c r="CZ10" s="340"/>
      <c r="DA10" s="340"/>
      <c r="DB10" s="340"/>
      <c r="DC10" s="340"/>
      <c r="DD10" s="340"/>
      <c r="DE10" s="340"/>
      <c r="DF10" s="340"/>
      <c r="DG10" s="340"/>
      <c r="DH10" s="340"/>
      <c r="DI10" s="340"/>
      <c r="DJ10" s="340"/>
      <c r="DK10" s="340"/>
      <c r="DL10" s="340"/>
      <c r="DM10" s="340"/>
      <c r="DN10" s="340"/>
      <c r="DO10" s="435"/>
      <c r="DP10" s="440"/>
    </row>
    <row r="11" spans="3:120" x14ac:dyDescent="0.3">
      <c r="D11" s="413" t="s">
        <v>399</v>
      </c>
      <c r="E11" s="414"/>
      <c r="F11" s="414"/>
      <c r="G11" s="441"/>
      <c r="H11" s="414"/>
      <c r="I11" s="442">
        <f>SUM(I10:I10)</f>
        <v>0</v>
      </c>
      <c r="J11" s="442"/>
      <c r="K11" s="442">
        <f t="shared" ref="K11:R11" si="0">SUM(K10:K10)</f>
        <v>0</v>
      </c>
      <c r="L11" s="442">
        <f t="shared" si="0"/>
        <v>0</v>
      </c>
      <c r="M11" s="442">
        <f t="shared" si="0"/>
        <v>0</v>
      </c>
      <c r="N11" s="442">
        <f t="shared" si="0"/>
        <v>0</v>
      </c>
      <c r="O11" s="442">
        <f t="shared" si="0"/>
        <v>0</v>
      </c>
      <c r="P11" s="442">
        <f t="shared" si="0"/>
        <v>0</v>
      </c>
      <c r="Q11" s="442">
        <f t="shared" si="0"/>
        <v>0</v>
      </c>
      <c r="R11" s="442">
        <f t="shared" si="0"/>
        <v>0</v>
      </c>
      <c r="S11" s="442">
        <f t="shared" ref="S11:BE11" si="1">SUM(S10:S10)</f>
        <v>0</v>
      </c>
      <c r="T11" s="442">
        <f t="shared" si="1"/>
        <v>0</v>
      </c>
      <c r="U11" s="442">
        <f t="shared" si="1"/>
        <v>0</v>
      </c>
      <c r="V11" s="442">
        <f t="shared" si="1"/>
        <v>0</v>
      </c>
      <c r="W11" s="442">
        <f t="shared" si="1"/>
        <v>0</v>
      </c>
      <c r="X11" s="442">
        <f t="shared" si="1"/>
        <v>0</v>
      </c>
      <c r="Y11" s="442">
        <f t="shared" si="1"/>
        <v>0</v>
      </c>
      <c r="Z11" s="442">
        <f t="shared" si="1"/>
        <v>0</v>
      </c>
      <c r="AA11" s="442">
        <f t="shared" si="1"/>
        <v>0</v>
      </c>
      <c r="AB11" s="442">
        <f t="shared" si="1"/>
        <v>0</v>
      </c>
      <c r="AC11" s="442">
        <f t="shared" si="1"/>
        <v>0</v>
      </c>
      <c r="AD11" s="442">
        <f t="shared" si="1"/>
        <v>0</v>
      </c>
      <c r="AE11" s="442">
        <f t="shared" si="1"/>
        <v>0</v>
      </c>
      <c r="AF11" s="442">
        <f t="shared" si="1"/>
        <v>0</v>
      </c>
      <c r="AG11" s="442">
        <f t="shared" si="1"/>
        <v>0</v>
      </c>
      <c r="AH11" s="442">
        <f t="shared" si="1"/>
        <v>0</v>
      </c>
      <c r="AI11" s="442">
        <f t="shared" si="1"/>
        <v>0</v>
      </c>
      <c r="AJ11" s="442">
        <f t="shared" si="1"/>
        <v>0</v>
      </c>
      <c r="AK11" s="442">
        <f t="shared" si="1"/>
        <v>0</v>
      </c>
      <c r="AL11" s="442">
        <f t="shared" si="1"/>
        <v>0</v>
      </c>
      <c r="AM11" s="442">
        <f t="shared" si="1"/>
        <v>0</v>
      </c>
      <c r="AN11" s="442">
        <f t="shared" si="1"/>
        <v>0</v>
      </c>
      <c r="AO11" s="442">
        <f t="shared" si="1"/>
        <v>0</v>
      </c>
      <c r="AP11" s="442">
        <f t="shared" si="1"/>
        <v>0</v>
      </c>
      <c r="AQ11" s="442">
        <f t="shared" si="1"/>
        <v>0</v>
      </c>
      <c r="AR11" s="442">
        <f t="shared" si="1"/>
        <v>0</v>
      </c>
      <c r="AS11" s="442">
        <f t="shared" si="1"/>
        <v>0</v>
      </c>
      <c r="AT11" s="442">
        <f t="shared" si="1"/>
        <v>0</v>
      </c>
      <c r="AU11" s="442">
        <f t="shared" si="1"/>
        <v>0</v>
      </c>
      <c r="AV11" s="442">
        <f t="shared" si="1"/>
        <v>0</v>
      </c>
      <c r="AW11" s="442">
        <f t="shared" si="1"/>
        <v>0</v>
      </c>
      <c r="AX11" s="442">
        <f t="shared" si="1"/>
        <v>0</v>
      </c>
      <c r="AY11" s="442">
        <f t="shared" si="1"/>
        <v>0</v>
      </c>
      <c r="AZ11" s="442">
        <f t="shared" si="1"/>
        <v>0</v>
      </c>
      <c r="BA11" s="442">
        <f t="shared" si="1"/>
        <v>0</v>
      </c>
      <c r="BB11" s="442">
        <f t="shared" si="1"/>
        <v>0</v>
      </c>
      <c r="BC11" s="442">
        <f t="shared" si="1"/>
        <v>0</v>
      </c>
      <c r="BD11" s="442">
        <f t="shared" si="1"/>
        <v>0</v>
      </c>
      <c r="BE11" s="442">
        <f t="shared" si="1"/>
        <v>0</v>
      </c>
      <c r="BF11" s="442"/>
      <c r="BG11" s="442"/>
      <c r="BH11" s="442"/>
      <c r="BI11" s="442"/>
      <c r="BJ11" s="442"/>
      <c r="BK11" s="442"/>
      <c r="BL11" s="442"/>
      <c r="BM11" s="442"/>
      <c r="BN11" s="442"/>
      <c r="BO11" s="442"/>
      <c r="BP11" s="442"/>
      <c r="BQ11" s="442"/>
      <c r="BR11" s="442"/>
      <c r="BS11" s="442"/>
      <c r="BT11" s="442"/>
      <c r="BU11" s="442"/>
      <c r="BV11" s="442"/>
      <c r="BW11" s="442"/>
      <c r="BX11" s="442"/>
      <c r="BY11" s="442"/>
      <c r="BZ11" s="442"/>
      <c r="CA11" s="442"/>
      <c r="CB11" s="442"/>
      <c r="CC11" s="442"/>
      <c r="CD11" s="442"/>
      <c r="CE11" s="442"/>
      <c r="CF11" s="442"/>
      <c r="CG11" s="442"/>
      <c r="CH11" s="442"/>
      <c r="CI11" s="442"/>
      <c r="CJ11" s="442"/>
      <c r="CK11" s="442"/>
      <c r="CL11" s="442"/>
      <c r="CM11" s="442"/>
      <c r="CN11" s="442"/>
      <c r="CO11" s="442"/>
      <c r="CP11" s="442"/>
      <c r="CQ11" s="442"/>
      <c r="CR11" s="442"/>
      <c r="CS11" s="442"/>
      <c r="CT11" s="442"/>
      <c r="CU11" s="442"/>
      <c r="CV11" s="442"/>
      <c r="CW11" s="442"/>
      <c r="CX11" s="442"/>
      <c r="CY11" s="442"/>
      <c r="CZ11" s="442"/>
      <c r="DA11" s="442"/>
      <c r="DB11" s="442"/>
      <c r="DC11" s="442"/>
      <c r="DD11" s="442"/>
      <c r="DE11" s="442"/>
      <c r="DF11" s="442"/>
      <c r="DG11" s="442"/>
      <c r="DH11" s="442"/>
      <c r="DI11" s="442"/>
      <c r="DJ11" s="442"/>
      <c r="DK11" s="442"/>
      <c r="DL11" s="442"/>
      <c r="DM11" s="442"/>
      <c r="DN11" s="442"/>
      <c r="DO11" s="442"/>
      <c r="DP11" s="442">
        <f>SUM(DP10:DP10)</f>
        <v>0</v>
      </c>
    </row>
    <row r="12" spans="3:120" x14ac:dyDescent="0.3">
      <c r="DP12" s="338"/>
    </row>
    <row r="13" spans="3:120" ht="24.6" x14ac:dyDescent="0.3">
      <c r="C13" s="490"/>
      <c r="D13" s="486" t="s">
        <v>540</v>
      </c>
      <c r="E13" s="486"/>
      <c r="F13" s="487" t="s">
        <v>402</v>
      </c>
      <c r="G13" s="486"/>
      <c r="H13" s="486"/>
      <c r="I13" s="486"/>
      <c r="J13" s="486"/>
      <c r="K13" s="486"/>
      <c r="L13" s="486"/>
      <c r="M13" s="486"/>
      <c r="N13" s="486"/>
      <c r="O13" s="486"/>
      <c r="P13" s="486"/>
      <c r="Q13" s="486"/>
      <c r="R13" s="486"/>
      <c r="S13" s="486"/>
      <c r="T13" s="486"/>
      <c r="U13" s="486"/>
      <c r="V13" s="486"/>
      <c r="W13" s="486"/>
      <c r="X13" s="486"/>
      <c r="Y13" s="486"/>
      <c r="Z13" s="486"/>
      <c r="AA13" s="486"/>
      <c r="AB13" s="486"/>
      <c r="AC13" s="486"/>
      <c r="AD13" s="486"/>
      <c r="AE13" s="486"/>
      <c r="AF13" s="486"/>
      <c r="AG13" s="486"/>
      <c r="AH13" s="486"/>
      <c r="AI13" s="486"/>
      <c r="AJ13" s="486"/>
      <c r="AK13" s="486"/>
      <c r="AL13" s="486"/>
      <c r="AM13" s="486"/>
      <c r="AN13" s="486"/>
      <c r="AO13" s="486"/>
      <c r="AP13" s="486"/>
      <c r="AQ13" s="486"/>
      <c r="AR13" s="486"/>
      <c r="AS13" s="486"/>
      <c r="AT13" s="486"/>
      <c r="AU13" s="486"/>
      <c r="AV13" s="486"/>
      <c r="AW13" s="486"/>
      <c r="AX13" s="486"/>
      <c r="AY13" s="486"/>
      <c r="AZ13" s="486"/>
      <c r="BA13" s="486"/>
      <c r="BB13" s="486"/>
      <c r="BC13" s="486"/>
      <c r="BD13" s="486"/>
      <c r="BE13" s="486"/>
      <c r="BF13" s="486"/>
      <c r="BG13" s="486"/>
      <c r="BH13" s="486"/>
      <c r="BI13" s="486"/>
      <c r="BJ13" s="486"/>
      <c r="BK13" s="486"/>
      <c r="BL13" s="486"/>
      <c r="BM13" s="486"/>
      <c r="BN13" s="486"/>
      <c r="BO13" s="486"/>
      <c r="BP13" s="486"/>
      <c r="BQ13" s="486"/>
      <c r="BR13" s="486"/>
      <c r="BS13" s="486"/>
      <c r="BT13" s="486"/>
      <c r="BU13" s="486"/>
      <c r="BV13" s="486"/>
      <c r="BW13" s="486"/>
      <c r="BX13" s="486"/>
      <c r="BY13" s="486"/>
      <c r="BZ13" s="486"/>
      <c r="CA13" s="486"/>
      <c r="CB13" s="486"/>
      <c r="CC13" s="486"/>
      <c r="CD13" s="486"/>
      <c r="CE13" s="486"/>
      <c r="CF13" s="486"/>
      <c r="CG13" s="486"/>
      <c r="CH13" s="486"/>
      <c r="CI13" s="486"/>
      <c r="CJ13" s="486"/>
      <c r="CK13" s="486"/>
      <c r="CL13" s="486"/>
      <c r="CM13" s="486"/>
      <c r="CN13" s="486"/>
      <c r="CO13" s="486"/>
      <c r="CP13" s="486"/>
      <c r="CQ13" s="486"/>
      <c r="CR13" s="486"/>
      <c r="CS13" s="486"/>
      <c r="CT13" s="486"/>
      <c r="CU13" s="486"/>
      <c r="CV13" s="486"/>
      <c r="CW13" s="486"/>
      <c r="CX13" s="486"/>
      <c r="CY13" s="486"/>
      <c r="CZ13" s="486"/>
      <c r="DA13" s="486"/>
      <c r="DB13" s="486"/>
      <c r="DC13" s="486"/>
      <c r="DD13" s="486"/>
      <c r="DE13" s="486"/>
      <c r="DF13" s="486"/>
      <c r="DG13" s="486"/>
      <c r="DH13" s="486"/>
      <c r="DI13" s="486"/>
      <c r="DJ13" s="486"/>
      <c r="DK13" s="486"/>
      <c r="DL13" s="486"/>
      <c r="DM13" s="486"/>
      <c r="DN13" s="486"/>
      <c r="DO13" s="486"/>
      <c r="DP13" s="488"/>
    </row>
    <row r="14" spans="3:120" x14ac:dyDescent="0.3">
      <c r="C14" s="684"/>
      <c r="D14" s="547" t="s">
        <v>660</v>
      </c>
      <c r="E14" s="547"/>
      <c r="F14" s="690">
        <f>Infrastructure!D35</f>
        <v>1369000</v>
      </c>
      <c r="G14" s="693">
        <f>SUM(K14:DN14)</f>
        <v>1</v>
      </c>
      <c r="H14" s="547"/>
      <c r="I14" s="547" t="s">
        <v>381</v>
      </c>
      <c r="J14" s="547"/>
      <c r="K14" s="691">
        <v>0.05</v>
      </c>
      <c r="L14" s="691">
        <v>0.1</v>
      </c>
      <c r="M14" s="691">
        <v>0.1</v>
      </c>
      <c r="N14" s="691">
        <v>0.15</v>
      </c>
      <c r="O14" s="691">
        <v>0.1</v>
      </c>
      <c r="P14" s="691">
        <v>0.2</v>
      </c>
      <c r="Q14" s="691">
        <v>0.15</v>
      </c>
      <c r="R14" s="691">
        <v>0.15</v>
      </c>
      <c r="S14" s="691"/>
      <c r="T14" s="691"/>
      <c r="U14" s="691"/>
      <c r="V14" s="691"/>
      <c r="W14" s="691"/>
      <c r="X14" s="691"/>
      <c r="Y14" s="691"/>
      <c r="Z14" s="691"/>
      <c r="AA14" s="691"/>
      <c r="AB14" s="691"/>
      <c r="AC14" s="691"/>
      <c r="AD14" s="691"/>
      <c r="AE14" s="691"/>
      <c r="AF14" s="691"/>
      <c r="AG14" s="691"/>
      <c r="AH14" s="691"/>
      <c r="AI14" s="691"/>
      <c r="AJ14" s="691"/>
      <c r="AK14" s="691"/>
      <c r="AL14" s="691"/>
      <c r="AM14" s="691"/>
      <c r="AN14" s="691"/>
      <c r="AO14" s="691"/>
      <c r="AP14" s="691"/>
      <c r="AQ14" s="691"/>
      <c r="AR14" s="691"/>
      <c r="AS14" s="691"/>
      <c r="AT14" s="691"/>
      <c r="AU14" s="691"/>
      <c r="AV14" s="691"/>
      <c r="AW14" s="691"/>
      <c r="AX14" s="691"/>
      <c r="AY14" s="691"/>
      <c r="AZ14" s="691"/>
      <c r="BA14" s="691"/>
      <c r="BB14" s="691"/>
      <c r="BC14" s="691"/>
      <c r="BD14" s="691"/>
      <c r="BE14" s="691"/>
      <c r="BF14" s="691"/>
      <c r="BG14" s="691"/>
      <c r="BH14" s="691"/>
      <c r="BI14" s="691"/>
      <c r="BJ14" s="691"/>
      <c r="BK14" s="691"/>
      <c r="BL14" s="691"/>
      <c r="BM14" s="691"/>
      <c r="BN14" s="691"/>
      <c r="BO14" s="691"/>
      <c r="BP14" s="691"/>
      <c r="BQ14" s="691"/>
      <c r="BR14" s="691"/>
      <c r="BS14" s="691"/>
      <c r="BT14" s="691"/>
      <c r="BU14" s="691"/>
      <c r="BV14" s="691"/>
      <c r="BW14" s="691"/>
      <c r="BX14" s="691"/>
      <c r="BY14" s="691"/>
      <c r="BZ14" s="691"/>
      <c r="CA14" s="691"/>
      <c r="CB14" s="691"/>
      <c r="CC14" s="691"/>
      <c r="CD14" s="691"/>
      <c r="CE14" s="691"/>
      <c r="CF14" s="691"/>
      <c r="CG14" s="691"/>
      <c r="CH14" s="691"/>
      <c r="CI14" s="691"/>
      <c r="CJ14" s="691"/>
      <c r="CK14" s="691"/>
      <c r="CL14" s="691"/>
      <c r="CM14" s="691"/>
      <c r="CN14" s="691"/>
      <c r="CO14" s="691"/>
      <c r="CP14" s="691"/>
      <c r="CQ14" s="691"/>
      <c r="CR14" s="691"/>
      <c r="CS14" s="691"/>
      <c r="CT14" s="691"/>
      <c r="CU14" s="691"/>
      <c r="CV14" s="691"/>
      <c r="CW14" s="691"/>
      <c r="CX14" s="691"/>
      <c r="CY14" s="691"/>
      <c r="CZ14" s="691"/>
      <c r="DA14" s="691"/>
      <c r="DB14" s="691"/>
      <c r="DC14" s="691"/>
      <c r="DD14" s="691"/>
      <c r="DE14" s="691"/>
      <c r="DF14" s="691"/>
      <c r="DG14" s="691"/>
      <c r="DH14" s="691"/>
      <c r="DI14" s="691"/>
      <c r="DJ14" s="691"/>
      <c r="DK14" s="691"/>
      <c r="DL14" s="691"/>
      <c r="DM14" s="691"/>
      <c r="DN14" s="691"/>
      <c r="DO14" s="692"/>
      <c r="DP14" s="693">
        <f>SUM(K14:DN14)</f>
        <v>1</v>
      </c>
    </row>
    <row r="15" spans="3:120" x14ac:dyDescent="0.3">
      <c r="F15" s="340"/>
      <c r="I15" s="323" t="s">
        <v>382</v>
      </c>
      <c r="K15" s="462">
        <f t="shared" ref="K15" si="2">K17/$F$14</f>
        <v>0.05</v>
      </c>
      <c r="L15" s="462">
        <f>SUM(K17:L17)/$F$14</f>
        <v>0.15</v>
      </c>
      <c r="M15" s="462">
        <f>SUM(K17:M17)/$F$14</f>
        <v>0.25</v>
      </c>
      <c r="N15" s="462">
        <f>SUM(K17:N17)/$F$14</f>
        <v>0.4</v>
      </c>
      <c r="O15" s="462">
        <f>SUM(K17:O17)/$F$14</f>
        <v>0.5</v>
      </c>
      <c r="P15" s="462">
        <f>SUM(K17:P17)/$F$14</f>
        <v>0.7</v>
      </c>
      <c r="Q15" s="462">
        <f>SUM(K17:Q17)/$F$14</f>
        <v>0.85</v>
      </c>
      <c r="R15" s="462">
        <f>SUM(K17:R17)/$F$14</f>
        <v>1</v>
      </c>
      <c r="S15" s="462"/>
      <c r="T15" s="462"/>
      <c r="U15" s="462"/>
      <c r="V15" s="462"/>
      <c r="W15" s="462"/>
      <c r="X15" s="462"/>
      <c r="Y15" s="462"/>
      <c r="Z15" s="462"/>
      <c r="AA15" s="462"/>
      <c r="AB15" s="462"/>
      <c r="AC15" s="462"/>
      <c r="AD15" s="462"/>
      <c r="AE15" s="462"/>
      <c r="AF15" s="462"/>
      <c r="AG15" s="462"/>
      <c r="AH15" s="462"/>
      <c r="AI15" s="462"/>
      <c r="AJ15" s="462"/>
      <c r="AK15" s="462"/>
      <c r="AL15" s="462"/>
      <c r="AM15" s="462"/>
      <c r="AN15" s="462"/>
      <c r="AO15" s="462"/>
      <c r="AP15" s="462"/>
      <c r="AQ15" s="462"/>
      <c r="AR15" s="462"/>
      <c r="AS15" s="462"/>
      <c r="AT15" s="462"/>
      <c r="AU15" s="462"/>
      <c r="AV15" s="462"/>
      <c r="AW15" s="462"/>
      <c r="AX15" s="462"/>
      <c r="AY15" s="462"/>
      <c r="AZ15" s="462"/>
      <c r="BA15" s="462"/>
      <c r="BB15" s="462"/>
      <c r="BC15" s="462"/>
      <c r="BD15" s="462"/>
      <c r="BE15" s="462"/>
      <c r="BF15" s="462"/>
      <c r="BG15" s="462"/>
      <c r="BH15" s="462"/>
      <c r="BI15" s="462"/>
      <c r="BJ15" s="462"/>
      <c r="BK15" s="462"/>
      <c r="BL15" s="462"/>
      <c r="BM15" s="462"/>
      <c r="BN15" s="462"/>
      <c r="BO15" s="462"/>
      <c r="BP15" s="462"/>
      <c r="BQ15" s="462"/>
      <c r="BR15" s="462"/>
      <c r="BS15" s="462"/>
      <c r="BT15" s="462"/>
      <c r="BU15" s="462"/>
      <c r="BV15" s="462"/>
      <c r="BW15" s="462"/>
      <c r="BX15" s="462"/>
      <c r="BY15" s="462"/>
      <c r="BZ15" s="462"/>
      <c r="CA15" s="462"/>
      <c r="CB15" s="462"/>
      <c r="CC15" s="462"/>
      <c r="CD15" s="462"/>
      <c r="CE15" s="462"/>
      <c r="CF15" s="462"/>
      <c r="CG15" s="462"/>
      <c r="CH15" s="462"/>
      <c r="CI15" s="462"/>
      <c r="CJ15" s="462"/>
      <c r="CK15" s="462"/>
      <c r="CL15" s="462"/>
      <c r="CM15" s="462"/>
      <c r="CN15" s="462"/>
      <c r="CO15" s="462"/>
      <c r="CP15" s="462"/>
      <c r="CQ15" s="462"/>
      <c r="CR15" s="462"/>
      <c r="CS15" s="462"/>
      <c r="CT15" s="462"/>
      <c r="CU15" s="462"/>
      <c r="CV15" s="462"/>
      <c r="CW15" s="462"/>
      <c r="CX15" s="462"/>
      <c r="CY15" s="462"/>
      <c r="CZ15" s="462"/>
      <c r="DA15" s="462"/>
      <c r="DB15" s="462"/>
      <c r="DC15" s="462"/>
      <c r="DD15" s="462"/>
      <c r="DE15" s="462"/>
      <c r="DF15" s="462"/>
      <c r="DG15" s="462"/>
      <c r="DH15" s="462"/>
      <c r="DI15" s="462"/>
      <c r="DJ15" s="462"/>
      <c r="DK15" s="462"/>
      <c r="DL15" s="462"/>
      <c r="DM15" s="462"/>
      <c r="DN15" s="462"/>
      <c r="DO15" s="435"/>
      <c r="DP15" s="341"/>
    </row>
    <row r="16" spans="3:120" ht="14.4" thickBot="1" x14ac:dyDescent="0.35">
      <c r="C16" s="325"/>
      <c r="D16" s="327"/>
      <c r="E16" s="327"/>
      <c r="F16" s="327"/>
      <c r="G16" s="327"/>
      <c r="H16" s="327"/>
      <c r="I16" s="327"/>
      <c r="J16" s="327"/>
      <c r="K16" s="327"/>
      <c r="L16" s="327"/>
      <c r="M16" s="327"/>
      <c r="N16" s="327"/>
      <c r="O16" s="327"/>
      <c r="P16" s="327"/>
      <c r="Q16" s="327"/>
      <c r="R16" s="327"/>
      <c r="S16" s="327"/>
      <c r="T16" s="327"/>
      <c r="U16" s="327"/>
      <c r="V16" s="327"/>
      <c r="W16" s="327"/>
      <c r="X16" s="327"/>
      <c r="Y16" s="327"/>
      <c r="Z16" s="327"/>
      <c r="AA16" s="327"/>
      <c r="AB16" s="327"/>
      <c r="AC16" s="327"/>
      <c r="AD16" s="327"/>
      <c r="AE16" s="327"/>
      <c r="AF16" s="327"/>
      <c r="AG16" s="327"/>
      <c r="AH16" s="327"/>
      <c r="AI16" s="327"/>
      <c r="AJ16" s="327"/>
      <c r="AK16" s="327"/>
      <c r="AL16" s="327"/>
      <c r="AM16" s="327"/>
      <c r="AN16" s="327"/>
      <c r="AO16" s="327"/>
      <c r="AP16" s="327"/>
      <c r="AQ16" s="327"/>
      <c r="AR16" s="327"/>
      <c r="AS16" s="327"/>
      <c r="AT16" s="327"/>
      <c r="AU16" s="327"/>
      <c r="AV16" s="327"/>
      <c r="AW16" s="327"/>
      <c r="AX16" s="327"/>
      <c r="AY16" s="327"/>
      <c r="AZ16" s="327"/>
      <c r="BA16" s="327"/>
      <c r="BB16" s="327"/>
      <c r="BC16" s="327"/>
      <c r="BD16" s="327"/>
      <c r="BE16" s="327"/>
      <c r="BF16" s="327"/>
      <c r="BG16" s="327"/>
      <c r="BH16" s="327"/>
      <c r="BI16" s="327"/>
      <c r="BJ16" s="327"/>
      <c r="BK16" s="327"/>
      <c r="BL16" s="327"/>
      <c r="BM16" s="327"/>
      <c r="BN16" s="327"/>
      <c r="BO16" s="327"/>
      <c r="BP16" s="327"/>
      <c r="BQ16" s="327"/>
      <c r="BR16" s="327"/>
      <c r="BS16" s="327"/>
      <c r="BT16" s="327"/>
      <c r="BU16" s="327"/>
      <c r="BV16" s="327"/>
      <c r="BW16" s="327"/>
      <c r="BX16" s="327"/>
      <c r="BY16" s="327"/>
      <c r="BZ16" s="327"/>
      <c r="CA16" s="327"/>
      <c r="CB16" s="327"/>
      <c r="CC16" s="327"/>
      <c r="CD16" s="327"/>
      <c r="CE16" s="327"/>
      <c r="CF16" s="327"/>
      <c r="CG16" s="327"/>
      <c r="CH16" s="327"/>
      <c r="CI16" s="327"/>
      <c r="CJ16" s="327"/>
      <c r="CK16" s="327"/>
      <c r="CL16" s="327"/>
      <c r="CM16" s="327"/>
      <c r="CN16" s="327"/>
      <c r="CO16" s="327"/>
      <c r="CP16" s="327"/>
      <c r="CQ16" s="327"/>
      <c r="CR16" s="327"/>
      <c r="CS16" s="327"/>
      <c r="CT16" s="327"/>
      <c r="CU16" s="327"/>
      <c r="CV16" s="327"/>
      <c r="CW16" s="327"/>
      <c r="CX16" s="327"/>
      <c r="CY16" s="327"/>
      <c r="CZ16" s="327"/>
      <c r="DA16" s="327"/>
      <c r="DB16" s="327"/>
      <c r="DC16" s="327"/>
      <c r="DD16" s="327"/>
      <c r="DE16" s="327"/>
      <c r="DF16" s="327"/>
      <c r="DG16" s="327"/>
      <c r="DH16" s="327"/>
      <c r="DI16" s="327"/>
      <c r="DJ16" s="327"/>
      <c r="DK16" s="327"/>
      <c r="DL16" s="327"/>
      <c r="DM16" s="327"/>
      <c r="DN16" s="327"/>
      <c r="DO16" s="327"/>
      <c r="DP16" s="709"/>
    </row>
    <row r="17" spans="3:120" x14ac:dyDescent="0.3">
      <c r="C17" s="375" t="s">
        <v>468</v>
      </c>
      <c r="I17" s="340">
        <f>SUM(K17:DN17)</f>
        <v>1369000</v>
      </c>
      <c r="J17" s="340"/>
      <c r="K17" s="460">
        <f t="shared" ref="K17:R17" si="3">K14*$F$14</f>
        <v>68450</v>
      </c>
      <c r="L17" s="460">
        <f t="shared" si="3"/>
        <v>136900</v>
      </c>
      <c r="M17" s="460">
        <f t="shared" si="3"/>
        <v>136900</v>
      </c>
      <c r="N17" s="460">
        <f t="shared" si="3"/>
        <v>205350</v>
      </c>
      <c r="O17" s="460">
        <f t="shared" si="3"/>
        <v>136900</v>
      </c>
      <c r="P17" s="460">
        <f t="shared" si="3"/>
        <v>273800</v>
      </c>
      <c r="Q17" s="460">
        <f t="shared" si="3"/>
        <v>205350</v>
      </c>
      <c r="R17" s="460">
        <f t="shared" si="3"/>
        <v>205350</v>
      </c>
      <c r="S17" s="460">
        <f>S14*$F$14</f>
        <v>0</v>
      </c>
      <c r="T17" s="460">
        <f t="shared" ref="T17:CC17" si="4">T14*$F$14</f>
        <v>0</v>
      </c>
      <c r="U17" s="460">
        <f t="shared" si="4"/>
        <v>0</v>
      </c>
      <c r="V17" s="460">
        <f t="shared" si="4"/>
        <v>0</v>
      </c>
      <c r="W17" s="460">
        <f t="shared" si="4"/>
        <v>0</v>
      </c>
      <c r="X17" s="460">
        <f t="shared" si="4"/>
        <v>0</v>
      </c>
      <c r="Y17" s="460">
        <f t="shared" si="4"/>
        <v>0</v>
      </c>
      <c r="Z17" s="460">
        <f t="shared" si="4"/>
        <v>0</v>
      </c>
      <c r="AA17" s="460">
        <f t="shared" si="4"/>
        <v>0</v>
      </c>
      <c r="AB17" s="460">
        <f t="shared" si="4"/>
        <v>0</v>
      </c>
      <c r="AC17" s="460">
        <f t="shared" si="4"/>
        <v>0</v>
      </c>
      <c r="AD17" s="460">
        <f t="shared" si="4"/>
        <v>0</v>
      </c>
      <c r="AE17" s="460">
        <f t="shared" si="4"/>
        <v>0</v>
      </c>
      <c r="AF17" s="460">
        <f t="shared" si="4"/>
        <v>0</v>
      </c>
      <c r="AG17" s="460">
        <f t="shared" si="4"/>
        <v>0</v>
      </c>
      <c r="AH17" s="460">
        <f t="shared" si="4"/>
        <v>0</v>
      </c>
      <c r="AI17" s="460">
        <f t="shared" si="4"/>
        <v>0</v>
      </c>
      <c r="AJ17" s="460">
        <f t="shared" si="4"/>
        <v>0</v>
      </c>
      <c r="AK17" s="460">
        <f t="shared" si="4"/>
        <v>0</v>
      </c>
      <c r="AL17" s="460">
        <f t="shared" si="4"/>
        <v>0</v>
      </c>
      <c r="AM17" s="460">
        <f t="shared" si="4"/>
        <v>0</v>
      </c>
      <c r="AN17" s="460">
        <f t="shared" si="4"/>
        <v>0</v>
      </c>
      <c r="AO17" s="460">
        <f t="shared" si="4"/>
        <v>0</v>
      </c>
      <c r="AP17" s="460">
        <f t="shared" si="4"/>
        <v>0</v>
      </c>
      <c r="AQ17" s="460">
        <f t="shared" si="4"/>
        <v>0</v>
      </c>
      <c r="AR17" s="460">
        <f t="shared" si="4"/>
        <v>0</v>
      </c>
      <c r="AS17" s="460">
        <f t="shared" si="4"/>
        <v>0</v>
      </c>
      <c r="AT17" s="460">
        <f t="shared" si="4"/>
        <v>0</v>
      </c>
      <c r="AU17" s="460">
        <f t="shared" si="4"/>
        <v>0</v>
      </c>
      <c r="AV17" s="460">
        <f t="shared" si="4"/>
        <v>0</v>
      </c>
      <c r="AW17" s="460">
        <f t="shared" si="4"/>
        <v>0</v>
      </c>
      <c r="AX17" s="460">
        <f t="shared" si="4"/>
        <v>0</v>
      </c>
      <c r="AY17" s="460">
        <f t="shared" si="4"/>
        <v>0</v>
      </c>
      <c r="AZ17" s="460">
        <f t="shared" si="4"/>
        <v>0</v>
      </c>
      <c r="BA17" s="460">
        <f t="shared" si="4"/>
        <v>0</v>
      </c>
      <c r="BB17" s="460">
        <f t="shared" si="4"/>
        <v>0</v>
      </c>
      <c r="BC17" s="460">
        <f t="shared" si="4"/>
        <v>0</v>
      </c>
      <c r="BD17" s="460">
        <f t="shared" si="4"/>
        <v>0</v>
      </c>
      <c r="BE17" s="460">
        <f t="shared" si="4"/>
        <v>0</v>
      </c>
      <c r="BF17" s="460">
        <f t="shared" si="4"/>
        <v>0</v>
      </c>
      <c r="BG17" s="460">
        <f t="shared" si="4"/>
        <v>0</v>
      </c>
      <c r="BH17" s="460">
        <f t="shared" si="4"/>
        <v>0</v>
      </c>
      <c r="BI17" s="460">
        <f t="shared" si="4"/>
        <v>0</v>
      </c>
      <c r="BJ17" s="460">
        <f t="shared" si="4"/>
        <v>0</v>
      </c>
      <c r="BK17" s="460">
        <f t="shared" si="4"/>
        <v>0</v>
      </c>
      <c r="BL17" s="460">
        <f t="shared" si="4"/>
        <v>0</v>
      </c>
      <c r="BM17" s="460">
        <f t="shared" si="4"/>
        <v>0</v>
      </c>
      <c r="BN17" s="460">
        <f t="shared" si="4"/>
        <v>0</v>
      </c>
      <c r="BO17" s="460">
        <f t="shared" si="4"/>
        <v>0</v>
      </c>
      <c r="BP17" s="460">
        <f t="shared" si="4"/>
        <v>0</v>
      </c>
      <c r="BQ17" s="460">
        <f t="shared" si="4"/>
        <v>0</v>
      </c>
      <c r="BR17" s="460">
        <f t="shared" si="4"/>
        <v>0</v>
      </c>
      <c r="BS17" s="460">
        <f t="shared" si="4"/>
        <v>0</v>
      </c>
      <c r="BT17" s="460">
        <f t="shared" si="4"/>
        <v>0</v>
      </c>
      <c r="BU17" s="460">
        <f t="shared" si="4"/>
        <v>0</v>
      </c>
      <c r="BV17" s="460">
        <f t="shared" si="4"/>
        <v>0</v>
      </c>
      <c r="BW17" s="460">
        <f t="shared" si="4"/>
        <v>0</v>
      </c>
      <c r="BX17" s="460">
        <f t="shared" si="4"/>
        <v>0</v>
      </c>
      <c r="BY17" s="460">
        <f t="shared" si="4"/>
        <v>0</v>
      </c>
      <c r="BZ17" s="460">
        <f t="shared" si="4"/>
        <v>0</v>
      </c>
      <c r="CA17" s="460">
        <f t="shared" si="4"/>
        <v>0</v>
      </c>
      <c r="CB17" s="460">
        <f t="shared" si="4"/>
        <v>0</v>
      </c>
      <c r="CC17" s="460">
        <f t="shared" si="4"/>
        <v>0</v>
      </c>
      <c r="CD17" s="460">
        <f t="shared" ref="CD17:DA17" si="5">CD14*$F$14</f>
        <v>0</v>
      </c>
      <c r="CE17" s="460">
        <f t="shared" si="5"/>
        <v>0</v>
      </c>
      <c r="CF17" s="460">
        <f t="shared" si="5"/>
        <v>0</v>
      </c>
      <c r="CG17" s="460">
        <f t="shared" si="5"/>
        <v>0</v>
      </c>
      <c r="CH17" s="460">
        <f t="shared" si="5"/>
        <v>0</v>
      </c>
      <c r="CI17" s="460">
        <f t="shared" si="5"/>
        <v>0</v>
      </c>
      <c r="CJ17" s="460">
        <f t="shared" si="5"/>
        <v>0</v>
      </c>
      <c r="CK17" s="460">
        <f t="shared" si="5"/>
        <v>0</v>
      </c>
      <c r="CL17" s="460">
        <f t="shared" si="5"/>
        <v>0</v>
      </c>
      <c r="CM17" s="460">
        <f t="shared" si="5"/>
        <v>0</v>
      </c>
      <c r="CN17" s="460">
        <f t="shared" si="5"/>
        <v>0</v>
      </c>
      <c r="CO17" s="460">
        <f t="shared" si="5"/>
        <v>0</v>
      </c>
      <c r="CP17" s="460">
        <f t="shared" si="5"/>
        <v>0</v>
      </c>
      <c r="CQ17" s="460">
        <f t="shared" si="5"/>
        <v>0</v>
      </c>
      <c r="CR17" s="460">
        <f t="shared" si="5"/>
        <v>0</v>
      </c>
      <c r="CS17" s="460">
        <f t="shared" si="5"/>
        <v>0</v>
      </c>
      <c r="CT17" s="460">
        <f t="shared" si="5"/>
        <v>0</v>
      </c>
      <c r="CU17" s="460">
        <f t="shared" si="5"/>
        <v>0</v>
      </c>
      <c r="CV17" s="460">
        <f t="shared" si="5"/>
        <v>0</v>
      </c>
      <c r="CW17" s="460">
        <f t="shared" si="5"/>
        <v>0</v>
      </c>
      <c r="CX17" s="460">
        <f t="shared" si="5"/>
        <v>0</v>
      </c>
      <c r="CY17" s="460">
        <f t="shared" si="5"/>
        <v>0</v>
      </c>
      <c r="CZ17" s="460">
        <f t="shared" si="5"/>
        <v>0</v>
      </c>
      <c r="DA17" s="460">
        <f t="shared" si="5"/>
        <v>0</v>
      </c>
      <c r="DB17" s="460">
        <f t="shared" ref="DB17:DN17" si="6">DB14*$F$14</f>
        <v>0</v>
      </c>
      <c r="DC17" s="460">
        <f t="shared" si="6"/>
        <v>0</v>
      </c>
      <c r="DD17" s="460">
        <f t="shared" si="6"/>
        <v>0</v>
      </c>
      <c r="DE17" s="460">
        <f t="shared" si="6"/>
        <v>0</v>
      </c>
      <c r="DF17" s="460">
        <f t="shared" si="6"/>
        <v>0</v>
      </c>
      <c r="DG17" s="460">
        <f t="shared" si="6"/>
        <v>0</v>
      </c>
      <c r="DH17" s="460">
        <f t="shared" si="6"/>
        <v>0</v>
      </c>
      <c r="DI17" s="460">
        <f t="shared" si="6"/>
        <v>0</v>
      </c>
      <c r="DJ17" s="460">
        <f t="shared" si="6"/>
        <v>0</v>
      </c>
      <c r="DK17" s="460">
        <f t="shared" si="6"/>
        <v>0</v>
      </c>
      <c r="DL17" s="460">
        <f t="shared" si="6"/>
        <v>0</v>
      </c>
      <c r="DM17" s="460">
        <f t="shared" si="6"/>
        <v>0</v>
      </c>
      <c r="DN17" s="460">
        <f t="shared" si="6"/>
        <v>0</v>
      </c>
      <c r="DP17" s="439">
        <f>SUM(K17:DN17)</f>
        <v>1369000</v>
      </c>
    </row>
    <row r="18" spans="3:120" x14ac:dyDescent="0.3">
      <c r="DP18" s="341"/>
    </row>
    <row r="19" spans="3:120" ht="24.6" x14ac:dyDescent="0.3">
      <c r="C19" s="490"/>
      <c r="D19" s="486" t="s">
        <v>610</v>
      </c>
      <c r="E19" s="486"/>
      <c r="F19" s="487" t="s">
        <v>402</v>
      </c>
      <c r="G19" s="486"/>
      <c r="H19" s="486"/>
      <c r="I19" s="486"/>
      <c r="J19" s="486"/>
      <c r="K19" s="486"/>
      <c r="L19" s="486"/>
      <c r="M19" s="486"/>
      <c r="N19" s="486"/>
      <c r="O19" s="486"/>
      <c r="P19" s="486"/>
      <c r="Q19" s="486"/>
      <c r="R19" s="486"/>
      <c r="S19" s="486"/>
      <c r="T19" s="486"/>
      <c r="U19" s="486"/>
      <c r="V19" s="486"/>
      <c r="W19" s="486"/>
      <c r="X19" s="486"/>
      <c r="Y19" s="486"/>
      <c r="Z19" s="486"/>
      <c r="AA19" s="486"/>
      <c r="AB19" s="486"/>
      <c r="AC19" s="486"/>
      <c r="AD19" s="486"/>
      <c r="AE19" s="486"/>
      <c r="AF19" s="486"/>
      <c r="AG19" s="486"/>
      <c r="AH19" s="486"/>
      <c r="AI19" s="486"/>
      <c r="AJ19" s="486"/>
      <c r="AK19" s="486"/>
      <c r="AL19" s="486"/>
      <c r="AM19" s="486"/>
      <c r="AN19" s="486"/>
      <c r="AO19" s="486"/>
      <c r="AP19" s="486"/>
      <c r="AQ19" s="486"/>
      <c r="AR19" s="486"/>
      <c r="AS19" s="486"/>
      <c r="AT19" s="486"/>
      <c r="AU19" s="486"/>
      <c r="AV19" s="486"/>
      <c r="AW19" s="486"/>
      <c r="AX19" s="486"/>
      <c r="AY19" s="486"/>
      <c r="AZ19" s="486"/>
      <c r="BA19" s="486"/>
      <c r="BB19" s="486"/>
      <c r="BC19" s="486"/>
      <c r="BD19" s="486"/>
      <c r="BE19" s="486"/>
      <c r="BF19" s="486"/>
      <c r="BG19" s="486"/>
      <c r="BH19" s="486"/>
      <c r="BI19" s="486"/>
      <c r="BJ19" s="486"/>
      <c r="BK19" s="486"/>
      <c r="BL19" s="486"/>
      <c r="BM19" s="486"/>
      <c r="BN19" s="486"/>
      <c r="BO19" s="486"/>
      <c r="BP19" s="486"/>
      <c r="BQ19" s="486"/>
      <c r="BR19" s="486"/>
      <c r="BS19" s="486"/>
      <c r="BT19" s="486"/>
      <c r="BU19" s="486"/>
      <c r="BV19" s="486"/>
      <c r="BW19" s="486"/>
      <c r="BX19" s="486"/>
      <c r="BY19" s="486"/>
      <c r="BZ19" s="486"/>
      <c r="CA19" s="486"/>
      <c r="CB19" s="486"/>
      <c r="CC19" s="486"/>
      <c r="CD19" s="486"/>
      <c r="CE19" s="486"/>
      <c r="CF19" s="486"/>
      <c r="CG19" s="486"/>
      <c r="CH19" s="486"/>
      <c r="CI19" s="486"/>
      <c r="CJ19" s="486"/>
      <c r="CK19" s="486"/>
      <c r="CL19" s="486"/>
      <c r="CM19" s="486"/>
      <c r="CN19" s="486"/>
      <c r="CO19" s="486"/>
      <c r="CP19" s="486"/>
      <c r="CQ19" s="486"/>
      <c r="CR19" s="486"/>
      <c r="CS19" s="486"/>
      <c r="CT19" s="486"/>
      <c r="CU19" s="486"/>
      <c r="CV19" s="486"/>
      <c r="CW19" s="486"/>
      <c r="CX19" s="486"/>
      <c r="CY19" s="486"/>
      <c r="CZ19" s="486"/>
      <c r="DA19" s="486"/>
      <c r="DB19" s="486"/>
      <c r="DC19" s="486"/>
      <c r="DD19" s="486"/>
      <c r="DE19" s="486"/>
      <c r="DF19" s="486"/>
      <c r="DG19" s="486"/>
      <c r="DH19" s="486"/>
      <c r="DI19" s="486"/>
      <c r="DJ19" s="486"/>
      <c r="DK19" s="486"/>
      <c r="DL19" s="486"/>
      <c r="DM19" s="486"/>
      <c r="DN19" s="486"/>
      <c r="DO19" s="486"/>
      <c r="DP19" s="488"/>
    </row>
    <row r="20" spans="3:120" x14ac:dyDescent="0.3">
      <c r="C20" s="684"/>
      <c r="D20" s="547" t="s">
        <v>282</v>
      </c>
      <c r="E20" s="547"/>
      <c r="F20" s="690">
        <f>IF('Table 3.0'!L6="y",ROUND(Amenities!N15,-3),0)</f>
        <v>502000</v>
      </c>
      <c r="G20" s="693">
        <f>SUM(K20:DN20)</f>
        <v>1</v>
      </c>
      <c r="H20" s="547"/>
      <c r="I20" s="547" t="s">
        <v>381</v>
      </c>
      <c r="J20" s="547"/>
      <c r="K20" s="691">
        <v>0.25</v>
      </c>
      <c r="L20" s="691">
        <v>8.5000000000000006E-2</v>
      </c>
      <c r="M20" s="691">
        <v>0.06</v>
      </c>
      <c r="N20" s="691">
        <v>0.05</v>
      </c>
      <c r="O20" s="691">
        <v>9.5000000000000001E-2</v>
      </c>
      <c r="P20" s="691">
        <v>0.04</v>
      </c>
      <c r="Q20" s="691">
        <v>7.4999999999999997E-2</v>
      </c>
      <c r="R20" s="691">
        <v>0.04</v>
      </c>
      <c r="S20" s="691">
        <v>0.09</v>
      </c>
      <c r="T20" s="691">
        <v>7.0000000000000007E-2</v>
      </c>
      <c r="U20" s="691">
        <v>7.0000000000000007E-2</v>
      </c>
      <c r="V20" s="691">
        <v>7.4999999999999997E-2</v>
      </c>
      <c r="W20" s="691"/>
      <c r="X20" s="691"/>
      <c r="Y20" s="691"/>
      <c r="Z20" s="691"/>
      <c r="AA20" s="691"/>
      <c r="AB20" s="691"/>
      <c r="AC20" s="691"/>
      <c r="AD20" s="691"/>
      <c r="AE20" s="691"/>
      <c r="AF20" s="691"/>
      <c r="AG20" s="691"/>
      <c r="AH20" s="691"/>
      <c r="AI20" s="691"/>
      <c r="AJ20" s="691"/>
      <c r="AK20" s="691"/>
      <c r="AL20" s="547"/>
      <c r="AM20" s="547"/>
      <c r="AN20" s="547"/>
      <c r="AO20" s="547"/>
      <c r="AP20" s="547"/>
      <c r="AQ20" s="547"/>
      <c r="AR20" s="547"/>
      <c r="AS20" s="547"/>
      <c r="AT20" s="547"/>
      <c r="AU20" s="547"/>
      <c r="AV20" s="547"/>
      <c r="AW20" s="547"/>
      <c r="AX20" s="547"/>
      <c r="AY20" s="547"/>
      <c r="AZ20" s="547"/>
      <c r="BA20" s="547"/>
      <c r="BB20" s="547"/>
      <c r="BC20" s="547"/>
      <c r="BD20" s="547"/>
      <c r="BE20" s="547"/>
      <c r="BF20" s="547"/>
      <c r="BG20" s="547"/>
      <c r="BH20" s="547"/>
      <c r="BI20" s="547"/>
      <c r="BJ20" s="547"/>
      <c r="BK20" s="547"/>
      <c r="BL20" s="547"/>
      <c r="BM20" s="547"/>
      <c r="BN20" s="547"/>
      <c r="BO20" s="547"/>
      <c r="BP20" s="547"/>
      <c r="BQ20" s="547"/>
      <c r="BR20" s="547"/>
      <c r="BS20" s="547"/>
      <c r="BT20" s="547"/>
      <c r="BU20" s="547"/>
      <c r="BV20" s="547"/>
      <c r="BW20" s="547"/>
      <c r="BX20" s="547"/>
      <c r="BY20" s="547"/>
      <c r="BZ20" s="547"/>
      <c r="CA20" s="547"/>
      <c r="CB20" s="547"/>
      <c r="CC20" s="547"/>
      <c r="CD20" s="547"/>
      <c r="CE20" s="547"/>
      <c r="CF20" s="547"/>
      <c r="CG20" s="547"/>
      <c r="CH20" s="547"/>
      <c r="CI20" s="547"/>
      <c r="CJ20" s="547"/>
      <c r="CK20" s="547"/>
      <c r="CL20" s="547"/>
      <c r="CM20" s="547"/>
      <c r="CN20" s="547"/>
      <c r="CO20" s="547"/>
      <c r="CP20" s="547"/>
      <c r="CQ20" s="547"/>
      <c r="CR20" s="547"/>
      <c r="CS20" s="547"/>
      <c r="CT20" s="547"/>
      <c r="CU20" s="547"/>
      <c r="CV20" s="547"/>
      <c r="CW20" s="547"/>
      <c r="CX20" s="547"/>
      <c r="CY20" s="547"/>
      <c r="CZ20" s="547"/>
      <c r="DA20" s="547"/>
      <c r="DB20" s="547"/>
      <c r="DC20" s="547"/>
      <c r="DD20" s="547"/>
      <c r="DE20" s="547"/>
      <c r="DF20" s="547"/>
      <c r="DG20" s="547"/>
      <c r="DH20" s="547"/>
      <c r="DI20" s="547"/>
      <c r="DJ20" s="547"/>
      <c r="DK20" s="547"/>
      <c r="DL20" s="547"/>
      <c r="DM20" s="547"/>
      <c r="DN20" s="547"/>
      <c r="DO20" s="547"/>
      <c r="DP20" s="693">
        <f>SUM(K20:DN20)</f>
        <v>1</v>
      </c>
    </row>
    <row r="21" spans="3:120" x14ac:dyDescent="0.3">
      <c r="C21" s="684"/>
      <c r="D21" s="547" t="s">
        <v>541</v>
      </c>
      <c r="E21" s="694"/>
      <c r="F21" s="695">
        <f>IF('Table 3.0'!L6="y",ROUND(Amenities!O15,-3),0)</f>
        <v>129000</v>
      </c>
      <c r="G21" s="696">
        <f>SUM(K21:DN21)</f>
        <v>1</v>
      </c>
      <c r="H21" s="547"/>
      <c r="I21" s="547" t="s">
        <v>381</v>
      </c>
      <c r="J21" s="547"/>
      <c r="K21" s="547"/>
      <c r="L21" s="547"/>
      <c r="M21" s="547"/>
      <c r="N21" s="547"/>
      <c r="O21" s="547"/>
      <c r="P21" s="547"/>
      <c r="Q21" s="547"/>
      <c r="R21" s="547"/>
      <c r="S21" s="547"/>
      <c r="T21" s="547"/>
      <c r="U21" s="691">
        <v>0.5</v>
      </c>
      <c r="V21" s="691">
        <v>0.5</v>
      </c>
      <c r="W21" s="691"/>
      <c r="X21" s="691"/>
      <c r="Y21" s="691"/>
      <c r="Z21" s="691"/>
      <c r="AA21" s="691"/>
      <c r="AB21" s="691"/>
      <c r="AC21" s="691"/>
      <c r="AD21" s="691"/>
      <c r="AE21" s="691"/>
      <c r="AF21" s="691"/>
      <c r="AG21" s="691"/>
      <c r="AH21" s="691"/>
      <c r="AI21" s="691"/>
      <c r="AJ21" s="691"/>
      <c r="AK21" s="691"/>
      <c r="AL21" s="691"/>
      <c r="AM21" s="547"/>
      <c r="AN21" s="547"/>
      <c r="AO21" s="547"/>
      <c r="AP21" s="547"/>
      <c r="AQ21" s="547"/>
      <c r="AR21" s="547"/>
      <c r="AS21" s="547"/>
      <c r="AT21" s="547"/>
      <c r="AU21" s="547"/>
      <c r="AV21" s="547"/>
      <c r="AW21" s="547"/>
      <c r="AX21" s="547"/>
      <c r="AY21" s="547"/>
      <c r="AZ21" s="547"/>
      <c r="BA21" s="547"/>
      <c r="BB21" s="547"/>
      <c r="BC21" s="547"/>
      <c r="BD21" s="547"/>
      <c r="BE21" s="547"/>
      <c r="BF21" s="547"/>
      <c r="BG21" s="547"/>
      <c r="BH21" s="547"/>
      <c r="BI21" s="547"/>
      <c r="BJ21" s="547"/>
      <c r="BK21" s="547"/>
      <c r="BL21" s="547"/>
      <c r="BM21" s="547"/>
      <c r="BN21" s="547"/>
      <c r="BO21" s="547"/>
      <c r="BP21" s="547"/>
      <c r="BQ21" s="547"/>
      <c r="BR21" s="547"/>
      <c r="BS21" s="547"/>
      <c r="BT21" s="547"/>
      <c r="BU21" s="547"/>
      <c r="BV21" s="547"/>
      <c r="BW21" s="547"/>
      <c r="BX21" s="547"/>
      <c r="BY21" s="547"/>
      <c r="BZ21" s="547"/>
      <c r="CA21" s="547"/>
      <c r="CB21" s="547"/>
      <c r="CC21" s="547"/>
      <c r="CD21" s="547"/>
      <c r="CE21" s="547"/>
      <c r="CF21" s="547"/>
      <c r="CG21" s="547"/>
      <c r="CH21" s="547"/>
      <c r="CI21" s="547"/>
      <c r="CJ21" s="547"/>
      <c r="CK21" s="547"/>
      <c r="CL21" s="547"/>
      <c r="CM21" s="547"/>
      <c r="CN21" s="547"/>
      <c r="CO21" s="547"/>
      <c r="CP21" s="547"/>
      <c r="CQ21" s="547"/>
      <c r="CR21" s="547"/>
      <c r="CS21" s="547"/>
      <c r="CT21" s="547"/>
      <c r="CU21" s="547"/>
      <c r="CV21" s="547"/>
      <c r="CW21" s="547"/>
      <c r="CX21" s="547"/>
      <c r="CY21" s="547"/>
      <c r="CZ21" s="547"/>
      <c r="DA21" s="547"/>
      <c r="DB21" s="547"/>
      <c r="DC21" s="547"/>
      <c r="DD21" s="547"/>
      <c r="DE21" s="547"/>
      <c r="DF21" s="547"/>
      <c r="DG21" s="547"/>
      <c r="DH21" s="547"/>
      <c r="DI21" s="547"/>
      <c r="DJ21" s="547"/>
      <c r="DK21" s="547"/>
      <c r="DL21" s="547"/>
      <c r="DM21" s="547"/>
      <c r="DN21" s="547"/>
      <c r="DO21" s="547"/>
      <c r="DP21" s="693">
        <f>SUM(K21:DN21)</f>
        <v>1</v>
      </c>
    </row>
    <row r="22" spans="3:120" x14ac:dyDescent="0.3">
      <c r="F22" s="340">
        <f>SUM(F20:F21)</f>
        <v>631000</v>
      </c>
      <c r="I22" s="323" t="s">
        <v>614</v>
      </c>
      <c r="K22" s="462">
        <f t="shared" ref="K22" si="7">K26/$F$22</f>
        <v>0.1988906497622821</v>
      </c>
      <c r="L22" s="462">
        <f>SUM(K26:L26)/$F$22</f>
        <v>0.26651347068145798</v>
      </c>
      <c r="M22" s="462">
        <f>SUM(K26:M26)/$F$22</f>
        <v>0.31424722662440568</v>
      </c>
      <c r="N22" s="462">
        <f>SUM(K26:N26)/$F$22</f>
        <v>0.35402535657686213</v>
      </c>
      <c r="O22" s="462">
        <f>SUM(K26:O26)/$F$22</f>
        <v>0.42960380348652932</v>
      </c>
      <c r="P22" s="462">
        <f>SUM(K26:P26)/$F$22</f>
        <v>0.46142630744849444</v>
      </c>
      <c r="Q22" s="462">
        <f>SUM(K26:Q26)/$F$22</f>
        <v>0.52109350237717911</v>
      </c>
      <c r="R22" s="462">
        <f>SUM(K26:R26)/$F$22</f>
        <v>0.55291600633914417</v>
      </c>
      <c r="S22" s="462">
        <f>SUM(K26:S26)/$F$22</f>
        <v>0.62451664025356579</v>
      </c>
      <c r="T22" s="462">
        <f>SUM(K26:T26)/$F$22</f>
        <v>0.68020602218700477</v>
      </c>
      <c r="U22" s="462">
        <f>SUM(K26:U26)/$F$22</f>
        <v>0.83811410459587954</v>
      </c>
      <c r="V22" s="462">
        <f>SUM(K26:V26)/$F$22</f>
        <v>1</v>
      </c>
      <c r="W22" s="462"/>
      <c r="X22" s="462"/>
      <c r="Y22" s="462"/>
      <c r="Z22" s="462"/>
      <c r="AA22" s="462"/>
      <c r="AB22" s="462"/>
      <c r="AC22" s="462"/>
      <c r="AD22" s="462"/>
      <c r="AE22" s="462"/>
      <c r="AF22" s="462"/>
      <c r="AG22" s="462"/>
      <c r="AH22" s="462"/>
      <c r="AI22" s="462"/>
      <c r="AJ22" s="462"/>
      <c r="AK22" s="462"/>
      <c r="AL22" s="462"/>
      <c r="AM22" s="462"/>
      <c r="AN22" s="462"/>
      <c r="AO22" s="462"/>
      <c r="AP22" s="462"/>
      <c r="AQ22" s="462"/>
      <c r="AR22" s="462"/>
      <c r="AS22" s="462"/>
      <c r="AT22" s="462"/>
      <c r="AU22" s="462"/>
      <c r="AV22" s="462"/>
      <c r="AW22" s="462"/>
      <c r="AX22" s="462"/>
      <c r="AY22" s="462"/>
      <c r="AZ22" s="462"/>
      <c r="BA22" s="462"/>
      <c r="BB22" s="462"/>
      <c r="BC22" s="462"/>
      <c r="BD22" s="462"/>
      <c r="BE22" s="462"/>
      <c r="BF22" s="462"/>
      <c r="BG22" s="462"/>
      <c r="BH22" s="462"/>
      <c r="BI22" s="462"/>
      <c r="BJ22" s="462"/>
      <c r="BK22" s="462"/>
      <c r="BL22" s="462"/>
      <c r="BM22" s="462"/>
      <c r="BN22" s="462"/>
      <c r="BO22" s="462"/>
      <c r="BP22" s="462"/>
      <c r="BQ22" s="462"/>
      <c r="BR22" s="462"/>
      <c r="BS22" s="462"/>
      <c r="BT22" s="462"/>
      <c r="BU22" s="462"/>
      <c r="BV22" s="462"/>
      <c r="BW22" s="462"/>
      <c r="BX22" s="462"/>
      <c r="BY22" s="462"/>
      <c r="BZ22" s="462"/>
      <c r="CA22" s="462"/>
      <c r="CB22" s="462"/>
      <c r="CC22" s="462"/>
      <c r="CD22" s="462"/>
      <c r="CE22" s="462"/>
      <c r="CF22" s="462"/>
      <c r="CG22" s="462"/>
      <c r="CH22" s="462"/>
      <c r="CI22" s="462"/>
      <c r="CJ22" s="462"/>
      <c r="CK22" s="462"/>
      <c r="CL22" s="462"/>
      <c r="CM22" s="462"/>
      <c r="CN22" s="462"/>
      <c r="CO22" s="462"/>
      <c r="CP22" s="462"/>
      <c r="CQ22" s="462"/>
      <c r="CR22" s="462"/>
      <c r="CS22" s="462"/>
      <c r="CT22" s="462"/>
      <c r="CU22" s="462"/>
      <c r="CV22" s="462"/>
      <c r="CW22" s="462"/>
      <c r="CX22" s="462"/>
      <c r="CY22" s="462"/>
      <c r="CZ22" s="462"/>
      <c r="DA22" s="462"/>
      <c r="DB22" s="462"/>
      <c r="DC22" s="462"/>
      <c r="DD22" s="462"/>
      <c r="DE22" s="462"/>
      <c r="DF22" s="462"/>
      <c r="DG22" s="462"/>
      <c r="DH22" s="462"/>
      <c r="DI22" s="462"/>
      <c r="DJ22" s="462"/>
      <c r="DK22" s="462"/>
      <c r="DL22" s="462"/>
      <c r="DM22" s="462"/>
      <c r="DN22" s="462"/>
      <c r="DP22" s="341"/>
    </row>
    <row r="23" spans="3:120" x14ac:dyDescent="0.3">
      <c r="DP23" s="341"/>
    </row>
    <row r="24" spans="3:120" x14ac:dyDescent="0.3">
      <c r="G24" s="456" t="s">
        <v>282</v>
      </c>
      <c r="I24" s="340">
        <f>SUM(K24:DN24)</f>
        <v>502000</v>
      </c>
      <c r="J24" s="340"/>
      <c r="K24" s="460">
        <f t="shared" ref="K24:R24" si="8">$F$20*K20</f>
        <v>125500</v>
      </c>
      <c r="L24" s="460">
        <f t="shared" si="8"/>
        <v>42670</v>
      </c>
      <c r="M24" s="460">
        <f t="shared" si="8"/>
        <v>30120</v>
      </c>
      <c r="N24" s="460">
        <f t="shared" si="8"/>
        <v>25100</v>
      </c>
      <c r="O24" s="460">
        <f t="shared" si="8"/>
        <v>47690</v>
      </c>
      <c r="P24" s="460">
        <f t="shared" si="8"/>
        <v>20080</v>
      </c>
      <c r="Q24" s="460">
        <f t="shared" si="8"/>
        <v>37650</v>
      </c>
      <c r="R24" s="460">
        <f t="shared" si="8"/>
        <v>20080</v>
      </c>
      <c r="S24" s="460">
        <f>$F$20*S20</f>
        <v>45180</v>
      </c>
      <c r="T24" s="460">
        <f t="shared" ref="T24:BE24" si="9">$F$20*T20</f>
        <v>35140</v>
      </c>
      <c r="U24" s="460">
        <f t="shared" si="9"/>
        <v>35140</v>
      </c>
      <c r="V24" s="460">
        <f t="shared" si="9"/>
        <v>37650</v>
      </c>
      <c r="W24" s="460">
        <f t="shared" si="9"/>
        <v>0</v>
      </c>
      <c r="X24" s="460">
        <f t="shared" si="9"/>
        <v>0</v>
      </c>
      <c r="Y24" s="460">
        <f t="shared" si="9"/>
        <v>0</v>
      </c>
      <c r="Z24" s="460">
        <f t="shared" si="9"/>
        <v>0</v>
      </c>
      <c r="AA24" s="460">
        <f t="shared" si="9"/>
        <v>0</v>
      </c>
      <c r="AB24" s="460">
        <f t="shared" si="9"/>
        <v>0</v>
      </c>
      <c r="AC24" s="460">
        <f t="shared" si="9"/>
        <v>0</v>
      </c>
      <c r="AD24" s="460">
        <f t="shared" si="9"/>
        <v>0</v>
      </c>
      <c r="AE24" s="460">
        <f t="shared" si="9"/>
        <v>0</v>
      </c>
      <c r="AF24" s="460">
        <f t="shared" si="9"/>
        <v>0</v>
      </c>
      <c r="AG24" s="460">
        <f t="shared" si="9"/>
        <v>0</v>
      </c>
      <c r="AH24" s="460">
        <f t="shared" si="9"/>
        <v>0</v>
      </c>
      <c r="AI24" s="460">
        <f t="shared" si="9"/>
        <v>0</v>
      </c>
      <c r="AJ24" s="460">
        <f t="shared" si="9"/>
        <v>0</v>
      </c>
      <c r="AK24" s="460">
        <f t="shared" si="9"/>
        <v>0</v>
      </c>
      <c r="AL24" s="460">
        <f t="shared" si="9"/>
        <v>0</v>
      </c>
      <c r="AM24" s="460">
        <f t="shared" si="9"/>
        <v>0</v>
      </c>
      <c r="AN24" s="460">
        <f t="shared" si="9"/>
        <v>0</v>
      </c>
      <c r="AO24" s="460">
        <f t="shared" si="9"/>
        <v>0</v>
      </c>
      <c r="AP24" s="460">
        <f t="shared" si="9"/>
        <v>0</v>
      </c>
      <c r="AQ24" s="460">
        <f t="shared" si="9"/>
        <v>0</v>
      </c>
      <c r="AR24" s="460">
        <f t="shared" si="9"/>
        <v>0</v>
      </c>
      <c r="AS24" s="460">
        <f t="shared" si="9"/>
        <v>0</v>
      </c>
      <c r="AT24" s="460">
        <f t="shared" si="9"/>
        <v>0</v>
      </c>
      <c r="AU24" s="460">
        <f t="shared" si="9"/>
        <v>0</v>
      </c>
      <c r="AV24" s="460">
        <f t="shared" si="9"/>
        <v>0</v>
      </c>
      <c r="AW24" s="460">
        <f t="shared" si="9"/>
        <v>0</v>
      </c>
      <c r="AX24" s="460">
        <f t="shared" si="9"/>
        <v>0</v>
      </c>
      <c r="AY24" s="460">
        <f t="shared" si="9"/>
        <v>0</v>
      </c>
      <c r="AZ24" s="460">
        <f t="shared" si="9"/>
        <v>0</v>
      </c>
      <c r="BA24" s="460">
        <f t="shared" si="9"/>
        <v>0</v>
      </c>
      <c r="BB24" s="460">
        <f t="shared" si="9"/>
        <v>0</v>
      </c>
      <c r="BC24" s="460">
        <f t="shared" si="9"/>
        <v>0</v>
      </c>
      <c r="BD24" s="460">
        <f t="shared" si="9"/>
        <v>0</v>
      </c>
      <c r="BE24" s="460">
        <f t="shared" si="9"/>
        <v>0</v>
      </c>
      <c r="BF24" s="460"/>
      <c r="BG24" s="460"/>
      <c r="BH24" s="460"/>
      <c r="BI24" s="460"/>
      <c r="BJ24" s="460"/>
      <c r="BK24" s="460"/>
      <c r="BL24" s="460"/>
      <c r="BM24" s="460"/>
      <c r="BN24" s="460"/>
      <c r="BO24" s="460"/>
      <c r="BP24" s="460"/>
      <c r="BQ24" s="460"/>
      <c r="BR24" s="460"/>
      <c r="BS24" s="460"/>
      <c r="BT24" s="460"/>
      <c r="BU24" s="460"/>
      <c r="BV24" s="460"/>
      <c r="BW24" s="460"/>
      <c r="BX24" s="460"/>
      <c r="BY24" s="460"/>
      <c r="BZ24" s="460"/>
      <c r="CA24" s="460"/>
      <c r="CB24" s="460"/>
      <c r="CC24" s="460"/>
      <c r="CD24" s="460"/>
      <c r="CE24" s="460"/>
      <c r="CF24" s="460"/>
      <c r="CG24" s="460"/>
      <c r="CH24" s="460"/>
      <c r="CI24" s="460"/>
      <c r="CJ24" s="460"/>
      <c r="CK24" s="460"/>
      <c r="CL24" s="460"/>
      <c r="CM24" s="460"/>
      <c r="CN24" s="460"/>
      <c r="CO24" s="460"/>
      <c r="CP24" s="460"/>
      <c r="CQ24" s="460"/>
      <c r="CR24" s="460"/>
      <c r="CS24" s="460"/>
      <c r="CT24" s="460"/>
      <c r="CU24" s="460"/>
      <c r="CV24" s="460"/>
      <c r="CW24" s="460"/>
      <c r="CX24" s="460"/>
      <c r="CY24" s="460"/>
      <c r="CZ24" s="460"/>
      <c r="DA24" s="460"/>
      <c r="DB24" s="460"/>
      <c r="DC24" s="460"/>
      <c r="DD24" s="460"/>
      <c r="DE24" s="460"/>
      <c r="DF24" s="460"/>
      <c r="DG24" s="460"/>
      <c r="DH24" s="460"/>
      <c r="DI24" s="460"/>
      <c r="DJ24" s="460"/>
      <c r="DK24" s="460"/>
      <c r="DL24" s="460"/>
      <c r="DM24" s="460"/>
      <c r="DN24" s="460"/>
      <c r="DP24" s="439">
        <f>SUM(K24:DN24)</f>
        <v>502000</v>
      </c>
    </row>
    <row r="25" spans="3:120" ht="14.4" thickBot="1" x14ac:dyDescent="0.35">
      <c r="C25" s="325"/>
      <c r="D25" s="327"/>
      <c r="E25" s="327"/>
      <c r="F25" s="327"/>
      <c r="G25" s="457" t="s">
        <v>466</v>
      </c>
      <c r="H25" s="327"/>
      <c r="I25" s="458">
        <f>SUM(K25:DN25)</f>
        <v>129000</v>
      </c>
      <c r="J25" s="458"/>
      <c r="K25" s="461">
        <f t="shared" ref="K25:R25" si="10">$F$21*K21</f>
        <v>0</v>
      </c>
      <c r="L25" s="461">
        <f t="shared" si="10"/>
        <v>0</v>
      </c>
      <c r="M25" s="461">
        <f t="shared" si="10"/>
        <v>0</v>
      </c>
      <c r="N25" s="461">
        <f t="shared" si="10"/>
        <v>0</v>
      </c>
      <c r="O25" s="461">
        <f t="shared" si="10"/>
        <v>0</v>
      </c>
      <c r="P25" s="461">
        <f>$F$21*P21</f>
        <v>0</v>
      </c>
      <c r="Q25" s="461">
        <f t="shared" si="10"/>
        <v>0</v>
      </c>
      <c r="R25" s="461">
        <f t="shared" si="10"/>
        <v>0</v>
      </c>
      <c r="S25" s="461">
        <f>$F$21*S21</f>
        <v>0</v>
      </c>
      <c r="T25" s="461">
        <f t="shared" ref="T25:BE25" si="11">$F$21*T21</f>
        <v>0</v>
      </c>
      <c r="U25" s="461">
        <f t="shared" si="11"/>
        <v>64500</v>
      </c>
      <c r="V25" s="461">
        <f t="shared" si="11"/>
        <v>64500</v>
      </c>
      <c r="W25" s="461">
        <f t="shared" si="11"/>
        <v>0</v>
      </c>
      <c r="X25" s="461">
        <f t="shared" si="11"/>
        <v>0</v>
      </c>
      <c r="Y25" s="461">
        <f t="shared" si="11"/>
        <v>0</v>
      </c>
      <c r="Z25" s="461">
        <f t="shared" si="11"/>
        <v>0</v>
      </c>
      <c r="AA25" s="461">
        <f t="shared" si="11"/>
        <v>0</v>
      </c>
      <c r="AB25" s="461">
        <f t="shared" si="11"/>
        <v>0</v>
      </c>
      <c r="AC25" s="461">
        <f t="shared" si="11"/>
        <v>0</v>
      </c>
      <c r="AD25" s="461">
        <f t="shared" si="11"/>
        <v>0</v>
      </c>
      <c r="AE25" s="461">
        <f t="shared" si="11"/>
        <v>0</v>
      </c>
      <c r="AF25" s="461">
        <f t="shared" si="11"/>
        <v>0</v>
      </c>
      <c r="AG25" s="461">
        <f t="shared" si="11"/>
        <v>0</v>
      </c>
      <c r="AH25" s="461">
        <f t="shared" si="11"/>
        <v>0</v>
      </c>
      <c r="AI25" s="461">
        <f t="shared" si="11"/>
        <v>0</v>
      </c>
      <c r="AJ25" s="461">
        <f t="shared" si="11"/>
        <v>0</v>
      </c>
      <c r="AK25" s="461">
        <f t="shared" si="11"/>
        <v>0</v>
      </c>
      <c r="AL25" s="461">
        <f t="shared" si="11"/>
        <v>0</v>
      </c>
      <c r="AM25" s="461">
        <f t="shared" si="11"/>
        <v>0</v>
      </c>
      <c r="AN25" s="461">
        <f t="shared" si="11"/>
        <v>0</v>
      </c>
      <c r="AO25" s="461">
        <f t="shared" si="11"/>
        <v>0</v>
      </c>
      <c r="AP25" s="461">
        <f t="shared" si="11"/>
        <v>0</v>
      </c>
      <c r="AQ25" s="461">
        <f t="shared" si="11"/>
        <v>0</v>
      </c>
      <c r="AR25" s="461">
        <f t="shared" si="11"/>
        <v>0</v>
      </c>
      <c r="AS25" s="461">
        <f t="shared" si="11"/>
        <v>0</v>
      </c>
      <c r="AT25" s="461">
        <f t="shared" si="11"/>
        <v>0</v>
      </c>
      <c r="AU25" s="461">
        <f t="shared" si="11"/>
        <v>0</v>
      </c>
      <c r="AV25" s="461">
        <f t="shared" si="11"/>
        <v>0</v>
      </c>
      <c r="AW25" s="461">
        <f t="shared" si="11"/>
        <v>0</v>
      </c>
      <c r="AX25" s="461">
        <f t="shared" si="11"/>
        <v>0</v>
      </c>
      <c r="AY25" s="461">
        <f t="shared" si="11"/>
        <v>0</v>
      </c>
      <c r="AZ25" s="461">
        <f t="shared" si="11"/>
        <v>0</v>
      </c>
      <c r="BA25" s="461">
        <f t="shared" si="11"/>
        <v>0</v>
      </c>
      <c r="BB25" s="461">
        <f t="shared" si="11"/>
        <v>0</v>
      </c>
      <c r="BC25" s="461">
        <f t="shared" si="11"/>
        <v>0</v>
      </c>
      <c r="BD25" s="461">
        <f t="shared" si="11"/>
        <v>0</v>
      </c>
      <c r="BE25" s="461">
        <f t="shared" si="11"/>
        <v>0</v>
      </c>
      <c r="BF25" s="461"/>
      <c r="BG25" s="461"/>
      <c r="BH25" s="461"/>
      <c r="BI25" s="461"/>
      <c r="BJ25" s="461"/>
      <c r="BK25" s="461"/>
      <c r="BL25" s="461"/>
      <c r="BM25" s="461"/>
      <c r="BN25" s="461"/>
      <c r="BO25" s="461"/>
      <c r="BP25" s="461"/>
      <c r="BQ25" s="461"/>
      <c r="BR25" s="461"/>
      <c r="BS25" s="461"/>
      <c r="BT25" s="461"/>
      <c r="BU25" s="461"/>
      <c r="BV25" s="461"/>
      <c r="BW25" s="461"/>
      <c r="BX25" s="461"/>
      <c r="BY25" s="461"/>
      <c r="BZ25" s="461"/>
      <c r="CA25" s="461"/>
      <c r="CB25" s="461"/>
      <c r="CC25" s="461"/>
      <c r="CD25" s="461"/>
      <c r="CE25" s="461"/>
      <c r="CF25" s="461"/>
      <c r="CG25" s="461"/>
      <c r="CH25" s="461"/>
      <c r="CI25" s="461"/>
      <c r="CJ25" s="461"/>
      <c r="CK25" s="461"/>
      <c r="CL25" s="461"/>
      <c r="CM25" s="461"/>
      <c r="CN25" s="461"/>
      <c r="CO25" s="461"/>
      <c r="CP25" s="461"/>
      <c r="CQ25" s="461"/>
      <c r="CR25" s="461"/>
      <c r="CS25" s="461"/>
      <c r="CT25" s="461"/>
      <c r="CU25" s="461"/>
      <c r="CV25" s="461"/>
      <c r="CW25" s="461"/>
      <c r="CX25" s="461"/>
      <c r="CY25" s="461"/>
      <c r="CZ25" s="461"/>
      <c r="DA25" s="461"/>
      <c r="DB25" s="461"/>
      <c r="DC25" s="461"/>
      <c r="DD25" s="461"/>
      <c r="DE25" s="461"/>
      <c r="DF25" s="461"/>
      <c r="DG25" s="461"/>
      <c r="DH25" s="461"/>
      <c r="DI25" s="461"/>
      <c r="DJ25" s="461"/>
      <c r="DK25" s="461"/>
      <c r="DL25" s="461"/>
      <c r="DM25" s="461"/>
      <c r="DN25" s="461"/>
      <c r="DO25" s="327"/>
      <c r="DP25" s="459">
        <f>SUM(K25:DN25)</f>
        <v>129000</v>
      </c>
    </row>
    <row r="26" spans="3:120" x14ac:dyDescent="0.3">
      <c r="C26" s="375" t="s">
        <v>653</v>
      </c>
      <c r="I26" s="340">
        <f>SUM(I24:I25)</f>
        <v>631000</v>
      </c>
      <c r="J26" s="340"/>
      <c r="K26" s="460">
        <f t="shared" ref="K26:R26" si="12">SUM(K24:K25)</f>
        <v>125500</v>
      </c>
      <c r="L26" s="460">
        <f t="shared" si="12"/>
        <v>42670</v>
      </c>
      <c r="M26" s="460">
        <f t="shared" si="12"/>
        <v>30120</v>
      </c>
      <c r="N26" s="460">
        <f t="shared" si="12"/>
        <v>25100</v>
      </c>
      <c r="O26" s="460">
        <f t="shared" si="12"/>
        <v>47690</v>
      </c>
      <c r="P26" s="460">
        <f t="shared" si="12"/>
        <v>20080</v>
      </c>
      <c r="Q26" s="460">
        <f t="shared" si="12"/>
        <v>37650</v>
      </c>
      <c r="R26" s="460">
        <f t="shared" si="12"/>
        <v>20080</v>
      </c>
      <c r="S26" s="460">
        <f>SUM(S24:S25)</f>
        <v>45180</v>
      </c>
      <c r="T26" s="460">
        <f t="shared" ref="T26:BE26" si="13">SUM(T24:T25)</f>
        <v>35140</v>
      </c>
      <c r="U26" s="460">
        <f t="shared" si="13"/>
        <v>99640</v>
      </c>
      <c r="V26" s="460">
        <f t="shared" si="13"/>
        <v>102150</v>
      </c>
      <c r="W26" s="460">
        <f t="shared" si="13"/>
        <v>0</v>
      </c>
      <c r="X26" s="460">
        <f t="shared" si="13"/>
        <v>0</v>
      </c>
      <c r="Y26" s="460">
        <f t="shared" si="13"/>
        <v>0</v>
      </c>
      <c r="Z26" s="460">
        <f t="shared" si="13"/>
        <v>0</v>
      </c>
      <c r="AA26" s="460">
        <f t="shared" si="13"/>
        <v>0</v>
      </c>
      <c r="AB26" s="460">
        <f t="shared" si="13"/>
        <v>0</v>
      </c>
      <c r="AC26" s="460">
        <f t="shared" si="13"/>
        <v>0</v>
      </c>
      <c r="AD26" s="460">
        <f t="shared" si="13"/>
        <v>0</v>
      </c>
      <c r="AE26" s="460">
        <f t="shared" si="13"/>
        <v>0</v>
      </c>
      <c r="AF26" s="460">
        <f t="shared" si="13"/>
        <v>0</v>
      </c>
      <c r="AG26" s="460">
        <f t="shared" si="13"/>
        <v>0</v>
      </c>
      <c r="AH26" s="460">
        <f t="shared" si="13"/>
        <v>0</v>
      </c>
      <c r="AI26" s="460">
        <f t="shared" si="13"/>
        <v>0</v>
      </c>
      <c r="AJ26" s="460">
        <f t="shared" si="13"/>
        <v>0</v>
      </c>
      <c r="AK26" s="460">
        <f t="shared" si="13"/>
        <v>0</v>
      </c>
      <c r="AL26" s="460">
        <f t="shared" si="13"/>
        <v>0</v>
      </c>
      <c r="AM26" s="460">
        <f t="shared" si="13"/>
        <v>0</v>
      </c>
      <c r="AN26" s="460">
        <f t="shared" si="13"/>
        <v>0</v>
      </c>
      <c r="AO26" s="460">
        <f t="shared" si="13"/>
        <v>0</v>
      </c>
      <c r="AP26" s="460">
        <f t="shared" si="13"/>
        <v>0</v>
      </c>
      <c r="AQ26" s="460">
        <f t="shared" si="13"/>
        <v>0</v>
      </c>
      <c r="AR26" s="460">
        <f t="shared" si="13"/>
        <v>0</v>
      </c>
      <c r="AS26" s="460">
        <f t="shared" si="13"/>
        <v>0</v>
      </c>
      <c r="AT26" s="460">
        <f t="shared" si="13"/>
        <v>0</v>
      </c>
      <c r="AU26" s="460">
        <f t="shared" si="13"/>
        <v>0</v>
      </c>
      <c r="AV26" s="460">
        <f t="shared" si="13"/>
        <v>0</v>
      </c>
      <c r="AW26" s="460">
        <f t="shared" si="13"/>
        <v>0</v>
      </c>
      <c r="AX26" s="460">
        <f t="shared" si="13"/>
        <v>0</v>
      </c>
      <c r="AY26" s="460">
        <f t="shared" si="13"/>
        <v>0</v>
      </c>
      <c r="AZ26" s="460">
        <f t="shared" si="13"/>
        <v>0</v>
      </c>
      <c r="BA26" s="460">
        <f t="shared" si="13"/>
        <v>0</v>
      </c>
      <c r="BB26" s="460">
        <f t="shared" si="13"/>
        <v>0</v>
      </c>
      <c r="BC26" s="460">
        <f t="shared" si="13"/>
        <v>0</v>
      </c>
      <c r="BD26" s="460">
        <f t="shared" si="13"/>
        <v>0</v>
      </c>
      <c r="BE26" s="460">
        <f t="shared" si="13"/>
        <v>0</v>
      </c>
      <c r="BF26" s="460"/>
      <c r="BG26" s="460"/>
      <c r="BH26" s="460"/>
      <c r="BI26" s="460"/>
      <c r="BJ26" s="460"/>
      <c r="BK26" s="460"/>
      <c r="BL26" s="460"/>
      <c r="BM26" s="460"/>
      <c r="BN26" s="460"/>
      <c r="BO26" s="460"/>
      <c r="BP26" s="460"/>
      <c r="BQ26" s="460"/>
      <c r="BR26" s="460"/>
      <c r="BS26" s="460"/>
      <c r="BT26" s="460"/>
      <c r="BU26" s="460"/>
      <c r="BV26" s="460"/>
      <c r="BW26" s="460"/>
      <c r="BX26" s="460"/>
      <c r="BY26" s="460"/>
      <c r="BZ26" s="460"/>
      <c r="CA26" s="460"/>
      <c r="CB26" s="460"/>
      <c r="CC26" s="460"/>
      <c r="CD26" s="460"/>
      <c r="CE26" s="460"/>
      <c r="CF26" s="460"/>
      <c r="CG26" s="460"/>
      <c r="CH26" s="460"/>
      <c r="CI26" s="460"/>
      <c r="CJ26" s="460"/>
      <c r="CK26" s="460"/>
      <c r="CL26" s="460"/>
      <c r="CM26" s="460"/>
      <c r="CN26" s="460"/>
      <c r="CO26" s="460"/>
      <c r="CP26" s="460"/>
      <c r="CQ26" s="460"/>
      <c r="CR26" s="460"/>
      <c r="CS26" s="460"/>
      <c r="CT26" s="460"/>
      <c r="CU26" s="460"/>
      <c r="CV26" s="460"/>
      <c r="CW26" s="460"/>
      <c r="CX26" s="460"/>
      <c r="CY26" s="460"/>
      <c r="CZ26" s="460"/>
      <c r="DA26" s="460"/>
      <c r="DB26" s="460"/>
      <c r="DC26" s="460"/>
      <c r="DD26" s="460"/>
      <c r="DE26" s="460"/>
      <c r="DF26" s="460"/>
      <c r="DG26" s="460"/>
      <c r="DH26" s="460"/>
      <c r="DI26" s="460"/>
      <c r="DJ26" s="460"/>
      <c r="DK26" s="460"/>
      <c r="DL26" s="460"/>
      <c r="DM26" s="460"/>
      <c r="DN26" s="460"/>
      <c r="DP26" s="439">
        <f>SUM(K26:DN26)</f>
        <v>631000</v>
      </c>
    </row>
    <row r="27" spans="3:120" x14ac:dyDescent="0.3">
      <c r="I27" s="340"/>
      <c r="J27" s="340"/>
      <c r="K27" s="340"/>
      <c r="L27" s="340"/>
      <c r="M27" s="340"/>
      <c r="N27" s="340"/>
      <c r="O27" s="340"/>
      <c r="P27" s="340"/>
      <c r="Q27" s="340"/>
      <c r="R27" s="340"/>
      <c r="S27" s="460"/>
      <c r="T27" s="460"/>
      <c r="U27" s="460"/>
      <c r="V27" s="460"/>
      <c r="W27" s="460"/>
      <c r="X27" s="460"/>
      <c r="Y27" s="460"/>
      <c r="Z27" s="460"/>
      <c r="AA27" s="460"/>
      <c r="AB27" s="460"/>
      <c r="AC27" s="460"/>
      <c r="AD27" s="460"/>
      <c r="AE27" s="460"/>
      <c r="AF27" s="460"/>
      <c r="AG27" s="460"/>
      <c r="AH27" s="460"/>
      <c r="AI27" s="460"/>
      <c r="AJ27" s="460"/>
      <c r="AK27" s="460"/>
      <c r="AL27" s="460"/>
      <c r="AM27" s="460"/>
      <c r="AN27" s="460"/>
      <c r="AO27" s="460"/>
      <c r="AP27" s="460"/>
      <c r="AQ27" s="460"/>
      <c r="AR27" s="460"/>
      <c r="AS27" s="460"/>
      <c r="AT27" s="460"/>
      <c r="AU27" s="460"/>
      <c r="AV27" s="460"/>
      <c r="AW27" s="460"/>
      <c r="AX27" s="460"/>
      <c r="AY27" s="460"/>
      <c r="AZ27" s="460"/>
      <c r="BA27" s="460"/>
      <c r="BB27" s="460"/>
      <c r="BC27" s="460"/>
      <c r="BD27" s="460"/>
      <c r="BE27" s="460"/>
      <c r="BF27" s="460"/>
      <c r="BG27" s="460"/>
      <c r="BH27" s="460"/>
      <c r="BI27" s="460"/>
      <c r="BJ27" s="460"/>
      <c r="BK27" s="460"/>
      <c r="BL27" s="460"/>
      <c r="BM27" s="460"/>
      <c r="BN27" s="460"/>
      <c r="BO27" s="460"/>
      <c r="BP27" s="460"/>
      <c r="BQ27" s="460"/>
      <c r="BR27" s="460"/>
      <c r="BS27" s="460"/>
      <c r="BT27" s="460"/>
      <c r="BU27" s="460"/>
      <c r="BV27" s="460"/>
      <c r="BW27" s="460"/>
      <c r="BX27" s="460"/>
      <c r="BY27" s="460"/>
      <c r="BZ27" s="460"/>
      <c r="CA27" s="460"/>
      <c r="CB27" s="460"/>
      <c r="CC27" s="460"/>
      <c r="CD27" s="460"/>
      <c r="CE27" s="460"/>
      <c r="CF27" s="460"/>
      <c r="CG27" s="460"/>
      <c r="CH27" s="460"/>
      <c r="CI27" s="460"/>
      <c r="CJ27" s="460"/>
      <c r="CK27" s="460"/>
      <c r="CL27" s="460"/>
      <c r="CM27" s="460"/>
      <c r="CN27" s="460"/>
      <c r="CO27" s="460"/>
      <c r="CP27" s="460"/>
      <c r="CQ27" s="460"/>
      <c r="CR27" s="460"/>
      <c r="CS27" s="460"/>
      <c r="CT27" s="460"/>
      <c r="CU27" s="460"/>
      <c r="CV27" s="460"/>
      <c r="CW27" s="460"/>
      <c r="CX27" s="460"/>
      <c r="CY27" s="460"/>
      <c r="CZ27" s="460"/>
      <c r="DA27" s="460"/>
      <c r="DB27" s="460"/>
      <c r="DC27" s="460"/>
      <c r="DD27" s="460"/>
      <c r="DE27" s="460"/>
      <c r="DF27" s="460"/>
      <c r="DG27" s="460"/>
      <c r="DH27" s="460"/>
      <c r="DI27" s="460"/>
      <c r="DJ27" s="460"/>
      <c r="DK27" s="460"/>
      <c r="DL27" s="460"/>
      <c r="DM27" s="460"/>
      <c r="DN27" s="460"/>
      <c r="DP27" s="439"/>
    </row>
    <row r="28" spans="3:120" ht="24.6" x14ac:dyDescent="0.3">
      <c r="C28" s="490"/>
      <c r="D28" s="486" t="s">
        <v>959</v>
      </c>
      <c r="E28" s="486"/>
      <c r="F28" s="487" t="s">
        <v>402</v>
      </c>
      <c r="G28" s="486"/>
      <c r="H28" s="486"/>
      <c r="I28" s="486"/>
      <c r="J28" s="486"/>
      <c r="K28" s="486"/>
      <c r="L28" s="486"/>
      <c r="M28" s="486"/>
      <c r="N28" s="486"/>
      <c r="O28" s="486"/>
      <c r="P28" s="486"/>
      <c r="Q28" s="486"/>
      <c r="R28" s="486"/>
      <c r="S28" s="486"/>
      <c r="T28" s="486"/>
      <c r="U28" s="486"/>
      <c r="V28" s="486"/>
      <c r="W28" s="486"/>
      <c r="X28" s="486"/>
      <c r="Y28" s="486"/>
      <c r="Z28" s="486"/>
      <c r="AA28" s="486"/>
      <c r="AB28" s="486"/>
      <c r="AC28" s="486"/>
      <c r="AD28" s="486"/>
      <c r="AE28" s="486"/>
      <c r="AF28" s="486"/>
      <c r="AG28" s="486"/>
      <c r="AH28" s="486"/>
      <c r="AI28" s="486"/>
      <c r="AJ28" s="486"/>
      <c r="AK28" s="486"/>
      <c r="AL28" s="486"/>
      <c r="AM28" s="486"/>
      <c r="AN28" s="486"/>
      <c r="AO28" s="486"/>
      <c r="AP28" s="486"/>
      <c r="AQ28" s="486"/>
      <c r="AR28" s="486"/>
      <c r="AS28" s="486"/>
      <c r="AT28" s="486"/>
      <c r="AU28" s="486"/>
      <c r="AV28" s="486"/>
      <c r="AW28" s="486"/>
      <c r="AX28" s="486"/>
      <c r="AY28" s="486"/>
      <c r="AZ28" s="486"/>
      <c r="BA28" s="486"/>
      <c r="BB28" s="486"/>
      <c r="BC28" s="486"/>
      <c r="BD28" s="486"/>
      <c r="BE28" s="486"/>
      <c r="BF28" s="486"/>
      <c r="BG28" s="486"/>
      <c r="BH28" s="486"/>
      <c r="BI28" s="486"/>
      <c r="BJ28" s="486"/>
      <c r="BK28" s="486"/>
      <c r="BL28" s="486"/>
      <c r="BM28" s="486"/>
      <c r="BN28" s="486"/>
      <c r="BO28" s="486"/>
      <c r="BP28" s="486"/>
      <c r="BQ28" s="486"/>
      <c r="BR28" s="486"/>
      <c r="BS28" s="486"/>
      <c r="BT28" s="486"/>
      <c r="BU28" s="486"/>
      <c r="BV28" s="486"/>
      <c r="BW28" s="486"/>
      <c r="BX28" s="486"/>
      <c r="BY28" s="486"/>
      <c r="BZ28" s="486"/>
      <c r="CA28" s="486"/>
      <c r="CB28" s="486"/>
      <c r="CC28" s="486"/>
      <c r="CD28" s="486"/>
      <c r="CE28" s="486"/>
      <c r="CF28" s="486"/>
      <c r="CG28" s="486"/>
      <c r="CH28" s="486"/>
      <c r="CI28" s="486"/>
      <c r="CJ28" s="486"/>
      <c r="CK28" s="486"/>
      <c r="CL28" s="486"/>
      <c r="CM28" s="486"/>
      <c r="CN28" s="486"/>
      <c r="CO28" s="486"/>
      <c r="CP28" s="486"/>
      <c r="CQ28" s="486"/>
      <c r="CR28" s="486"/>
      <c r="CS28" s="486"/>
      <c r="CT28" s="486"/>
      <c r="CU28" s="486"/>
      <c r="CV28" s="486"/>
      <c r="CW28" s="486"/>
      <c r="CX28" s="486"/>
      <c r="CY28" s="486"/>
      <c r="CZ28" s="486"/>
      <c r="DA28" s="486"/>
      <c r="DB28" s="486"/>
      <c r="DC28" s="486"/>
      <c r="DD28" s="486"/>
      <c r="DE28" s="486"/>
      <c r="DF28" s="486"/>
      <c r="DG28" s="486"/>
      <c r="DH28" s="486"/>
      <c r="DI28" s="486"/>
      <c r="DJ28" s="486"/>
      <c r="DK28" s="486"/>
      <c r="DL28" s="486"/>
      <c r="DM28" s="486"/>
      <c r="DN28" s="486"/>
      <c r="DO28" s="486"/>
      <c r="DP28" s="488"/>
    </row>
    <row r="29" spans="3:120" x14ac:dyDescent="0.3">
      <c r="C29" s="684"/>
      <c r="D29" s="547" t="s">
        <v>660</v>
      </c>
      <c r="E29" s="547"/>
      <c r="F29" s="690">
        <f>'FF&amp;E'!L49</f>
        <v>222000</v>
      </c>
      <c r="G29" s="693">
        <f>SUM(K29:DN29)</f>
        <v>1</v>
      </c>
      <c r="H29" s="547"/>
      <c r="I29" s="547" t="s">
        <v>381</v>
      </c>
      <c r="J29" s="547"/>
      <c r="K29" s="691"/>
      <c r="L29" s="691"/>
      <c r="M29" s="691"/>
      <c r="N29" s="691"/>
      <c r="O29" s="691">
        <v>0.15</v>
      </c>
      <c r="P29" s="691">
        <v>0.15</v>
      </c>
      <c r="Q29" s="691">
        <v>0.15</v>
      </c>
      <c r="R29" s="691">
        <v>0.15</v>
      </c>
      <c r="S29" s="691">
        <v>0.15</v>
      </c>
      <c r="T29" s="691">
        <v>0.15</v>
      </c>
      <c r="U29" s="691">
        <v>0.1</v>
      </c>
      <c r="V29" s="691"/>
      <c r="W29" s="691"/>
      <c r="X29" s="691"/>
      <c r="Y29" s="691"/>
      <c r="Z29" s="691"/>
      <c r="AA29" s="691"/>
      <c r="AB29" s="691"/>
      <c r="AC29" s="691"/>
      <c r="AD29" s="691"/>
      <c r="AE29" s="691"/>
      <c r="AF29" s="691"/>
      <c r="AG29" s="691"/>
      <c r="AH29" s="691"/>
      <c r="AI29" s="691"/>
      <c r="AJ29" s="691"/>
      <c r="AK29" s="691"/>
      <c r="AL29" s="547"/>
      <c r="AM29" s="547"/>
      <c r="AN29" s="547"/>
      <c r="AO29" s="547"/>
      <c r="AP29" s="547"/>
      <c r="AQ29" s="547"/>
      <c r="AR29" s="547"/>
      <c r="AS29" s="547"/>
      <c r="AT29" s="547"/>
      <c r="AU29" s="547"/>
      <c r="AV29" s="547"/>
      <c r="AW29" s="547"/>
      <c r="AX29" s="547"/>
      <c r="AY29" s="547"/>
      <c r="AZ29" s="547"/>
      <c r="BA29" s="547"/>
      <c r="BB29" s="547"/>
      <c r="BC29" s="547"/>
      <c r="BD29" s="547"/>
      <c r="BE29" s="547"/>
      <c r="BF29" s="547"/>
      <c r="BG29" s="547"/>
      <c r="BH29" s="547"/>
      <c r="BI29" s="547"/>
      <c r="BJ29" s="547"/>
      <c r="BK29" s="547"/>
      <c r="BL29" s="547"/>
      <c r="BM29" s="547"/>
      <c r="BN29" s="547"/>
      <c r="BO29" s="547"/>
      <c r="BP29" s="547"/>
      <c r="BQ29" s="547"/>
      <c r="BR29" s="547"/>
      <c r="BS29" s="547"/>
      <c r="BT29" s="547"/>
      <c r="BU29" s="547"/>
      <c r="BV29" s="547"/>
      <c r="BW29" s="547"/>
      <c r="BX29" s="547"/>
      <c r="BY29" s="547"/>
      <c r="BZ29" s="547"/>
      <c r="CA29" s="547"/>
      <c r="CB29" s="547"/>
      <c r="CC29" s="547"/>
      <c r="CD29" s="547"/>
      <c r="CE29" s="547"/>
      <c r="CF29" s="547"/>
      <c r="CG29" s="547"/>
      <c r="CH29" s="547"/>
      <c r="CI29" s="547"/>
      <c r="CJ29" s="547"/>
      <c r="CK29" s="547"/>
      <c r="CL29" s="547"/>
      <c r="CM29" s="547"/>
      <c r="CN29" s="547"/>
      <c r="CO29" s="547"/>
      <c r="CP29" s="547"/>
      <c r="CQ29" s="547"/>
      <c r="CR29" s="547"/>
      <c r="CS29" s="547"/>
      <c r="CT29" s="547"/>
      <c r="CU29" s="547"/>
      <c r="CV29" s="547"/>
      <c r="CW29" s="547"/>
      <c r="CX29" s="547"/>
      <c r="CY29" s="547"/>
      <c r="CZ29" s="547"/>
      <c r="DA29" s="547"/>
      <c r="DB29" s="547"/>
      <c r="DC29" s="547"/>
      <c r="DD29" s="547"/>
      <c r="DE29" s="547"/>
      <c r="DF29" s="547"/>
      <c r="DG29" s="547"/>
      <c r="DH29" s="547"/>
      <c r="DI29" s="547"/>
      <c r="DJ29" s="547"/>
      <c r="DK29" s="547"/>
      <c r="DL29" s="547"/>
      <c r="DM29" s="547"/>
      <c r="DN29" s="547"/>
      <c r="DO29" s="547"/>
      <c r="DP29" s="693">
        <f>SUM(K29:DN29)</f>
        <v>1</v>
      </c>
    </row>
    <row r="30" spans="3:120" x14ac:dyDescent="0.3">
      <c r="F30" s="340"/>
      <c r="I30" s="323" t="s">
        <v>614</v>
      </c>
      <c r="O30" s="433">
        <f>SUM(K32:O32)/$F$29</f>
        <v>0.15</v>
      </c>
      <c r="P30" s="433">
        <f>SUM(K32:P32)/$F$29</f>
        <v>0.3</v>
      </c>
      <c r="Q30" s="433">
        <f>SUM(K32:Q32)/$F$29</f>
        <v>0.45</v>
      </c>
      <c r="R30" s="433">
        <f>SUM(K32:R32)/$F$29</f>
        <v>0.6</v>
      </c>
      <c r="S30" s="433">
        <f>SUM(K32:S32)/$F$29</f>
        <v>0.75</v>
      </c>
      <c r="T30" s="433">
        <f>SUM(K32:T32)/$F$29</f>
        <v>0.9</v>
      </c>
      <c r="U30" s="433">
        <f>SUM(K32:U32)/$F$29</f>
        <v>1</v>
      </c>
      <c r="V30" s="433"/>
      <c r="W30" s="433"/>
      <c r="X30" s="433"/>
      <c r="Y30" s="433"/>
      <c r="Z30" s="433"/>
      <c r="AA30" s="462"/>
      <c r="AB30" s="462"/>
      <c r="AC30" s="462"/>
      <c r="AD30" s="462"/>
      <c r="AE30" s="462"/>
      <c r="AF30" s="462"/>
      <c r="AG30" s="462"/>
      <c r="AH30" s="462"/>
      <c r="AI30" s="462"/>
      <c r="AJ30" s="462"/>
      <c r="AK30" s="462"/>
      <c r="AL30" s="462"/>
      <c r="AM30" s="462"/>
      <c r="AN30" s="462"/>
      <c r="AO30" s="462"/>
      <c r="AP30" s="462"/>
      <c r="AQ30" s="462"/>
      <c r="AR30" s="462"/>
      <c r="AS30" s="462"/>
      <c r="AT30" s="462"/>
      <c r="AU30" s="462"/>
      <c r="AV30" s="462"/>
      <c r="AW30" s="462"/>
      <c r="AX30" s="462"/>
      <c r="AY30" s="462"/>
      <c r="AZ30" s="462"/>
      <c r="BA30" s="462"/>
      <c r="BB30" s="462"/>
      <c r="BC30" s="462"/>
      <c r="BD30" s="462"/>
      <c r="BE30" s="462"/>
      <c r="BF30" s="462"/>
      <c r="BG30" s="462"/>
      <c r="BH30" s="462"/>
      <c r="BI30" s="462"/>
      <c r="BJ30" s="462"/>
      <c r="BK30" s="462"/>
      <c r="BL30" s="462"/>
      <c r="BM30" s="462"/>
      <c r="BN30" s="462"/>
      <c r="BO30" s="462"/>
      <c r="BP30" s="462"/>
      <c r="BQ30" s="462"/>
      <c r="BR30" s="462"/>
      <c r="BS30" s="462"/>
      <c r="BT30" s="462"/>
      <c r="BU30" s="462"/>
      <c r="BV30" s="462"/>
      <c r="BW30" s="462"/>
      <c r="BX30" s="462"/>
      <c r="BY30" s="462"/>
      <c r="BZ30" s="462"/>
      <c r="CA30" s="462"/>
      <c r="CB30" s="462"/>
      <c r="CC30" s="462"/>
      <c r="CD30" s="462"/>
      <c r="CE30" s="462"/>
      <c r="CF30" s="462"/>
      <c r="CG30" s="462"/>
      <c r="CH30" s="462"/>
      <c r="CI30" s="462"/>
      <c r="CJ30" s="462"/>
      <c r="CK30" s="462"/>
      <c r="CL30" s="462"/>
      <c r="CM30" s="462"/>
      <c r="CN30" s="462"/>
      <c r="CO30" s="462"/>
      <c r="CP30" s="462"/>
      <c r="CQ30" s="462"/>
      <c r="CR30" s="462"/>
      <c r="CS30" s="462"/>
      <c r="CT30" s="462"/>
      <c r="CU30" s="462"/>
      <c r="CV30" s="462"/>
      <c r="CW30" s="462"/>
      <c r="CX30" s="462"/>
      <c r="CY30" s="462"/>
      <c r="CZ30" s="462"/>
      <c r="DA30" s="462"/>
      <c r="DB30" s="462"/>
      <c r="DC30" s="462"/>
      <c r="DD30" s="462"/>
      <c r="DE30" s="462"/>
      <c r="DF30" s="462"/>
      <c r="DG30" s="462"/>
      <c r="DH30" s="462"/>
      <c r="DI30" s="462"/>
      <c r="DJ30" s="462"/>
      <c r="DK30" s="462"/>
      <c r="DL30" s="462"/>
      <c r="DM30" s="462"/>
      <c r="DN30" s="462"/>
      <c r="DP30" s="341"/>
    </row>
    <row r="31" spans="3:120" ht="14.4" thickBot="1" x14ac:dyDescent="0.35">
      <c r="C31" s="325"/>
      <c r="D31" s="327"/>
      <c r="E31" s="327"/>
      <c r="F31" s="327"/>
      <c r="G31" s="457"/>
      <c r="H31" s="327"/>
      <c r="I31" s="458"/>
      <c r="J31" s="458"/>
      <c r="K31" s="461"/>
      <c r="L31" s="461"/>
      <c r="M31" s="461"/>
      <c r="N31" s="461"/>
      <c r="O31" s="461"/>
      <c r="P31" s="461"/>
      <c r="Q31" s="461"/>
      <c r="R31" s="461"/>
      <c r="S31" s="461"/>
      <c r="T31" s="461"/>
      <c r="U31" s="461"/>
      <c r="V31" s="461"/>
      <c r="W31" s="461"/>
      <c r="X31" s="461"/>
      <c r="Y31" s="461"/>
      <c r="Z31" s="461"/>
      <c r="AA31" s="461"/>
      <c r="AB31" s="461"/>
      <c r="AC31" s="461"/>
      <c r="AD31" s="461"/>
      <c r="AE31" s="461"/>
      <c r="AF31" s="461"/>
      <c r="AG31" s="461"/>
      <c r="AH31" s="461"/>
      <c r="AI31" s="461"/>
      <c r="AJ31" s="461"/>
      <c r="AK31" s="461"/>
      <c r="AL31" s="461"/>
      <c r="AM31" s="461"/>
      <c r="AN31" s="461"/>
      <c r="AO31" s="461"/>
      <c r="AP31" s="461"/>
      <c r="AQ31" s="461"/>
      <c r="AR31" s="461"/>
      <c r="AS31" s="461"/>
      <c r="AT31" s="461"/>
      <c r="AU31" s="461"/>
      <c r="AV31" s="461"/>
      <c r="AW31" s="461"/>
      <c r="AX31" s="461"/>
      <c r="AY31" s="461"/>
      <c r="AZ31" s="461"/>
      <c r="BA31" s="461"/>
      <c r="BB31" s="461"/>
      <c r="BC31" s="461"/>
      <c r="BD31" s="461"/>
      <c r="BE31" s="461"/>
      <c r="BF31" s="461"/>
      <c r="BG31" s="461"/>
      <c r="BH31" s="461"/>
      <c r="BI31" s="461"/>
      <c r="BJ31" s="461"/>
      <c r="BK31" s="461"/>
      <c r="BL31" s="461"/>
      <c r="BM31" s="461"/>
      <c r="BN31" s="461"/>
      <c r="BO31" s="461"/>
      <c r="BP31" s="461"/>
      <c r="BQ31" s="461"/>
      <c r="BR31" s="461"/>
      <c r="BS31" s="461"/>
      <c r="BT31" s="461"/>
      <c r="BU31" s="461"/>
      <c r="BV31" s="461"/>
      <c r="BW31" s="461"/>
      <c r="BX31" s="461"/>
      <c r="BY31" s="461"/>
      <c r="BZ31" s="461"/>
      <c r="CA31" s="461"/>
      <c r="CB31" s="461"/>
      <c r="CC31" s="461"/>
      <c r="CD31" s="461"/>
      <c r="CE31" s="461"/>
      <c r="CF31" s="461"/>
      <c r="CG31" s="461"/>
      <c r="CH31" s="461"/>
      <c r="CI31" s="461"/>
      <c r="CJ31" s="461"/>
      <c r="CK31" s="461"/>
      <c r="CL31" s="461"/>
      <c r="CM31" s="461"/>
      <c r="CN31" s="461"/>
      <c r="CO31" s="461"/>
      <c r="CP31" s="461"/>
      <c r="CQ31" s="461"/>
      <c r="CR31" s="461"/>
      <c r="CS31" s="461"/>
      <c r="CT31" s="461"/>
      <c r="CU31" s="461"/>
      <c r="CV31" s="461"/>
      <c r="CW31" s="461"/>
      <c r="CX31" s="461"/>
      <c r="CY31" s="461"/>
      <c r="CZ31" s="461"/>
      <c r="DA31" s="461"/>
      <c r="DB31" s="461"/>
      <c r="DC31" s="461"/>
      <c r="DD31" s="461"/>
      <c r="DE31" s="461"/>
      <c r="DF31" s="461"/>
      <c r="DG31" s="461"/>
      <c r="DH31" s="461"/>
      <c r="DI31" s="461"/>
      <c r="DJ31" s="461"/>
      <c r="DK31" s="461"/>
      <c r="DL31" s="461"/>
      <c r="DM31" s="461"/>
      <c r="DN31" s="461"/>
      <c r="DO31" s="327"/>
      <c r="DP31" s="459"/>
    </row>
    <row r="32" spans="3:120" x14ac:dyDescent="0.3">
      <c r="C32" s="375" t="s">
        <v>960</v>
      </c>
      <c r="I32" s="340">
        <f>SUM(K32:DN32)</f>
        <v>222000</v>
      </c>
      <c r="J32" s="340"/>
      <c r="K32" s="460">
        <f>K29*$F$29</f>
        <v>0</v>
      </c>
      <c r="L32" s="460">
        <f t="shared" ref="L32:BE32" si="14">L29*$F$29</f>
        <v>0</v>
      </c>
      <c r="M32" s="460">
        <f t="shared" si="14"/>
        <v>0</v>
      </c>
      <c r="N32" s="460">
        <f t="shared" si="14"/>
        <v>0</v>
      </c>
      <c r="O32" s="460">
        <f t="shared" si="14"/>
        <v>33300</v>
      </c>
      <c r="P32" s="460">
        <f t="shared" si="14"/>
        <v>33300</v>
      </c>
      <c r="Q32" s="460">
        <f t="shared" si="14"/>
        <v>33300</v>
      </c>
      <c r="R32" s="460">
        <f t="shared" si="14"/>
        <v>33300</v>
      </c>
      <c r="S32" s="460">
        <f t="shared" si="14"/>
        <v>33300</v>
      </c>
      <c r="T32" s="460">
        <f t="shared" si="14"/>
        <v>33300</v>
      </c>
      <c r="U32" s="460">
        <f t="shared" si="14"/>
        <v>22200</v>
      </c>
      <c r="V32" s="460">
        <f t="shared" si="14"/>
        <v>0</v>
      </c>
      <c r="W32" s="460">
        <f t="shared" si="14"/>
        <v>0</v>
      </c>
      <c r="X32" s="460">
        <f t="shared" si="14"/>
        <v>0</v>
      </c>
      <c r="Y32" s="460">
        <f t="shared" si="14"/>
        <v>0</v>
      </c>
      <c r="Z32" s="460">
        <f t="shared" si="14"/>
        <v>0</v>
      </c>
      <c r="AA32" s="460">
        <f t="shared" si="14"/>
        <v>0</v>
      </c>
      <c r="AB32" s="460">
        <f t="shared" si="14"/>
        <v>0</v>
      </c>
      <c r="AC32" s="460">
        <f t="shared" si="14"/>
        <v>0</v>
      </c>
      <c r="AD32" s="460">
        <f t="shared" si="14"/>
        <v>0</v>
      </c>
      <c r="AE32" s="460">
        <f t="shared" si="14"/>
        <v>0</v>
      </c>
      <c r="AF32" s="460">
        <f t="shared" si="14"/>
        <v>0</v>
      </c>
      <c r="AG32" s="460">
        <f t="shared" si="14"/>
        <v>0</v>
      </c>
      <c r="AH32" s="460">
        <f t="shared" si="14"/>
        <v>0</v>
      </c>
      <c r="AI32" s="460">
        <f t="shared" si="14"/>
        <v>0</v>
      </c>
      <c r="AJ32" s="460">
        <f t="shared" si="14"/>
        <v>0</v>
      </c>
      <c r="AK32" s="460">
        <f t="shared" si="14"/>
        <v>0</v>
      </c>
      <c r="AL32" s="460">
        <f t="shared" si="14"/>
        <v>0</v>
      </c>
      <c r="AM32" s="460">
        <f t="shared" si="14"/>
        <v>0</v>
      </c>
      <c r="AN32" s="460">
        <f t="shared" si="14"/>
        <v>0</v>
      </c>
      <c r="AO32" s="460">
        <f t="shared" si="14"/>
        <v>0</v>
      </c>
      <c r="AP32" s="460">
        <f t="shared" si="14"/>
        <v>0</v>
      </c>
      <c r="AQ32" s="460">
        <f t="shared" si="14"/>
        <v>0</v>
      </c>
      <c r="AR32" s="460">
        <f t="shared" si="14"/>
        <v>0</v>
      </c>
      <c r="AS32" s="460">
        <f t="shared" si="14"/>
        <v>0</v>
      </c>
      <c r="AT32" s="460">
        <f t="shared" si="14"/>
        <v>0</v>
      </c>
      <c r="AU32" s="460">
        <f t="shared" si="14"/>
        <v>0</v>
      </c>
      <c r="AV32" s="460">
        <f t="shared" si="14"/>
        <v>0</v>
      </c>
      <c r="AW32" s="460">
        <f t="shared" si="14"/>
        <v>0</v>
      </c>
      <c r="AX32" s="460">
        <f t="shared" si="14"/>
        <v>0</v>
      </c>
      <c r="AY32" s="460">
        <f t="shared" si="14"/>
        <v>0</v>
      </c>
      <c r="AZ32" s="460">
        <f t="shared" si="14"/>
        <v>0</v>
      </c>
      <c r="BA32" s="460">
        <f t="shared" si="14"/>
        <v>0</v>
      </c>
      <c r="BB32" s="460">
        <f t="shared" si="14"/>
        <v>0</v>
      </c>
      <c r="BC32" s="460">
        <f t="shared" si="14"/>
        <v>0</v>
      </c>
      <c r="BD32" s="460">
        <f t="shared" si="14"/>
        <v>0</v>
      </c>
      <c r="BE32" s="460">
        <f t="shared" si="14"/>
        <v>0</v>
      </c>
      <c r="BF32" s="460"/>
      <c r="BG32" s="460"/>
      <c r="BH32" s="460"/>
      <c r="BI32" s="460"/>
      <c r="BJ32" s="460"/>
      <c r="BK32" s="460"/>
      <c r="BL32" s="460"/>
      <c r="BM32" s="460"/>
      <c r="BN32" s="460"/>
      <c r="BO32" s="460"/>
      <c r="BP32" s="460"/>
      <c r="BQ32" s="460"/>
      <c r="BR32" s="460"/>
      <c r="BS32" s="460"/>
      <c r="BT32" s="460"/>
      <c r="BU32" s="460"/>
      <c r="BV32" s="460"/>
      <c r="BW32" s="460"/>
      <c r="BX32" s="460"/>
      <c r="BY32" s="460"/>
      <c r="BZ32" s="460"/>
      <c r="CA32" s="460"/>
      <c r="CB32" s="460"/>
      <c r="CC32" s="460"/>
      <c r="CD32" s="460"/>
      <c r="CE32" s="460"/>
      <c r="CF32" s="460"/>
      <c r="CG32" s="460"/>
      <c r="CH32" s="460"/>
      <c r="CI32" s="460"/>
      <c r="CJ32" s="460"/>
      <c r="CK32" s="460"/>
      <c r="CL32" s="460"/>
      <c r="CM32" s="460"/>
      <c r="CN32" s="460"/>
      <c r="CO32" s="460"/>
      <c r="CP32" s="460"/>
      <c r="CQ32" s="460"/>
      <c r="CR32" s="460"/>
      <c r="CS32" s="460"/>
      <c r="CT32" s="460"/>
      <c r="CU32" s="460"/>
      <c r="CV32" s="460"/>
      <c r="CW32" s="460"/>
      <c r="CX32" s="460"/>
      <c r="CY32" s="460"/>
      <c r="CZ32" s="460"/>
      <c r="DA32" s="460"/>
      <c r="DB32" s="460"/>
      <c r="DC32" s="460"/>
      <c r="DD32" s="460"/>
      <c r="DE32" s="460"/>
      <c r="DF32" s="460"/>
      <c r="DG32" s="460"/>
      <c r="DH32" s="460"/>
      <c r="DI32" s="460"/>
      <c r="DJ32" s="460"/>
      <c r="DK32" s="460"/>
      <c r="DL32" s="460"/>
      <c r="DM32" s="460"/>
      <c r="DN32" s="460"/>
      <c r="DP32" s="439">
        <f>SUM(K32:DN32)</f>
        <v>222000</v>
      </c>
    </row>
    <row r="33" spans="3:120" x14ac:dyDescent="0.3">
      <c r="I33" s="340"/>
      <c r="J33" s="340"/>
      <c r="K33" s="340"/>
      <c r="L33" s="340"/>
      <c r="M33" s="340"/>
      <c r="N33" s="340"/>
      <c r="O33" s="340"/>
      <c r="P33" s="340"/>
      <c r="Q33" s="340"/>
      <c r="R33" s="340"/>
      <c r="S33" s="460"/>
      <c r="T33" s="460"/>
      <c r="U33" s="460"/>
      <c r="V33" s="460"/>
      <c r="W33" s="460"/>
      <c r="X33" s="460"/>
      <c r="Y33" s="460"/>
      <c r="Z33" s="460"/>
      <c r="AA33" s="460"/>
      <c r="AB33" s="460"/>
      <c r="AC33" s="460"/>
      <c r="AD33" s="460"/>
      <c r="AE33" s="460"/>
      <c r="AF33" s="460"/>
      <c r="AG33" s="460"/>
      <c r="AH33" s="460"/>
      <c r="AI33" s="460"/>
      <c r="AJ33" s="460"/>
      <c r="AK33" s="460"/>
      <c r="AL33" s="460"/>
      <c r="AM33" s="460"/>
      <c r="AN33" s="460"/>
      <c r="AO33" s="460"/>
      <c r="AP33" s="460"/>
      <c r="AQ33" s="460"/>
      <c r="AR33" s="460"/>
      <c r="AS33" s="460"/>
      <c r="AT33" s="460"/>
      <c r="AU33" s="460"/>
      <c r="AV33" s="460"/>
      <c r="AW33" s="460"/>
      <c r="AX33" s="460"/>
      <c r="AY33" s="460"/>
      <c r="AZ33" s="460"/>
      <c r="BA33" s="460"/>
      <c r="BB33" s="460"/>
      <c r="BC33" s="460"/>
      <c r="BD33" s="460"/>
      <c r="BE33" s="460"/>
      <c r="BF33" s="460"/>
      <c r="BG33" s="460"/>
      <c r="BH33" s="460"/>
      <c r="BI33" s="460"/>
      <c r="BJ33" s="460"/>
      <c r="BK33" s="460"/>
      <c r="BL33" s="460"/>
      <c r="BM33" s="460"/>
      <c r="BN33" s="460"/>
      <c r="BO33" s="460"/>
      <c r="BP33" s="460"/>
      <c r="BQ33" s="460"/>
      <c r="BR33" s="460"/>
      <c r="BS33" s="460"/>
      <c r="BT33" s="460"/>
      <c r="BU33" s="460"/>
      <c r="BV33" s="460"/>
      <c r="BW33" s="460"/>
      <c r="BX33" s="460"/>
      <c r="BY33" s="460"/>
      <c r="BZ33" s="460"/>
      <c r="CA33" s="460"/>
      <c r="CB33" s="460"/>
      <c r="CC33" s="460"/>
      <c r="CD33" s="460"/>
      <c r="CE33" s="460"/>
      <c r="CF33" s="460"/>
      <c r="CG33" s="460"/>
      <c r="CH33" s="460"/>
      <c r="CI33" s="460"/>
      <c r="CJ33" s="460"/>
      <c r="CK33" s="460"/>
      <c r="CL33" s="460"/>
      <c r="CM33" s="460"/>
      <c r="CN33" s="460"/>
      <c r="CO33" s="460"/>
      <c r="CP33" s="460"/>
      <c r="CQ33" s="460"/>
      <c r="CR33" s="460"/>
      <c r="CS33" s="460"/>
      <c r="CT33" s="460"/>
      <c r="CU33" s="460"/>
      <c r="CV33" s="460"/>
      <c r="CW33" s="460"/>
      <c r="CX33" s="460"/>
      <c r="CY33" s="460"/>
      <c r="CZ33" s="460"/>
      <c r="DA33" s="460"/>
      <c r="DB33" s="460"/>
      <c r="DC33" s="460"/>
      <c r="DD33" s="460"/>
      <c r="DE33" s="460"/>
      <c r="DF33" s="460"/>
      <c r="DG33" s="460"/>
      <c r="DH33" s="460"/>
      <c r="DI33" s="460"/>
      <c r="DJ33" s="460"/>
      <c r="DK33" s="460"/>
      <c r="DL33" s="460"/>
      <c r="DM33" s="460"/>
      <c r="DN33" s="460"/>
      <c r="DP33" s="439"/>
    </row>
    <row r="34" spans="3:120" ht="24.6" x14ac:dyDescent="0.3">
      <c r="C34" s="490"/>
      <c r="D34" s="486" t="s">
        <v>403</v>
      </c>
      <c r="E34" s="486" t="s">
        <v>463</v>
      </c>
      <c r="F34" s="487" t="s">
        <v>402</v>
      </c>
      <c r="G34" s="486"/>
      <c r="H34" s="486"/>
      <c r="I34" s="486"/>
      <c r="J34" s="486"/>
      <c r="K34" s="486"/>
      <c r="L34" s="486"/>
      <c r="M34" s="486"/>
      <c r="N34" s="486"/>
      <c r="O34" s="486"/>
      <c r="P34" s="486"/>
      <c r="Q34" s="486"/>
      <c r="R34" s="486"/>
      <c r="S34" s="486"/>
      <c r="T34" s="486"/>
      <c r="U34" s="486"/>
      <c r="V34" s="486"/>
      <c r="W34" s="486"/>
      <c r="X34" s="486"/>
      <c r="Y34" s="486"/>
      <c r="Z34" s="486"/>
      <c r="AA34" s="486"/>
      <c r="AB34" s="486"/>
      <c r="AC34" s="486"/>
      <c r="AD34" s="486"/>
      <c r="AE34" s="486"/>
      <c r="AF34" s="486"/>
      <c r="AG34" s="486"/>
      <c r="AH34" s="486"/>
      <c r="AI34" s="486"/>
      <c r="AJ34" s="486"/>
      <c r="AK34" s="486"/>
      <c r="AL34" s="486"/>
      <c r="AM34" s="486"/>
      <c r="AN34" s="486"/>
      <c r="AO34" s="486"/>
      <c r="AP34" s="486"/>
      <c r="AQ34" s="486"/>
      <c r="AR34" s="486"/>
      <c r="AS34" s="486"/>
      <c r="AT34" s="486"/>
      <c r="AU34" s="486"/>
      <c r="AV34" s="486"/>
      <c r="AW34" s="486"/>
      <c r="AX34" s="486"/>
      <c r="AY34" s="486"/>
      <c r="AZ34" s="486"/>
      <c r="BA34" s="486"/>
      <c r="BB34" s="486"/>
      <c r="BC34" s="486"/>
      <c r="BD34" s="486"/>
      <c r="BE34" s="486"/>
      <c r="BF34" s="486"/>
      <c r="BG34" s="486"/>
      <c r="BH34" s="486"/>
      <c r="BI34" s="486"/>
      <c r="BJ34" s="486"/>
      <c r="BK34" s="486"/>
      <c r="BL34" s="486"/>
      <c r="BM34" s="486"/>
      <c r="BN34" s="486"/>
      <c r="BO34" s="486"/>
      <c r="BP34" s="486"/>
      <c r="BQ34" s="486"/>
      <c r="BR34" s="486"/>
      <c r="BS34" s="486"/>
      <c r="BT34" s="486"/>
      <c r="BU34" s="486"/>
      <c r="BV34" s="486"/>
      <c r="BW34" s="486"/>
      <c r="BX34" s="486"/>
      <c r="BY34" s="486"/>
      <c r="BZ34" s="486"/>
      <c r="CA34" s="486"/>
      <c r="CB34" s="486"/>
      <c r="CC34" s="486"/>
      <c r="CD34" s="486"/>
      <c r="CE34" s="486"/>
      <c r="CF34" s="486"/>
      <c r="CG34" s="486"/>
      <c r="CH34" s="486"/>
      <c r="CI34" s="486"/>
      <c r="CJ34" s="486"/>
      <c r="CK34" s="486"/>
      <c r="CL34" s="486"/>
      <c r="CM34" s="486"/>
      <c r="CN34" s="486"/>
      <c r="CO34" s="486"/>
      <c r="CP34" s="486"/>
      <c r="CQ34" s="486"/>
      <c r="CR34" s="486"/>
      <c r="CS34" s="486"/>
      <c r="CT34" s="486"/>
      <c r="CU34" s="486"/>
      <c r="CV34" s="486"/>
      <c r="CW34" s="486"/>
      <c r="CX34" s="486"/>
      <c r="CY34" s="486"/>
      <c r="CZ34" s="486"/>
      <c r="DA34" s="486"/>
      <c r="DB34" s="486"/>
      <c r="DC34" s="486"/>
      <c r="DD34" s="486"/>
      <c r="DE34" s="486"/>
      <c r="DF34" s="486"/>
      <c r="DG34" s="486"/>
      <c r="DH34" s="486"/>
      <c r="DI34" s="486"/>
      <c r="DJ34" s="486"/>
      <c r="DK34" s="486"/>
      <c r="DL34" s="486"/>
      <c r="DM34" s="486"/>
      <c r="DN34" s="486"/>
      <c r="DO34" s="486"/>
      <c r="DP34" s="488"/>
    </row>
    <row r="35" spans="3:120" x14ac:dyDescent="0.3">
      <c r="C35" s="684"/>
      <c r="D35" s="547" t="s">
        <v>660</v>
      </c>
      <c r="E35" s="685"/>
      <c r="F35" s="541">
        <f>'Soft Costs'!J83</f>
        <v>498000</v>
      </c>
      <c r="G35" s="693">
        <f>SUM(K35:DN35)</f>
        <v>1</v>
      </c>
      <c r="H35" s="547"/>
      <c r="I35" s="547" t="s">
        <v>381</v>
      </c>
      <c r="J35" s="547"/>
      <c r="K35" s="691">
        <v>0.15</v>
      </c>
      <c r="L35" s="691">
        <v>0.1</v>
      </c>
      <c r="M35" s="691">
        <v>2.5000000000000001E-2</v>
      </c>
      <c r="N35" s="691">
        <v>2.5000000000000001E-2</v>
      </c>
      <c r="O35" s="547"/>
      <c r="P35" s="547"/>
      <c r="Q35" s="547"/>
      <c r="R35" s="691">
        <v>0.7</v>
      </c>
      <c r="S35" s="691"/>
      <c r="T35" s="691"/>
      <c r="U35" s="691"/>
      <c r="V35" s="691"/>
      <c r="W35" s="691"/>
      <c r="X35" s="691"/>
      <c r="Y35" s="691"/>
      <c r="Z35" s="691"/>
      <c r="AA35" s="691"/>
      <c r="AB35" s="691"/>
      <c r="AC35" s="691"/>
      <c r="AD35" s="691"/>
      <c r="AE35" s="691"/>
      <c r="AF35" s="691"/>
      <c r="AG35" s="691"/>
      <c r="AH35" s="691"/>
      <c r="AI35" s="691"/>
      <c r="AJ35" s="691"/>
      <c r="AK35" s="691"/>
      <c r="AL35" s="691"/>
      <c r="AM35" s="691"/>
      <c r="AN35" s="691"/>
      <c r="AO35" s="691"/>
      <c r="AP35" s="691"/>
      <c r="AQ35" s="691"/>
      <c r="AR35" s="691"/>
      <c r="AS35" s="691"/>
      <c r="AT35" s="691"/>
      <c r="AU35" s="691"/>
      <c r="AV35" s="691"/>
      <c r="AW35" s="691"/>
      <c r="AX35" s="691"/>
      <c r="AY35" s="691"/>
      <c r="AZ35" s="691"/>
      <c r="BA35" s="691"/>
      <c r="BB35" s="691"/>
      <c r="BC35" s="691"/>
      <c r="BD35" s="691"/>
      <c r="BE35" s="691"/>
      <c r="BF35" s="691"/>
      <c r="BG35" s="691"/>
      <c r="BH35" s="691"/>
      <c r="BI35" s="691"/>
      <c r="BJ35" s="691"/>
      <c r="BK35" s="691"/>
      <c r="BL35" s="691"/>
      <c r="BM35" s="691"/>
      <c r="BN35" s="691"/>
      <c r="BO35" s="691"/>
      <c r="BP35" s="691"/>
      <c r="BQ35" s="691"/>
      <c r="BR35" s="691"/>
      <c r="BS35" s="691"/>
      <c r="BT35" s="691"/>
      <c r="BU35" s="691"/>
      <c r="BV35" s="691"/>
      <c r="BW35" s="691"/>
      <c r="BX35" s="691"/>
      <c r="BY35" s="691"/>
      <c r="BZ35" s="691"/>
      <c r="CA35" s="691"/>
      <c r="CB35" s="691"/>
      <c r="CC35" s="691"/>
      <c r="CD35" s="691"/>
      <c r="CE35" s="691"/>
      <c r="CF35" s="691"/>
      <c r="CG35" s="691"/>
      <c r="CH35" s="691"/>
      <c r="CI35" s="691"/>
      <c r="CJ35" s="691"/>
      <c r="CK35" s="691"/>
      <c r="CL35" s="691"/>
      <c r="CM35" s="691"/>
      <c r="CN35" s="691"/>
      <c r="CO35" s="691"/>
      <c r="CP35" s="691"/>
      <c r="CQ35" s="691"/>
      <c r="CR35" s="691"/>
      <c r="CS35" s="691"/>
      <c r="CT35" s="691"/>
      <c r="CU35" s="691"/>
      <c r="CV35" s="691"/>
      <c r="CW35" s="691"/>
      <c r="CX35" s="691"/>
      <c r="CY35" s="691"/>
      <c r="CZ35" s="691"/>
      <c r="DA35" s="691"/>
      <c r="DB35" s="691"/>
      <c r="DC35" s="691"/>
      <c r="DD35" s="691"/>
      <c r="DE35" s="691"/>
      <c r="DF35" s="691"/>
      <c r="DG35" s="691"/>
      <c r="DH35" s="691"/>
      <c r="DI35" s="691"/>
      <c r="DJ35" s="691"/>
      <c r="DK35" s="691"/>
      <c r="DL35" s="691"/>
      <c r="DM35" s="691"/>
      <c r="DN35" s="691"/>
      <c r="DO35" s="692"/>
      <c r="DP35" s="693">
        <f>SUM(K35:DN35)</f>
        <v>1</v>
      </c>
    </row>
    <row r="36" spans="3:120" x14ac:dyDescent="0.3">
      <c r="F36" s="331"/>
      <c r="I36" s="323" t="s">
        <v>382</v>
      </c>
      <c r="K36" s="462">
        <f>K38/$F$35</f>
        <v>0.15</v>
      </c>
      <c r="L36" s="462">
        <f>SUM(K38:L38)/$F$35</f>
        <v>0.25</v>
      </c>
      <c r="M36" s="462">
        <f>SUM(K38:M38)/$F$35</f>
        <v>0.27500000000000002</v>
      </c>
      <c r="N36" s="462">
        <f>SUM(K38:N38)/$F$35</f>
        <v>0.3</v>
      </c>
      <c r="O36" s="462">
        <f>SUM(K38:O38)/$F$35</f>
        <v>0.3</v>
      </c>
      <c r="P36" s="462">
        <f>SUM(K38:P38)/$F$35</f>
        <v>0.3</v>
      </c>
      <c r="Q36" s="462">
        <f>SUM(K38:Q38)/$F$35</f>
        <v>0.3</v>
      </c>
      <c r="R36" s="462">
        <f>SUM(K38:R38)/$F$35</f>
        <v>1</v>
      </c>
      <c r="S36" s="462"/>
      <c r="T36" s="462"/>
      <c r="U36" s="462"/>
      <c r="V36" s="462"/>
      <c r="W36" s="462"/>
      <c r="X36" s="462"/>
      <c r="Y36" s="462"/>
      <c r="Z36" s="462"/>
      <c r="AA36" s="462"/>
      <c r="AB36" s="462"/>
      <c r="AC36" s="462"/>
      <c r="AD36" s="462"/>
      <c r="AE36" s="462"/>
      <c r="AF36" s="462"/>
      <c r="AG36" s="462"/>
      <c r="AH36" s="462"/>
      <c r="AI36" s="462"/>
      <c r="AJ36" s="462"/>
      <c r="AK36" s="462"/>
      <c r="AL36" s="462"/>
      <c r="AM36" s="462"/>
      <c r="AN36" s="462"/>
      <c r="AO36" s="462"/>
      <c r="AP36" s="462"/>
      <c r="AQ36" s="462"/>
      <c r="AR36" s="462"/>
      <c r="AS36" s="462"/>
      <c r="AT36" s="462"/>
      <c r="AU36" s="462"/>
      <c r="AV36" s="462"/>
      <c r="AW36" s="462"/>
      <c r="AX36" s="462"/>
      <c r="AY36" s="462"/>
      <c r="AZ36" s="462"/>
      <c r="BA36" s="462"/>
      <c r="BB36" s="462"/>
      <c r="BC36" s="462"/>
      <c r="BD36" s="462"/>
      <c r="BE36" s="462"/>
      <c r="BF36" s="462"/>
      <c r="BG36" s="462"/>
      <c r="BH36" s="462"/>
      <c r="BI36" s="462"/>
      <c r="BJ36" s="462"/>
      <c r="BK36" s="462"/>
      <c r="BL36" s="462"/>
      <c r="BM36" s="462"/>
      <c r="BN36" s="462"/>
      <c r="BO36" s="462"/>
      <c r="BP36" s="462"/>
      <c r="BQ36" s="462"/>
      <c r="BR36" s="462"/>
      <c r="BS36" s="462"/>
      <c r="BT36" s="462"/>
      <c r="BU36" s="462"/>
      <c r="BV36" s="462"/>
      <c r="BW36" s="462"/>
      <c r="BX36" s="462"/>
      <c r="BY36" s="462"/>
      <c r="BZ36" s="462"/>
      <c r="CA36" s="462"/>
      <c r="CB36" s="462"/>
      <c r="CC36" s="462"/>
      <c r="CD36" s="462"/>
      <c r="CE36" s="462"/>
      <c r="CF36" s="462"/>
      <c r="CG36" s="462"/>
      <c r="CH36" s="462"/>
      <c r="CI36" s="462"/>
      <c r="CJ36" s="462"/>
      <c r="CK36" s="462"/>
      <c r="CL36" s="462"/>
      <c r="CM36" s="462"/>
      <c r="CN36" s="462"/>
      <c r="CO36" s="462"/>
      <c r="CP36" s="462"/>
      <c r="CQ36" s="462"/>
      <c r="CR36" s="462"/>
      <c r="CS36" s="462"/>
      <c r="CT36" s="462"/>
      <c r="CU36" s="462"/>
      <c r="CV36" s="462"/>
      <c r="CW36" s="462"/>
      <c r="CX36" s="462"/>
      <c r="CY36" s="462"/>
      <c r="CZ36" s="462"/>
      <c r="DA36" s="462"/>
      <c r="DB36" s="462"/>
      <c r="DC36" s="462"/>
      <c r="DD36" s="462"/>
      <c r="DE36" s="462"/>
      <c r="DF36" s="462"/>
      <c r="DG36" s="462"/>
      <c r="DH36" s="462"/>
      <c r="DI36" s="462"/>
      <c r="DJ36" s="462"/>
      <c r="DK36" s="462"/>
      <c r="DL36" s="462"/>
      <c r="DM36" s="462"/>
      <c r="DN36" s="462"/>
      <c r="DO36" s="435"/>
      <c r="DP36" s="435"/>
    </row>
    <row r="37" spans="3:120" ht="14.4" thickBot="1" x14ac:dyDescent="0.35">
      <c r="C37" s="325"/>
      <c r="D37" s="327"/>
      <c r="E37" s="327"/>
      <c r="F37" s="327"/>
      <c r="G37" s="327"/>
      <c r="H37" s="327"/>
      <c r="I37" s="327"/>
      <c r="J37" s="327"/>
      <c r="K37" s="327"/>
      <c r="L37" s="327"/>
      <c r="M37" s="327"/>
      <c r="N37" s="327"/>
      <c r="O37" s="327"/>
      <c r="P37" s="327"/>
      <c r="Q37" s="327"/>
      <c r="R37" s="327"/>
      <c r="S37" s="327"/>
      <c r="T37" s="327"/>
      <c r="U37" s="327"/>
      <c r="V37" s="327"/>
      <c r="W37" s="327"/>
      <c r="X37" s="327"/>
      <c r="Y37" s="327"/>
      <c r="Z37" s="327"/>
      <c r="AA37" s="327"/>
      <c r="AB37" s="327"/>
      <c r="AC37" s="327"/>
      <c r="AD37" s="327"/>
      <c r="AE37" s="327"/>
      <c r="AF37" s="327"/>
      <c r="AG37" s="327"/>
      <c r="AH37" s="327"/>
      <c r="AI37" s="327"/>
      <c r="AJ37" s="327"/>
      <c r="AK37" s="327"/>
      <c r="AL37" s="327"/>
      <c r="AM37" s="327"/>
      <c r="AN37" s="327"/>
      <c r="AO37" s="327"/>
      <c r="AP37" s="327"/>
      <c r="AQ37" s="327"/>
      <c r="AR37" s="327"/>
      <c r="AS37" s="327"/>
      <c r="AT37" s="327"/>
      <c r="AU37" s="327"/>
      <c r="AV37" s="327"/>
      <c r="AW37" s="327"/>
      <c r="AX37" s="327"/>
      <c r="AY37" s="327"/>
      <c r="AZ37" s="327"/>
      <c r="BA37" s="327"/>
      <c r="BB37" s="327"/>
      <c r="BC37" s="327"/>
      <c r="BD37" s="327"/>
      <c r="BE37" s="327"/>
      <c r="BF37" s="327"/>
      <c r="BG37" s="327"/>
      <c r="BH37" s="327"/>
      <c r="BI37" s="327"/>
      <c r="BJ37" s="327"/>
      <c r="BK37" s="327"/>
      <c r="BL37" s="327"/>
      <c r="BM37" s="327"/>
      <c r="BN37" s="327"/>
      <c r="BO37" s="327"/>
      <c r="BP37" s="327"/>
      <c r="BQ37" s="327"/>
      <c r="BR37" s="327"/>
      <c r="BS37" s="327"/>
      <c r="BT37" s="327"/>
      <c r="BU37" s="327"/>
      <c r="BV37" s="327"/>
      <c r="BW37" s="327"/>
      <c r="BX37" s="327"/>
      <c r="BY37" s="327"/>
      <c r="BZ37" s="327"/>
      <c r="CA37" s="327"/>
      <c r="CB37" s="327"/>
      <c r="CC37" s="327"/>
      <c r="CD37" s="327"/>
      <c r="CE37" s="327"/>
      <c r="CF37" s="327"/>
      <c r="CG37" s="327"/>
      <c r="CH37" s="327"/>
      <c r="CI37" s="327"/>
      <c r="CJ37" s="327"/>
      <c r="CK37" s="327"/>
      <c r="CL37" s="327"/>
      <c r="CM37" s="327"/>
      <c r="CN37" s="327"/>
      <c r="CO37" s="327"/>
      <c r="CP37" s="327"/>
      <c r="CQ37" s="327"/>
      <c r="CR37" s="327"/>
      <c r="CS37" s="327"/>
      <c r="CT37" s="327"/>
      <c r="CU37" s="327"/>
      <c r="CV37" s="327"/>
      <c r="CW37" s="327"/>
      <c r="CX37" s="327"/>
      <c r="CY37" s="327"/>
      <c r="CZ37" s="327"/>
      <c r="DA37" s="327"/>
      <c r="DB37" s="327"/>
      <c r="DC37" s="327"/>
      <c r="DD37" s="327"/>
      <c r="DE37" s="327"/>
      <c r="DF37" s="327"/>
      <c r="DG37" s="327"/>
      <c r="DH37" s="327"/>
      <c r="DI37" s="327"/>
      <c r="DJ37" s="327"/>
      <c r="DK37" s="327"/>
      <c r="DL37" s="327"/>
      <c r="DM37" s="327"/>
      <c r="DN37" s="327"/>
      <c r="DO37" s="327"/>
      <c r="DP37" s="327"/>
    </row>
    <row r="38" spans="3:120" x14ac:dyDescent="0.3">
      <c r="C38" s="375" t="s">
        <v>661</v>
      </c>
      <c r="I38" s="340">
        <f>SUM(K38:DN38)</f>
        <v>498000</v>
      </c>
      <c r="J38" s="340"/>
      <c r="K38" s="460">
        <f t="shared" ref="K38:R38" si="15">K35*$F$35</f>
        <v>74700</v>
      </c>
      <c r="L38" s="460">
        <f t="shared" si="15"/>
        <v>49800</v>
      </c>
      <c r="M38" s="460">
        <f t="shared" si="15"/>
        <v>12450</v>
      </c>
      <c r="N38" s="460">
        <f t="shared" si="15"/>
        <v>12450</v>
      </c>
      <c r="O38" s="460">
        <f t="shared" si="15"/>
        <v>0</v>
      </c>
      <c r="P38" s="460">
        <f t="shared" si="15"/>
        <v>0</v>
      </c>
      <c r="Q38" s="460">
        <f t="shared" si="15"/>
        <v>0</v>
      </c>
      <c r="R38" s="460">
        <f t="shared" si="15"/>
        <v>348600</v>
      </c>
      <c r="S38" s="460">
        <f>S35*$F$35</f>
        <v>0</v>
      </c>
      <c r="T38" s="460">
        <f t="shared" ref="T38:CC38" si="16">T35*$F$35</f>
        <v>0</v>
      </c>
      <c r="U38" s="460">
        <f t="shared" si="16"/>
        <v>0</v>
      </c>
      <c r="V38" s="460">
        <f t="shared" si="16"/>
        <v>0</v>
      </c>
      <c r="W38" s="460">
        <f t="shared" si="16"/>
        <v>0</v>
      </c>
      <c r="X38" s="460">
        <f t="shared" si="16"/>
        <v>0</v>
      </c>
      <c r="Y38" s="460">
        <f t="shared" si="16"/>
        <v>0</v>
      </c>
      <c r="Z38" s="460">
        <f t="shared" si="16"/>
        <v>0</v>
      </c>
      <c r="AA38" s="460">
        <f t="shared" si="16"/>
        <v>0</v>
      </c>
      <c r="AB38" s="460">
        <f t="shared" si="16"/>
        <v>0</v>
      </c>
      <c r="AC38" s="460">
        <f t="shared" si="16"/>
        <v>0</v>
      </c>
      <c r="AD38" s="460">
        <f t="shared" si="16"/>
        <v>0</v>
      </c>
      <c r="AE38" s="460">
        <f t="shared" si="16"/>
        <v>0</v>
      </c>
      <c r="AF38" s="460">
        <f t="shared" si="16"/>
        <v>0</v>
      </c>
      <c r="AG38" s="460">
        <f t="shared" si="16"/>
        <v>0</v>
      </c>
      <c r="AH38" s="460">
        <f t="shared" si="16"/>
        <v>0</v>
      </c>
      <c r="AI38" s="460">
        <f t="shared" si="16"/>
        <v>0</v>
      </c>
      <c r="AJ38" s="460">
        <f t="shared" si="16"/>
        <v>0</v>
      </c>
      <c r="AK38" s="460">
        <f t="shared" si="16"/>
        <v>0</v>
      </c>
      <c r="AL38" s="460">
        <f t="shared" si="16"/>
        <v>0</v>
      </c>
      <c r="AM38" s="460">
        <f t="shared" si="16"/>
        <v>0</v>
      </c>
      <c r="AN38" s="460">
        <f t="shared" si="16"/>
        <v>0</v>
      </c>
      <c r="AO38" s="460">
        <f t="shared" si="16"/>
        <v>0</v>
      </c>
      <c r="AP38" s="460">
        <f t="shared" si="16"/>
        <v>0</v>
      </c>
      <c r="AQ38" s="460">
        <f t="shared" si="16"/>
        <v>0</v>
      </c>
      <c r="AR38" s="460">
        <f t="shared" si="16"/>
        <v>0</v>
      </c>
      <c r="AS38" s="460">
        <f t="shared" si="16"/>
        <v>0</v>
      </c>
      <c r="AT38" s="460">
        <f t="shared" si="16"/>
        <v>0</v>
      </c>
      <c r="AU38" s="460">
        <f t="shared" si="16"/>
        <v>0</v>
      </c>
      <c r="AV38" s="460">
        <f t="shared" si="16"/>
        <v>0</v>
      </c>
      <c r="AW38" s="460">
        <f t="shared" si="16"/>
        <v>0</v>
      </c>
      <c r="AX38" s="460">
        <f t="shared" si="16"/>
        <v>0</v>
      </c>
      <c r="AY38" s="460">
        <f t="shared" si="16"/>
        <v>0</v>
      </c>
      <c r="AZ38" s="460">
        <f t="shared" si="16"/>
        <v>0</v>
      </c>
      <c r="BA38" s="460">
        <f t="shared" si="16"/>
        <v>0</v>
      </c>
      <c r="BB38" s="460">
        <f t="shared" si="16"/>
        <v>0</v>
      </c>
      <c r="BC38" s="460">
        <f t="shared" si="16"/>
        <v>0</v>
      </c>
      <c r="BD38" s="460">
        <f t="shared" si="16"/>
        <v>0</v>
      </c>
      <c r="BE38" s="460">
        <f t="shared" si="16"/>
        <v>0</v>
      </c>
      <c r="BF38" s="460">
        <f t="shared" si="16"/>
        <v>0</v>
      </c>
      <c r="BG38" s="460">
        <f t="shared" si="16"/>
        <v>0</v>
      </c>
      <c r="BH38" s="460">
        <f t="shared" si="16"/>
        <v>0</v>
      </c>
      <c r="BI38" s="460">
        <f t="shared" si="16"/>
        <v>0</v>
      </c>
      <c r="BJ38" s="460">
        <f t="shared" si="16"/>
        <v>0</v>
      </c>
      <c r="BK38" s="460">
        <f t="shared" si="16"/>
        <v>0</v>
      </c>
      <c r="BL38" s="460">
        <f t="shared" si="16"/>
        <v>0</v>
      </c>
      <c r="BM38" s="460">
        <f t="shared" si="16"/>
        <v>0</v>
      </c>
      <c r="BN38" s="460">
        <f t="shared" si="16"/>
        <v>0</v>
      </c>
      <c r="BO38" s="460">
        <f t="shared" si="16"/>
        <v>0</v>
      </c>
      <c r="BP38" s="460">
        <f t="shared" si="16"/>
        <v>0</v>
      </c>
      <c r="BQ38" s="460">
        <f t="shared" si="16"/>
        <v>0</v>
      </c>
      <c r="BR38" s="460">
        <f t="shared" si="16"/>
        <v>0</v>
      </c>
      <c r="BS38" s="460">
        <f t="shared" si="16"/>
        <v>0</v>
      </c>
      <c r="BT38" s="460">
        <f t="shared" si="16"/>
        <v>0</v>
      </c>
      <c r="BU38" s="460">
        <f t="shared" si="16"/>
        <v>0</v>
      </c>
      <c r="BV38" s="460">
        <f t="shared" si="16"/>
        <v>0</v>
      </c>
      <c r="BW38" s="460">
        <f t="shared" si="16"/>
        <v>0</v>
      </c>
      <c r="BX38" s="460">
        <f t="shared" si="16"/>
        <v>0</v>
      </c>
      <c r="BY38" s="460">
        <f t="shared" si="16"/>
        <v>0</v>
      </c>
      <c r="BZ38" s="460">
        <f t="shared" si="16"/>
        <v>0</v>
      </c>
      <c r="CA38" s="460">
        <f t="shared" si="16"/>
        <v>0</v>
      </c>
      <c r="CB38" s="460">
        <f t="shared" si="16"/>
        <v>0</v>
      </c>
      <c r="CC38" s="460">
        <f t="shared" si="16"/>
        <v>0</v>
      </c>
      <c r="CD38" s="460">
        <f t="shared" ref="CD38:DA38" si="17">CD35*$F$35</f>
        <v>0</v>
      </c>
      <c r="CE38" s="460">
        <f t="shared" si="17"/>
        <v>0</v>
      </c>
      <c r="CF38" s="460">
        <f t="shared" si="17"/>
        <v>0</v>
      </c>
      <c r="CG38" s="460">
        <f t="shared" si="17"/>
        <v>0</v>
      </c>
      <c r="CH38" s="460">
        <f t="shared" si="17"/>
        <v>0</v>
      </c>
      <c r="CI38" s="460">
        <f t="shared" si="17"/>
        <v>0</v>
      </c>
      <c r="CJ38" s="460">
        <f t="shared" si="17"/>
        <v>0</v>
      </c>
      <c r="CK38" s="460">
        <f t="shared" si="17"/>
        <v>0</v>
      </c>
      <c r="CL38" s="460">
        <f t="shared" si="17"/>
        <v>0</v>
      </c>
      <c r="CM38" s="460">
        <f t="shared" si="17"/>
        <v>0</v>
      </c>
      <c r="CN38" s="460">
        <f t="shared" si="17"/>
        <v>0</v>
      </c>
      <c r="CO38" s="460">
        <f t="shared" si="17"/>
        <v>0</v>
      </c>
      <c r="CP38" s="460">
        <f t="shared" si="17"/>
        <v>0</v>
      </c>
      <c r="CQ38" s="460">
        <f t="shared" si="17"/>
        <v>0</v>
      </c>
      <c r="CR38" s="460">
        <f t="shared" si="17"/>
        <v>0</v>
      </c>
      <c r="CS38" s="460">
        <f t="shared" si="17"/>
        <v>0</v>
      </c>
      <c r="CT38" s="460">
        <f t="shared" si="17"/>
        <v>0</v>
      </c>
      <c r="CU38" s="460">
        <f t="shared" si="17"/>
        <v>0</v>
      </c>
      <c r="CV38" s="460">
        <f t="shared" si="17"/>
        <v>0</v>
      </c>
      <c r="CW38" s="460">
        <f t="shared" si="17"/>
        <v>0</v>
      </c>
      <c r="CX38" s="460">
        <f t="shared" si="17"/>
        <v>0</v>
      </c>
      <c r="CY38" s="460">
        <f t="shared" si="17"/>
        <v>0</v>
      </c>
      <c r="CZ38" s="460">
        <f t="shared" si="17"/>
        <v>0</v>
      </c>
      <c r="DA38" s="460">
        <f t="shared" si="17"/>
        <v>0</v>
      </c>
      <c r="DB38" s="460">
        <f t="shared" ref="DB38:DN38" si="18">DB35*$F$35</f>
        <v>0</v>
      </c>
      <c r="DC38" s="460">
        <f t="shared" si="18"/>
        <v>0</v>
      </c>
      <c r="DD38" s="460">
        <f t="shared" si="18"/>
        <v>0</v>
      </c>
      <c r="DE38" s="460">
        <f t="shared" si="18"/>
        <v>0</v>
      </c>
      <c r="DF38" s="460">
        <f t="shared" si="18"/>
        <v>0</v>
      </c>
      <c r="DG38" s="460">
        <f t="shared" si="18"/>
        <v>0</v>
      </c>
      <c r="DH38" s="460">
        <f t="shared" si="18"/>
        <v>0</v>
      </c>
      <c r="DI38" s="460">
        <f t="shared" si="18"/>
        <v>0</v>
      </c>
      <c r="DJ38" s="460">
        <f t="shared" si="18"/>
        <v>0</v>
      </c>
      <c r="DK38" s="460">
        <f t="shared" si="18"/>
        <v>0</v>
      </c>
      <c r="DL38" s="460">
        <f t="shared" si="18"/>
        <v>0</v>
      </c>
      <c r="DM38" s="460">
        <f t="shared" si="18"/>
        <v>0</v>
      </c>
      <c r="DN38" s="460">
        <f t="shared" si="18"/>
        <v>0</v>
      </c>
      <c r="DP38" s="439">
        <f>SUM(K38:DN38)</f>
        <v>498000</v>
      </c>
    </row>
  </sheetData>
  <mergeCells count="9">
    <mergeCell ref="CE2:CP2"/>
    <mergeCell ref="CQ2:DB2"/>
    <mergeCell ref="DC2:DN2"/>
    <mergeCell ref="K2:V2"/>
    <mergeCell ref="W2:AH2"/>
    <mergeCell ref="AI2:AT2"/>
    <mergeCell ref="AU2:BF2"/>
    <mergeCell ref="BG2:BR2"/>
    <mergeCell ref="BS2:CD2"/>
  </mergeCells>
  <phoneticPr fontId="13" type="noConversion"/>
  <pageMargins left="0.7" right="0.7" top="0.75" bottom="0.75" header="0.3" footer="0.3"/>
  <pageSetup orientation="portrait" r:id="rId1"/>
  <ignoredErrors>
    <ignoredError sqref="L15 L22" formula="1"/>
  </ignoredError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AA53F-226C-4D2A-989A-B6A4C3E66FD2}">
  <dimension ref="B1:F38"/>
  <sheetViews>
    <sheetView zoomScale="90" zoomScaleNormal="90" workbookViewId="0">
      <selection activeCell="D3" sqref="D3"/>
    </sheetView>
  </sheetViews>
  <sheetFormatPr defaultColWidth="9.109375" defaultRowHeight="13.8" x14ac:dyDescent="0.3"/>
  <cols>
    <col min="1" max="1" width="1.77734375" style="543" customWidth="1"/>
    <col min="2" max="2" width="52.21875" style="543" bestFit="1" customWidth="1"/>
    <col min="3" max="3" width="12" style="546" bestFit="1" customWidth="1"/>
    <col min="4" max="4" width="11" style="543" bestFit="1" customWidth="1"/>
    <col min="5" max="5" width="1.77734375" style="543" customWidth="1"/>
    <col min="6" max="16384" width="9.109375" style="543"/>
  </cols>
  <sheetData>
    <row r="1" spans="2:6" ht="14.4" thickBot="1" x14ac:dyDescent="0.35"/>
    <row r="2" spans="2:6" ht="14.4" thickBot="1" x14ac:dyDescent="0.35">
      <c r="B2" s="1012" t="s">
        <v>659</v>
      </c>
      <c r="C2" s="1013"/>
      <c r="D2" s="1014"/>
    </row>
    <row r="3" spans="2:6" x14ac:dyDescent="0.3">
      <c r="B3" s="702" t="s">
        <v>543</v>
      </c>
      <c r="D3" s="704">
        <f>SUM(C4:C12)</f>
        <v>762150</v>
      </c>
    </row>
    <row r="4" spans="2:6" x14ac:dyDescent="0.3">
      <c r="B4" s="703" t="s">
        <v>827</v>
      </c>
      <c r="C4" s="678">
        <v>8000</v>
      </c>
    </row>
    <row r="5" spans="2:6" x14ac:dyDescent="0.3">
      <c r="B5" s="703" t="s">
        <v>805</v>
      </c>
      <c r="C5" s="678">
        <v>106250</v>
      </c>
    </row>
    <row r="6" spans="2:6" x14ac:dyDescent="0.3">
      <c r="B6" s="703" t="s">
        <v>806</v>
      </c>
      <c r="C6" s="678">
        <v>45000</v>
      </c>
    </row>
    <row r="7" spans="2:6" x14ac:dyDescent="0.3">
      <c r="B7" s="703" t="s">
        <v>807</v>
      </c>
      <c r="C7" s="678">
        <v>65000</v>
      </c>
    </row>
    <row r="8" spans="2:6" x14ac:dyDescent="0.3">
      <c r="B8" s="703" t="s">
        <v>808</v>
      </c>
      <c r="C8" s="678">
        <v>250000</v>
      </c>
    </row>
    <row r="9" spans="2:6" x14ac:dyDescent="0.3">
      <c r="B9" s="703" t="s">
        <v>809</v>
      </c>
      <c r="C9" s="678">
        <v>26000</v>
      </c>
    </row>
    <row r="10" spans="2:6" x14ac:dyDescent="0.3">
      <c r="B10" s="703" t="s">
        <v>810</v>
      </c>
      <c r="C10" s="678">
        <v>108900</v>
      </c>
    </row>
    <row r="11" spans="2:6" x14ac:dyDescent="0.3">
      <c r="B11" s="703" t="s">
        <v>811</v>
      </c>
      <c r="C11" s="678">
        <v>45000</v>
      </c>
    </row>
    <row r="12" spans="2:6" x14ac:dyDescent="0.3">
      <c r="B12" s="703" t="s">
        <v>812</v>
      </c>
      <c r="C12" s="678">
        <v>108000</v>
      </c>
    </row>
    <row r="13" spans="2:6" x14ac:dyDescent="0.3">
      <c r="B13" s="702" t="s">
        <v>549</v>
      </c>
      <c r="D13" s="704">
        <f>SUM(C14:C16)</f>
        <v>290750</v>
      </c>
    </row>
    <row r="14" spans="2:6" x14ac:dyDescent="0.3">
      <c r="B14" s="703" t="s">
        <v>813</v>
      </c>
      <c r="C14" s="678">
        <v>90000</v>
      </c>
    </row>
    <row r="15" spans="2:6" x14ac:dyDescent="0.3">
      <c r="B15" s="703" t="s">
        <v>814</v>
      </c>
      <c r="C15" s="678">
        <v>180000</v>
      </c>
      <c r="F15" s="955" t="s">
        <v>804</v>
      </c>
    </row>
    <row r="16" spans="2:6" x14ac:dyDescent="0.3">
      <c r="B16" s="703" t="s">
        <v>920</v>
      </c>
      <c r="C16" s="678">
        <v>20750</v>
      </c>
    </row>
    <row r="17" spans="2:6" x14ac:dyDescent="0.3">
      <c r="B17" s="702" t="s">
        <v>815</v>
      </c>
      <c r="C17" s="678"/>
      <c r="D17" s="679">
        <f>SUM(C18:C18)</f>
        <v>25000</v>
      </c>
    </row>
    <row r="18" spans="2:6" x14ac:dyDescent="0.3">
      <c r="B18" s="703" t="s">
        <v>816</v>
      </c>
      <c r="C18" s="678">
        <v>25000</v>
      </c>
      <c r="D18" s="542"/>
    </row>
    <row r="19" spans="2:6" x14ac:dyDescent="0.3">
      <c r="B19" s="702" t="s">
        <v>817</v>
      </c>
      <c r="C19" s="678"/>
      <c r="D19" s="679">
        <f>SUM(C20:C22)</f>
        <v>287306</v>
      </c>
    </row>
    <row r="20" spans="2:6" x14ac:dyDescent="0.3">
      <c r="B20" s="703" t="s">
        <v>818</v>
      </c>
      <c r="C20" s="678">
        <v>7306</v>
      </c>
      <c r="D20" s="542"/>
    </row>
    <row r="21" spans="2:6" x14ac:dyDescent="0.3">
      <c r="B21" s="703" t="s">
        <v>819</v>
      </c>
      <c r="C21" s="678">
        <v>95000</v>
      </c>
      <c r="D21" s="542"/>
      <c r="F21" s="955" t="s">
        <v>921</v>
      </c>
    </row>
    <row r="22" spans="2:6" x14ac:dyDescent="0.3">
      <c r="B22" s="703" t="s">
        <v>820</v>
      </c>
      <c r="C22" s="678">
        <v>185000</v>
      </c>
      <c r="D22" s="542"/>
    </row>
    <row r="23" spans="2:6" x14ac:dyDescent="0.3">
      <c r="B23" s="702" t="s">
        <v>821</v>
      </c>
      <c r="C23" s="678"/>
      <c r="D23" s="679">
        <f>SUM(C24:C24)</f>
        <v>0</v>
      </c>
    </row>
    <row r="24" spans="2:6" x14ac:dyDescent="0.3">
      <c r="B24" s="703" t="s">
        <v>822</v>
      </c>
      <c r="C24" s="678">
        <v>0</v>
      </c>
      <c r="D24" s="542"/>
    </row>
    <row r="25" spans="2:6" x14ac:dyDescent="0.3">
      <c r="B25" s="702" t="s">
        <v>949</v>
      </c>
      <c r="C25" s="678"/>
      <c r="D25" s="679">
        <f>C26</f>
        <v>3500</v>
      </c>
    </row>
    <row r="26" spans="2:6" x14ac:dyDescent="0.3">
      <c r="B26" s="703" t="s">
        <v>950</v>
      </c>
      <c r="C26" s="960">
        <v>3500</v>
      </c>
      <c r="D26" s="542"/>
      <c r="F26" s="955" t="s">
        <v>951</v>
      </c>
    </row>
    <row r="27" spans="2:6" x14ac:dyDescent="0.3">
      <c r="B27" s="702" t="s">
        <v>823</v>
      </c>
      <c r="C27" s="678"/>
      <c r="D27" s="679">
        <f>SUM(C28:C30)</f>
        <v>0</v>
      </c>
    </row>
    <row r="28" spans="2:6" x14ac:dyDescent="0.3">
      <c r="B28" s="703" t="s">
        <v>822</v>
      </c>
      <c r="C28" s="678">
        <v>0</v>
      </c>
      <c r="D28" s="542"/>
    </row>
    <row r="29" spans="2:6" x14ac:dyDescent="0.3">
      <c r="B29" s="703" t="s">
        <v>824</v>
      </c>
      <c r="C29" s="678">
        <v>0</v>
      </c>
      <c r="D29" s="542"/>
    </row>
    <row r="30" spans="2:6" x14ac:dyDescent="0.3">
      <c r="B30" s="703" t="s">
        <v>825</v>
      </c>
      <c r="C30" s="678">
        <v>0</v>
      </c>
    </row>
    <row r="31" spans="2:6" x14ac:dyDescent="0.3">
      <c r="B31" s="703"/>
      <c r="C31" s="678"/>
    </row>
    <row r="32" spans="2:6" x14ac:dyDescent="0.3">
      <c r="B32" s="703" t="s">
        <v>261</v>
      </c>
      <c r="C32" s="543" t="s">
        <v>686</v>
      </c>
    </row>
    <row r="33" spans="2:4" x14ac:dyDescent="0.3">
      <c r="B33" s="703"/>
      <c r="C33" s="678"/>
    </row>
    <row r="34" spans="2:4" x14ac:dyDescent="0.3">
      <c r="B34" s="702" t="s">
        <v>62</v>
      </c>
      <c r="C34" s="704"/>
      <c r="D34" s="546">
        <f>SUM(D3:D33)</f>
        <v>1368706</v>
      </c>
    </row>
    <row r="35" spans="2:4" ht="14.4" thickBot="1" x14ac:dyDescent="0.35">
      <c r="B35" s="707" t="s">
        <v>464</v>
      </c>
      <c r="C35" s="708"/>
      <c r="D35" s="708">
        <f>ROUND(D34,-3)</f>
        <v>1369000</v>
      </c>
    </row>
    <row r="36" spans="2:4" ht="14.4" thickTop="1" x14ac:dyDescent="0.3"/>
    <row r="37" spans="2:4" x14ac:dyDescent="0.3">
      <c r="C37" s="722" t="s">
        <v>463</v>
      </c>
    </row>
    <row r="38" spans="2:4" x14ac:dyDescent="0.3">
      <c r="B38" s="721" t="s">
        <v>380</v>
      </c>
      <c r="C38" s="723">
        <f>'Table 3.0'!K7</f>
        <v>72</v>
      </c>
      <c r="D38" s="546">
        <f>D35/C38</f>
        <v>19013.888888888891</v>
      </c>
    </row>
  </sheetData>
  <mergeCells count="1">
    <mergeCell ref="B2:D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9088-D8A2-45BA-B664-CCAB18588EA9}">
  <sheetPr>
    <pageSetUpPr fitToPage="1"/>
  </sheetPr>
  <dimension ref="B2:K83"/>
  <sheetViews>
    <sheetView workbookViewId="0">
      <selection activeCell="I15" sqref="I15"/>
    </sheetView>
  </sheetViews>
  <sheetFormatPr defaultColWidth="9.109375" defaultRowHeight="14.4" x14ac:dyDescent="0.3"/>
  <cols>
    <col min="1" max="2" width="1.77734375" style="471" customWidth="1"/>
    <col min="3" max="5" width="9.109375" style="471"/>
    <col min="6" max="6" width="38.21875" style="471" bestFit="1" customWidth="1"/>
    <col min="7" max="7" width="13.88671875" style="471" bestFit="1" customWidth="1"/>
    <col min="8" max="8" width="9.5546875" style="471" bestFit="1" customWidth="1"/>
    <col min="9" max="9" width="13.77734375" style="481" bestFit="1" customWidth="1"/>
    <col min="10" max="10" width="17" style="471" bestFit="1" customWidth="1"/>
    <col min="11" max="16384" width="9.109375" style="471"/>
  </cols>
  <sheetData>
    <row r="2" spans="2:11" x14ac:dyDescent="0.3">
      <c r="B2" s="463" t="s">
        <v>458</v>
      </c>
      <c r="C2" s="463"/>
      <c r="D2" s="469"/>
      <c r="E2" s="469"/>
      <c r="F2" s="470"/>
    </row>
    <row r="3" spans="2:11" x14ac:dyDescent="0.3">
      <c r="B3" s="464"/>
      <c r="C3" s="464"/>
      <c r="D3" s="472"/>
      <c r="E3" s="472"/>
    </row>
    <row r="4" spans="2:11" x14ac:dyDescent="0.3">
      <c r="B4" s="464"/>
      <c r="C4" s="464"/>
      <c r="D4" s="472"/>
      <c r="E4" s="472"/>
      <c r="G4" s="467"/>
      <c r="H4" s="467"/>
      <c r="I4" s="727"/>
      <c r="J4" s="468"/>
    </row>
    <row r="5" spans="2:11" ht="15" thickBot="1" x14ac:dyDescent="0.35">
      <c r="B5" s="464"/>
      <c r="C5" s="447"/>
      <c r="D5" s="447"/>
      <c r="E5" s="447"/>
      <c r="F5" s="447"/>
      <c r="G5" s="447" t="s">
        <v>460</v>
      </c>
      <c r="H5" s="447" t="s">
        <v>401</v>
      </c>
      <c r="I5" s="728" t="s">
        <v>262</v>
      </c>
      <c r="J5" s="449" t="s">
        <v>459</v>
      </c>
    </row>
    <row r="6" spans="2:11" x14ac:dyDescent="0.3">
      <c r="B6" s="464"/>
      <c r="C6" s="464"/>
      <c r="D6" s="472"/>
      <c r="E6" s="472"/>
      <c r="G6" s="448"/>
      <c r="H6" s="448"/>
      <c r="I6" s="729"/>
      <c r="J6" s="466"/>
    </row>
    <row r="7" spans="2:11" x14ac:dyDescent="0.3">
      <c r="B7" s="464"/>
      <c r="C7" s="465" t="s">
        <v>457</v>
      </c>
      <c r="D7" s="473"/>
      <c r="E7" s="473"/>
      <c r="F7" s="474"/>
      <c r="G7" s="474"/>
      <c r="H7" s="474"/>
      <c r="I7" s="730"/>
      <c r="J7" s="479"/>
    </row>
    <row r="8" spans="2:11" x14ac:dyDescent="0.3">
      <c r="B8" s="464"/>
      <c r="C8" s="464"/>
      <c r="D8" s="472">
        <v>1010</v>
      </c>
      <c r="E8" s="475" t="s">
        <v>456</v>
      </c>
      <c r="G8" s="476">
        <v>1</v>
      </c>
      <c r="H8" s="472" t="s">
        <v>461</v>
      </c>
      <c r="I8" s="493">
        <v>0</v>
      </c>
      <c r="J8" s="726">
        <f>G8*I8</f>
        <v>0</v>
      </c>
    </row>
    <row r="9" spans="2:11" x14ac:dyDescent="0.3">
      <c r="B9" s="464"/>
      <c r="C9" s="464"/>
      <c r="D9" s="472">
        <v>1020</v>
      </c>
      <c r="E9" s="475" t="s">
        <v>455</v>
      </c>
      <c r="G9" s="476"/>
      <c r="H9" s="472"/>
      <c r="I9" s="493"/>
      <c r="J9" s="726"/>
    </row>
    <row r="10" spans="2:11" x14ac:dyDescent="0.3">
      <c r="B10" s="464"/>
      <c r="C10" s="464"/>
      <c r="D10" s="472">
        <v>1030</v>
      </c>
      <c r="E10" s="475" t="s">
        <v>454</v>
      </c>
      <c r="G10" s="476"/>
      <c r="H10" s="472"/>
      <c r="I10" s="493"/>
      <c r="J10" s="726"/>
    </row>
    <row r="11" spans="2:11" x14ac:dyDescent="0.3">
      <c r="B11" s="464"/>
      <c r="C11" s="464"/>
      <c r="D11" s="472">
        <v>1040</v>
      </c>
      <c r="E11" s="475" t="s">
        <v>826</v>
      </c>
      <c r="G11" s="476">
        <v>1</v>
      </c>
      <c r="H11" s="472" t="s">
        <v>461</v>
      </c>
      <c r="I11" s="493">
        <v>25000</v>
      </c>
      <c r="J11" s="726">
        <f>G11*I11</f>
        <v>25000</v>
      </c>
    </row>
    <row r="12" spans="2:11" x14ac:dyDescent="0.3">
      <c r="B12" s="464"/>
      <c r="C12" s="464"/>
      <c r="D12" s="472">
        <v>1050</v>
      </c>
      <c r="E12" s="475" t="s">
        <v>453</v>
      </c>
      <c r="G12" s="476"/>
      <c r="H12" s="472"/>
      <c r="I12" s="493"/>
      <c r="J12" s="726"/>
    </row>
    <row r="13" spans="2:11" x14ac:dyDescent="0.3">
      <c r="B13" s="464"/>
      <c r="C13" s="464"/>
      <c r="D13" s="472">
        <v>1060</v>
      </c>
      <c r="E13" s="475" t="s">
        <v>472</v>
      </c>
      <c r="G13" s="476">
        <v>1</v>
      </c>
      <c r="H13" s="472" t="s">
        <v>461</v>
      </c>
      <c r="I13" s="493">
        <v>12000</v>
      </c>
      <c r="J13" s="726">
        <f>G13*I13</f>
        <v>12000</v>
      </c>
    </row>
    <row r="14" spans="2:11" x14ac:dyDescent="0.3">
      <c r="B14" s="464"/>
      <c r="C14" s="464"/>
      <c r="D14" s="472">
        <v>1061</v>
      </c>
      <c r="E14" s="475" t="s">
        <v>662</v>
      </c>
      <c r="G14" s="476">
        <v>1</v>
      </c>
      <c r="H14" s="472" t="s">
        <v>461</v>
      </c>
      <c r="I14" s="493">
        <v>325000</v>
      </c>
      <c r="J14" s="726">
        <f>G14*I14</f>
        <v>325000</v>
      </c>
    </row>
    <row r="15" spans="2:11" x14ac:dyDescent="0.3">
      <c r="B15" s="464"/>
      <c r="C15" s="464"/>
      <c r="D15" s="472">
        <v>1062</v>
      </c>
      <c r="E15" s="475" t="s">
        <v>937</v>
      </c>
      <c r="G15" s="476">
        <v>1</v>
      </c>
      <c r="H15" s="472" t="s">
        <v>461</v>
      </c>
      <c r="I15" s="493">
        <v>6500</v>
      </c>
      <c r="J15" s="726"/>
      <c r="K15" s="958" t="s">
        <v>936</v>
      </c>
    </row>
    <row r="16" spans="2:11" x14ac:dyDescent="0.3">
      <c r="B16" s="464"/>
      <c r="C16" s="464"/>
      <c r="D16" s="472"/>
      <c r="E16" s="472"/>
      <c r="G16" s="476"/>
      <c r="H16" s="472"/>
      <c r="I16" s="493"/>
      <c r="J16" s="726"/>
    </row>
    <row r="17" spans="2:11" x14ac:dyDescent="0.3">
      <c r="B17" s="464"/>
      <c r="C17" s="465" t="s">
        <v>452</v>
      </c>
      <c r="D17" s="473"/>
      <c r="E17" s="473"/>
      <c r="F17" s="474"/>
      <c r="G17" s="477"/>
      <c r="H17" s="473"/>
      <c r="I17" s="731"/>
      <c r="J17" s="479"/>
    </row>
    <row r="18" spans="2:11" x14ac:dyDescent="0.3">
      <c r="B18" s="464"/>
      <c r="C18" s="464"/>
      <c r="D18" s="472">
        <v>1110</v>
      </c>
      <c r="E18" s="475" t="s">
        <v>451</v>
      </c>
      <c r="G18" s="476">
        <v>1</v>
      </c>
      <c r="H18" s="472" t="s">
        <v>461</v>
      </c>
      <c r="I18" s="493">
        <v>15000</v>
      </c>
      <c r="J18" s="726">
        <f>G18*I18</f>
        <v>15000</v>
      </c>
      <c r="K18" s="958" t="s">
        <v>939</v>
      </c>
    </row>
    <row r="19" spans="2:11" x14ac:dyDescent="0.3">
      <c r="B19" s="464"/>
      <c r="C19" s="464"/>
      <c r="D19" s="472">
        <v>1120</v>
      </c>
      <c r="E19" s="475" t="s">
        <v>450</v>
      </c>
      <c r="G19" s="476"/>
      <c r="H19" s="472" t="s">
        <v>461</v>
      </c>
      <c r="I19" s="493"/>
      <c r="J19" s="726"/>
      <c r="K19" s="958" t="s">
        <v>938</v>
      </c>
    </row>
    <row r="20" spans="2:11" x14ac:dyDescent="0.3">
      <c r="B20" s="464"/>
      <c r="C20" s="464"/>
      <c r="D20" s="472">
        <v>1130</v>
      </c>
      <c r="E20" s="475" t="s">
        <v>449</v>
      </c>
      <c r="G20" s="476">
        <v>1</v>
      </c>
      <c r="H20" s="472" t="s">
        <v>461</v>
      </c>
      <c r="I20" s="493">
        <v>5000</v>
      </c>
      <c r="J20" s="726">
        <f>G20*I20</f>
        <v>5000</v>
      </c>
    </row>
    <row r="21" spans="2:11" x14ac:dyDescent="0.3">
      <c r="B21" s="464"/>
      <c r="C21" s="464"/>
      <c r="D21" s="472">
        <v>1140</v>
      </c>
      <c r="E21" s="475" t="s">
        <v>448</v>
      </c>
      <c r="G21" s="476"/>
      <c r="H21" s="472"/>
      <c r="I21" s="493"/>
      <c r="J21" s="726"/>
    </row>
    <row r="22" spans="2:11" x14ac:dyDescent="0.3">
      <c r="B22" s="464"/>
      <c r="C22" s="464"/>
      <c r="D22" s="472"/>
      <c r="E22" s="472">
        <f>D21+1</f>
        <v>1141</v>
      </c>
      <c r="F22" s="471" t="s">
        <v>447</v>
      </c>
      <c r="G22" s="476">
        <v>1</v>
      </c>
      <c r="H22" s="472" t="s">
        <v>461</v>
      </c>
      <c r="I22" s="959">
        <v>45000</v>
      </c>
      <c r="J22" s="726">
        <f>G22*I22</f>
        <v>45000</v>
      </c>
      <c r="K22" s="958" t="s">
        <v>940</v>
      </c>
    </row>
    <row r="23" spans="2:11" x14ac:dyDescent="0.3">
      <c r="B23" s="464"/>
      <c r="C23" s="464"/>
      <c r="D23" s="472"/>
      <c r="E23" s="472">
        <f>E22+1</f>
        <v>1142</v>
      </c>
      <c r="F23" s="471" t="s">
        <v>446</v>
      </c>
      <c r="G23" s="476"/>
      <c r="H23" s="472"/>
      <c r="I23" s="493"/>
      <c r="J23" s="726"/>
    </row>
    <row r="24" spans="2:11" x14ac:dyDescent="0.3">
      <c r="B24" s="464"/>
      <c r="C24" s="464"/>
      <c r="D24" s="472"/>
      <c r="E24" s="472">
        <f>E23+1</f>
        <v>1143</v>
      </c>
      <c r="F24" s="471" t="s">
        <v>473</v>
      </c>
      <c r="G24" s="476"/>
      <c r="H24" s="472"/>
      <c r="I24" s="493"/>
      <c r="J24" s="726"/>
      <c r="K24" s="958" t="s">
        <v>938</v>
      </c>
    </row>
    <row r="25" spans="2:11" x14ac:dyDescent="0.3">
      <c r="B25" s="464"/>
      <c r="C25" s="464"/>
      <c r="D25" s="472"/>
      <c r="E25" s="472">
        <v>1144</v>
      </c>
      <c r="F25" s="471" t="s">
        <v>474</v>
      </c>
      <c r="G25" s="476"/>
      <c r="H25" s="472"/>
      <c r="I25" s="493"/>
      <c r="J25" s="726"/>
    </row>
    <row r="26" spans="2:11" x14ac:dyDescent="0.3">
      <c r="B26" s="464"/>
      <c r="C26" s="464"/>
      <c r="D26" s="472"/>
      <c r="E26" s="472">
        <v>1145</v>
      </c>
      <c r="F26" s="471" t="s">
        <v>935</v>
      </c>
      <c r="G26" s="476">
        <v>1</v>
      </c>
      <c r="H26" s="472" t="s">
        <v>461</v>
      </c>
      <c r="I26" s="493">
        <v>20000</v>
      </c>
      <c r="J26" s="726">
        <f>G26*I26</f>
        <v>20000</v>
      </c>
    </row>
    <row r="27" spans="2:11" x14ac:dyDescent="0.3">
      <c r="B27" s="464"/>
      <c r="C27" s="464"/>
      <c r="D27" s="472">
        <v>1150</v>
      </c>
      <c r="E27" s="475" t="s">
        <v>445</v>
      </c>
      <c r="G27" s="476"/>
      <c r="H27" s="472"/>
      <c r="I27" s="493"/>
      <c r="J27" s="726"/>
    </row>
    <row r="28" spans="2:11" x14ac:dyDescent="0.3">
      <c r="B28" s="464"/>
      <c r="C28" s="464"/>
      <c r="D28" s="472">
        <v>1160</v>
      </c>
      <c r="E28" s="475" t="s">
        <v>444</v>
      </c>
      <c r="G28" s="476"/>
      <c r="H28" s="472"/>
      <c r="I28" s="493"/>
      <c r="J28" s="726"/>
    </row>
    <row r="29" spans="2:11" x14ac:dyDescent="0.3">
      <c r="B29" s="464"/>
      <c r="C29" s="464"/>
      <c r="D29" s="472"/>
      <c r="E29" s="472">
        <f>D28+1</f>
        <v>1161</v>
      </c>
      <c r="F29" s="471" t="s">
        <v>443</v>
      </c>
      <c r="G29" s="476"/>
      <c r="H29" s="472"/>
      <c r="I29" s="493"/>
      <c r="J29" s="726"/>
    </row>
    <row r="30" spans="2:11" x14ac:dyDescent="0.3">
      <c r="B30" s="464"/>
      <c r="C30" s="464"/>
      <c r="D30" s="472"/>
      <c r="E30" s="472">
        <f>E29+1</f>
        <v>1162</v>
      </c>
      <c r="F30" s="471" t="s">
        <v>442</v>
      </c>
      <c r="G30" s="476"/>
      <c r="H30" s="472"/>
      <c r="I30" s="493"/>
      <c r="J30" s="726"/>
      <c r="K30" s="958" t="s">
        <v>941</v>
      </c>
    </row>
    <row r="31" spans="2:11" x14ac:dyDescent="0.3">
      <c r="B31" s="464"/>
      <c r="C31" s="464"/>
      <c r="D31" s="472">
        <v>1170</v>
      </c>
      <c r="E31" s="475" t="s">
        <v>441</v>
      </c>
      <c r="G31" s="476"/>
      <c r="H31" s="472"/>
      <c r="I31" s="493"/>
      <c r="J31" s="726"/>
    </row>
    <row r="32" spans="2:11" x14ac:dyDescent="0.3">
      <c r="B32" s="464"/>
      <c r="C32" s="464"/>
      <c r="D32" s="472"/>
      <c r="E32" s="472">
        <f>D31+1</f>
        <v>1171</v>
      </c>
      <c r="F32" s="471" t="s">
        <v>440</v>
      </c>
      <c r="G32" s="476"/>
      <c r="H32" s="472"/>
      <c r="I32" s="493"/>
      <c r="J32" s="726"/>
    </row>
    <row r="33" spans="2:11" x14ac:dyDescent="0.3">
      <c r="B33" s="464"/>
      <c r="C33" s="464"/>
      <c r="D33" s="472"/>
      <c r="E33" s="472">
        <f>E32+1</f>
        <v>1172</v>
      </c>
      <c r="F33" s="471" t="s">
        <v>439</v>
      </c>
      <c r="G33" s="476"/>
      <c r="H33" s="472"/>
      <c r="I33" s="493"/>
      <c r="J33" s="726"/>
    </row>
    <row r="34" spans="2:11" x14ac:dyDescent="0.3">
      <c r="B34" s="464"/>
      <c r="C34" s="464"/>
      <c r="D34" s="472"/>
      <c r="E34" s="472">
        <f>E33+1</f>
        <v>1173</v>
      </c>
      <c r="F34" s="471" t="s">
        <v>438</v>
      </c>
      <c r="G34" s="476">
        <v>1</v>
      </c>
      <c r="H34" s="472" t="s">
        <v>461</v>
      </c>
      <c r="I34" s="493">
        <v>7000</v>
      </c>
      <c r="J34" s="726">
        <f>G34*I34</f>
        <v>7000</v>
      </c>
      <c r="K34" s="958" t="s">
        <v>942</v>
      </c>
    </row>
    <row r="35" spans="2:11" x14ac:dyDescent="0.3">
      <c r="B35" s="464"/>
      <c r="C35" s="464"/>
      <c r="D35" s="472"/>
      <c r="E35" s="472">
        <f>E34+1</f>
        <v>1174</v>
      </c>
      <c r="F35" s="471" t="s">
        <v>437</v>
      </c>
      <c r="G35" s="476"/>
      <c r="H35" s="472"/>
      <c r="I35" s="493"/>
      <c r="J35" s="726"/>
    </row>
    <row r="36" spans="2:11" x14ac:dyDescent="0.3">
      <c r="B36" s="464"/>
      <c r="C36" s="464"/>
      <c r="D36" s="472"/>
      <c r="E36" s="472">
        <f>E35+1</f>
        <v>1175</v>
      </c>
      <c r="F36" s="471" t="s">
        <v>690</v>
      </c>
      <c r="G36" s="476"/>
      <c r="H36" s="472"/>
      <c r="I36" s="493"/>
      <c r="J36" s="726"/>
    </row>
    <row r="37" spans="2:11" x14ac:dyDescent="0.3">
      <c r="B37" s="464"/>
      <c r="C37" s="464"/>
      <c r="D37" s="472"/>
      <c r="E37" s="472">
        <f>E36+1</f>
        <v>1176</v>
      </c>
      <c r="F37" s="471" t="s">
        <v>436</v>
      </c>
      <c r="G37" s="476"/>
      <c r="H37" s="472"/>
      <c r="I37" s="493"/>
      <c r="J37" s="726"/>
    </row>
    <row r="38" spans="2:11" x14ac:dyDescent="0.3">
      <c r="B38" s="464"/>
      <c r="C38" s="464"/>
      <c r="D38" s="472"/>
      <c r="E38" s="472"/>
      <c r="G38" s="476"/>
      <c r="H38" s="472"/>
      <c r="I38" s="493"/>
      <c r="J38" s="726"/>
    </row>
    <row r="39" spans="2:11" x14ac:dyDescent="0.3">
      <c r="B39" s="464"/>
      <c r="C39" s="465" t="s">
        <v>435</v>
      </c>
      <c r="D39" s="473"/>
      <c r="E39" s="473"/>
      <c r="F39" s="474"/>
      <c r="G39" s="477"/>
      <c r="H39" s="473"/>
      <c r="I39" s="731"/>
      <c r="J39" s="479"/>
    </row>
    <row r="40" spans="2:11" x14ac:dyDescent="0.3">
      <c r="B40" s="464"/>
      <c r="C40" s="464"/>
      <c r="D40" s="472">
        <v>1210</v>
      </c>
      <c r="E40" s="475" t="s">
        <v>434</v>
      </c>
      <c r="G40" s="476"/>
      <c r="H40" s="472"/>
      <c r="I40" s="493"/>
      <c r="J40" s="726"/>
    </row>
    <row r="41" spans="2:11" x14ac:dyDescent="0.3">
      <c r="B41" s="464"/>
      <c r="C41" s="464"/>
      <c r="D41" s="472"/>
      <c r="E41" s="472">
        <f>D40+1</f>
        <v>1211</v>
      </c>
      <c r="F41" s="471" t="s">
        <v>433</v>
      </c>
      <c r="G41" s="476"/>
      <c r="H41" s="472"/>
      <c r="I41" s="493"/>
      <c r="J41" s="726"/>
    </row>
    <row r="42" spans="2:11" x14ac:dyDescent="0.3">
      <c r="B42" s="464"/>
      <c r="C42" s="464"/>
      <c r="D42" s="472"/>
      <c r="E42" s="472">
        <f>E41+1</f>
        <v>1212</v>
      </c>
      <c r="F42" s="471" t="s">
        <v>432</v>
      </c>
      <c r="G42" s="476"/>
      <c r="H42" s="472"/>
      <c r="I42" s="493"/>
      <c r="J42" s="726"/>
    </row>
    <row r="43" spans="2:11" x14ac:dyDescent="0.3">
      <c r="B43" s="464"/>
      <c r="C43" s="464"/>
      <c r="D43" s="472"/>
      <c r="E43" s="472">
        <f>E42+1</f>
        <v>1213</v>
      </c>
      <c r="F43" s="471" t="s">
        <v>431</v>
      </c>
      <c r="G43" s="476"/>
      <c r="H43" s="472"/>
      <c r="I43" s="493"/>
      <c r="J43" s="726"/>
    </row>
    <row r="44" spans="2:11" x14ac:dyDescent="0.3">
      <c r="B44" s="464"/>
      <c r="C44" s="464"/>
      <c r="D44" s="472"/>
      <c r="E44" s="472">
        <f>E43+1</f>
        <v>1214</v>
      </c>
      <c r="F44" s="471" t="s">
        <v>430</v>
      </c>
      <c r="G44" s="476"/>
      <c r="H44" s="472"/>
      <c r="I44" s="493"/>
      <c r="J44" s="726"/>
    </row>
    <row r="45" spans="2:11" x14ac:dyDescent="0.3">
      <c r="B45" s="464"/>
      <c r="C45" s="464"/>
      <c r="D45" s="472"/>
      <c r="E45" s="472"/>
      <c r="G45" s="476"/>
      <c r="H45" s="472"/>
      <c r="I45" s="493"/>
      <c r="J45" s="726"/>
    </row>
    <row r="46" spans="2:11" x14ac:dyDescent="0.3">
      <c r="B46" s="464"/>
      <c r="C46" s="465" t="s">
        <v>429</v>
      </c>
      <c r="D46" s="473"/>
      <c r="E46" s="473"/>
      <c r="F46" s="474"/>
      <c r="G46" s="477"/>
      <c r="H46" s="473"/>
      <c r="I46" s="731"/>
      <c r="J46" s="479"/>
    </row>
    <row r="47" spans="2:11" x14ac:dyDescent="0.3">
      <c r="B47" s="464"/>
      <c r="C47" s="464"/>
      <c r="D47" s="472">
        <v>1310</v>
      </c>
      <c r="E47" s="475" t="s">
        <v>428</v>
      </c>
      <c r="G47" s="476"/>
      <c r="H47" s="472"/>
      <c r="I47" s="493"/>
      <c r="J47" s="726"/>
    </row>
    <row r="48" spans="2:11" x14ac:dyDescent="0.3">
      <c r="B48" s="464"/>
      <c r="C48" s="464"/>
      <c r="D48" s="472"/>
      <c r="E48" s="472">
        <f>D47+1</f>
        <v>1311</v>
      </c>
      <c r="F48" s="471" t="s">
        <v>427</v>
      </c>
      <c r="G48" s="476"/>
      <c r="H48" s="472"/>
      <c r="I48" s="493"/>
      <c r="J48" s="726">
        <f>G48*I48</f>
        <v>0</v>
      </c>
      <c r="K48" s="958" t="s">
        <v>947</v>
      </c>
    </row>
    <row r="49" spans="2:11" x14ac:dyDescent="0.3">
      <c r="B49" s="464"/>
      <c r="C49" s="464"/>
      <c r="D49" s="472"/>
      <c r="E49" s="472">
        <f>E48+1</f>
        <v>1312</v>
      </c>
      <c r="F49" s="471" t="s">
        <v>426</v>
      </c>
      <c r="G49" s="472" t="s">
        <v>475</v>
      </c>
      <c r="H49" s="472" t="s">
        <v>461</v>
      </c>
      <c r="I49" s="493">
        <v>250</v>
      </c>
      <c r="J49" s="726"/>
    </row>
    <row r="50" spans="2:11" x14ac:dyDescent="0.3">
      <c r="B50" s="464"/>
      <c r="C50" s="464"/>
      <c r="D50" s="472">
        <v>1320</v>
      </c>
      <c r="E50" s="475" t="s">
        <v>425</v>
      </c>
      <c r="G50" s="476"/>
      <c r="H50" s="472" t="s">
        <v>461</v>
      </c>
      <c r="I50" s="493"/>
      <c r="J50" s="726">
        <f>G50*I50</f>
        <v>0</v>
      </c>
    </row>
    <row r="51" spans="2:11" x14ac:dyDescent="0.3">
      <c r="B51" s="464"/>
      <c r="C51" s="464"/>
      <c r="D51" s="472">
        <v>1330</v>
      </c>
      <c r="E51" s="475" t="s">
        <v>424</v>
      </c>
      <c r="G51" s="472" t="s">
        <v>475</v>
      </c>
      <c r="H51" s="472" t="s">
        <v>461</v>
      </c>
      <c r="I51" s="493">
        <v>150</v>
      </c>
      <c r="J51" s="726"/>
    </row>
    <row r="52" spans="2:11" x14ac:dyDescent="0.3">
      <c r="B52" s="464"/>
      <c r="C52" s="464"/>
      <c r="D52" s="472">
        <v>1340</v>
      </c>
      <c r="E52" s="475" t="s">
        <v>423</v>
      </c>
      <c r="G52" s="476"/>
      <c r="H52" s="472"/>
      <c r="I52" s="493"/>
      <c r="J52" s="726"/>
    </row>
    <row r="53" spans="2:11" x14ac:dyDescent="0.3">
      <c r="B53" s="464"/>
      <c r="C53" s="464"/>
      <c r="D53" s="472"/>
      <c r="E53" s="472">
        <f>D52+1</f>
        <v>1341</v>
      </c>
      <c r="F53" s="471" t="s">
        <v>422</v>
      </c>
      <c r="G53" s="476"/>
      <c r="H53" s="472" t="s">
        <v>461</v>
      </c>
      <c r="I53" s="493"/>
      <c r="J53" s="726"/>
    </row>
    <row r="54" spans="2:11" x14ac:dyDescent="0.3">
      <c r="B54" s="464"/>
      <c r="C54" s="464"/>
      <c r="D54" s="472"/>
      <c r="E54" s="472">
        <v>1342</v>
      </c>
      <c r="F54" s="471" t="s">
        <v>421</v>
      </c>
      <c r="G54" s="476"/>
      <c r="H54" s="472"/>
      <c r="I54" s="493"/>
      <c r="J54" s="726"/>
    </row>
    <row r="55" spans="2:11" x14ac:dyDescent="0.3">
      <c r="B55" s="464"/>
      <c r="C55" s="464"/>
      <c r="D55" s="472">
        <v>1350</v>
      </c>
      <c r="E55" s="475" t="s">
        <v>420</v>
      </c>
      <c r="G55" s="476"/>
      <c r="H55" s="472"/>
      <c r="I55" s="493"/>
      <c r="J55" s="726"/>
    </row>
    <row r="56" spans="2:11" x14ac:dyDescent="0.3">
      <c r="B56" s="464"/>
      <c r="C56" s="464"/>
      <c r="D56" s="472"/>
      <c r="E56" s="472">
        <f>D55+1</f>
        <v>1351</v>
      </c>
      <c r="F56" s="471" t="s">
        <v>419</v>
      </c>
      <c r="G56" s="476"/>
      <c r="H56" s="472" t="s">
        <v>461</v>
      </c>
      <c r="I56" s="493"/>
      <c r="J56" s="726"/>
      <c r="K56" s="958" t="s">
        <v>948</v>
      </c>
    </row>
    <row r="57" spans="2:11" x14ac:dyDescent="0.3">
      <c r="B57" s="464"/>
      <c r="C57" s="464"/>
      <c r="D57" s="472"/>
      <c r="E57" s="472">
        <f>E56+1</f>
        <v>1352</v>
      </c>
      <c r="F57" s="471" t="s">
        <v>418</v>
      </c>
      <c r="G57" s="476"/>
      <c r="H57" s="472" t="s">
        <v>461</v>
      </c>
      <c r="I57" s="493"/>
      <c r="J57" s="726"/>
      <c r="K57" s="958" t="s">
        <v>948</v>
      </c>
    </row>
    <row r="58" spans="2:11" x14ac:dyDescent="0.3">
      <c r="B58" s="464"/>
      <c r="C58" s="464"/>
      <c r="D58" s="472">
        <v>1360</v>
      </c>
      <c r="E58" s="475" t="s">
        <v>417</v>
      </c>
      <c r="G58" s="472" t="s">
        <v>475</v>
      </c>
      <c r="H58" s="472"/>
      <c r="I58" s="493"/>
      <c r="J58" s="726"/>
    </row>
    <row r="59" spans="2:11" x14ac:dyDescent="0.3">
      <c r="B59" s="464"/>
      <c r="C59" s="464"/>
      <c r="D59" s="472">
        <v>1370</v>
      </c>
      <c r="E59" s="475" t="s">
        <v>416</v>
      </c>
      <c r="G59" s="472" t="s">
        <v>475</v>
      </c>
      <c r="H59" s="472"/>
      <c r="I59" s="493"/>
      <c r="J59" s="726"/>
    </row>
    <row r="60" spans="2:11" x14ac:dyDescent="0.3">
      <c r="B60" s="464"/>
      <c r="C60" s="464"/>
      <c r="D60" s="472"/>
      <c r="E60" s="472"/>
      <c r="G60" s="476"/>
      <c r="H60" s="472"/>
      <c r="I60" s="493"/>
      <c r="J60" s="726"/>
    </row>
    <row r="61" spans="2:11" x14ac:dyDescent="0.3">
      <c r="B61" s="464"/>
      <c r="C61" s="465" t="s">
        <v>415</v>
      </c>
      <c r="D61" s="473"/>
      <c r="E61" s="473"/>
      <c r="F61" s="474"/>
      <c r="G61" s="477"/>
      <c r="H61" s="473"/>
      <c r="I61" s="731"/>
      <c r="J61" s="479"/>
    </row>
    <row r="62" spans="2:11" x14ac:dyDescent="0.3">
      <c r="B62" s="464"/>
      <c r="C62" s="464"/>
      <c r="D62" s="472">
        <v>1410</v>
      </c>
      <c r="E62" s="475" t="s">
        <v>414</v>
      </c>
      <c r="G62" s="476"/>
      <c r="H62" s="472"/>
      <c r="I62" s="493"/>
      <c r="J62" s="726"/>
    </row>
    <row r="63" spans="2:11" x14ac:dyDescent="0.3">
      <c r="B63" s="464"/>
      <c r="C63" s="464"/>
      <c r="D63" s="472"/>
      <c r="E63" s="472">
        <f>D62+1</f>
        <v>1411</v>
      </c>
      <c r="F63" s="471" t="s">
        <v>944</v>
      </c>
      <c r="G63" s="476">
        <v>5</v>
      </c>
      <c r="H63" s="472" t="s">
        <v>461</v>
      </c>
      <c r="I63" s="493">
        <v>1250</v>
      </c>
      <c r="J63" s="726">
        <f>G63*I63</f>
        <v>6250</v>
      </c>
      <c r="K63" s="958" t="s">
        <v>943</v>
      </c>
    </row>
    <row r="64" spans="2:11" x14ac:dyDescent="0.3">
      <c r="B64" s="464"/>
      <c r="C64" s="464"/>
      <c r="D64" s="472"/>
      <c r="E64" s="472">
        <v>1412</v>
      </c>
      <c r="F64" s="471" t="s">
        <v>945</v>
      </c>
      <c r="G64" s="476">
        <v>1</v>
      </c>
      <c r="H64" s="472" t="s">
        <v>461</v>
      </c>
      <c r="I64" s="493">
        <v>1250</v>
      </c>
      <c r="J64" s="726">
        <f>G64*I64</f>
        <v>1250</v>
      </c>
      <c r="K64" s="958" t="s">
        <v>946</v>
      </c>
    </row>
    <row r="65" spans="2:11" x14ac:dyDescent="0.3">
      <c r="B65" s="464"/>
      <c r="C65" s="464"/>
      <c r="D65" s="472"/>
      <c r="E65" s="472">
        <v>1413</v>
      </c>
      <c r="F65" s="471" t="s">
        <v>952</v>
      </c>
      <c r="G65" s="476">
        <v>1</v>
      </c>
      <c r="H65" s="472" t="s">
        <v>461</v>
      </c>
      <c r="I65" s="493">
        <v>10000</v>
      </c>
      <c r="J65" s="726">
        <f>G65*I65</f>
        <v>10000</v>
      </c>
      <c r="K65" s="958"/>
    </row>
    <row r="66" spans="2:11" x14ac:dyDescent="0.3">
      <c r="B66" s="464"/>
      <c r="C66" s="464"/>
      <c r="D66" s="472"/>
      <c r="E66" s="472">
        <v>1414</v>
      </c>
      <c r="F66" s="471" t="s">
        <v>405</v>
      </c>
      <c r="G66" s="476"/>
      <c r="H66" s="472"/>
      <c r="I66" s="493"/>
      <c r="J66" s="726"/>
    </row>
    <row r="67" spans="2:11" x14ac:dyDescent="0.3">
      <c r="B67" s="464"/>
      <c r="C67" s="464"/>
      <c r="D67" s="472">
        <v>1420</v>
      </c>
      <c r="E67" s="475" t="s">
        <v>413</v>
      </c>
      <c r="G67" s="476">
        <v>30</v>
      </c>
      <c r="H67" s="472" t="s">
        <v>461</v>
      </c>
      <c r="I67" s="493">
        <v>250</v>
      </c>
      <c r="J67" s="726">
        <f>G67*I67</f>
        <v>7500</v>
      </c>
    </row>
    <row r="68" spans="2:11" x14ac:dyDescent="0.3">
      <c r="B68" s="464"/>
      <c r="C68" s="464"/>
      <c r="D68" s="472"/>
      <c r="E68" s="472">
        <f>D67+1</f>
        <v>1421</v>
      </c>
      <c r="F68" s="471" t="s">
        <v>406</v>
      </c>
      <c r="G68" s="476"/>
      <c r="H68" s="472"/>
      <c r="I68" s="493"/>
      <c r="J68" s="726"/>
    </row>
    <row r="69" spans="2:11" x14ac:dyDescent="0.3">
      <c r="B69" s="464"/>
      <c r="C69" s="464"/>
      <c r="D69" s="472"/>
      <c r="E69" s="472">
        <f>E68+1</f>
        <v>1422</v>
      </c>
      <c r="F69" s="471" t="s">
        <v>405</v>
      </c>
      <c r="G69" s="476"/>
      <c r="H69" s="472"/>
      <c r="I69" s="493"/>
      <c r="J69" s="726"/>
    </row>
    <row r="70" spans="2:11" x14ac:dyDescent="0.3">
      <c r="B70" s="464"/>
      <c r="C70" s="464"/>
      <c r="D70" s="472">
        <v>1430</v>
      </c>
      <c r="E70" s="475" t="s">
        <v>412</v>
      </c>
      <c r="G70" s="476">
        <v>30</v>
      </c>
      <c r="H70" s="472" t="s">
        <v>461</v>
      </c>
      <c r="I70" s="493">
        <v>500</v>
      </c>
      <c r="J70" s="726">
        <f>G70*I70</f>
        <v>15000</v>
      </c>
    </row>
    <row r="71" spans="2:11" x14ac:dyDescent="0.3">
      <c r="B71" s="464"/>
      <c r="C71" s="464"/>
      <c r="D71" s="472"/>
      <c r="E71" s="472">
        <f>D70+1</f>
        <v>1431</v>
      </c>
      <c r="F71" s="471" t="s">
        <v>406</v>
      </c>
      <c r="G71" s="476"/>
      <c r="H71" s="472"/>
      <c r="I71" s="493"/>
      <c r="J71" s="726"/>
    </row>
    <row r="72" spans="2:11" x14ac:dyDescent="0.3">
      <c r="B72" s="464"/>
      <c r="C72" s="464"/>
      <c r="D72" s="472"/>
      <c r="E72" s="472">
        <f>E71+1</f>
        <v>1432</v>
      </c>
      <c r="F72" s="471" t="s">
        <v>405</v>
      </c>
      <c r="G72" s="476"/>
      <c r="H72" s="472"/>
      <c r="I72" s="493"/>
      <c r="J72" s="726"/>
    </row>
    <row r="73" spans="2:11" x14ac:dyDescent="0.3">
      <c r="B73" s="464"/>
      <c r="C73" s="464"/>
      <c r="D73" s="472"/>
      <c r="E73" s="472"/>
      <c r="G73" s="476"/>
      <c r="H73" s="472"/>
      <c r="I73" s="493"/>
      <c r="J73" s="726"/>
    </row>
    <row r="74" spans="2:11" x14ac:dyDescent="0.3">
      <c r="B74" s="464"/>
      <c r="C74" s="465" t="s">
        <v>411</v>
      </c>
      <c r="D74" s="473"/>
      <c r="E74" s="473"/>
      <c r="F74" s="474"/>
      <c r="G74" s="477"/>
      <c r="H74" s="473"/>
      <c r="I74" s="731"/>
      <c r="J74" s="479"/>
    </row>
    <row r="75" spans="2:11" x14ac:dyDescent="0.3">
      <c r="B75" s="464"/>
      <c r="C75" s="464"/>
      <c r="D75" s="472">
        <v>1510</v>
      </c>
      <c r="E75" s="475" t="s">
        <v>410</v>
      </c>
      <c r="G75" s="472" t="s">
        <v>475</v>
      </c>
      <c r="H75" s="472"/>
      <c r="I75" s="493"/>
      <c r="J75" s="726"/>
    </row>
    <row r="76" spans="2:11" x14ac:dyDescent="0.3">
      <c r="B76" s="464"/>
      <c r="C76" s="464"/>
      <c r="D76" s="472">
        <v>1520</v>
      </c>
      <c r="E76" s="475" t="s">
        <v>409</v>
      </c>
      <c r="G76" s="476">
        <v>200</v>
      </c>
      <c r="H76" s="472" t="s">
        <v>476</v>
      </c>
      <c r="I76" s="493">
        <v>20</v>
      </c>
      <c r="J76" s="726">
        <f>G76*I76</f>
        <v>4000</v>
      </c>
    </row>
    <row r="77" spans="2:11" x14ac:dyDescent="0.3">
      <c r="B77" s="464"/>
      <c r="C77" s="464"/>
      <c r="D77" s="472"/>
      <c r="E77" s="472"/>
      <c r="G77" s="476"/>
      <c r="H77" s="472"/>
      <c r="I77" s="493"/>
      <c r="J77" s="726"/>
    </row>
    <row r="78" spans="2:11" x14ac:dyDescent="0.3">
      <c r="C78" s="465" t="s">
        <v>477</v>
      </c>
      <c r="D78" s="473"/>
      <c r="E78" s="473"/>
      <c r="F78" s="474"/>
      <c r="G78" s="478">
        <v>0</v>
      </c>
      <c r="H78" s="473"/>
      <c r="I78" s="731"/>
      <c r="J78" s="479">
        <f>$G$78*SUM(J6:J77)</f>
        <v>0</v>
      </c>
    </row>
    <row r="79" spans="2:11" x14ac:dyDescent="0.3">
      <c r="H79" s="472"/>
    </row>
    <row r="81" spans="2:10" ht="15" thickBot="1" x14ac:dyDescent="0.35">
      <c r="B81" s="446" t="s">
        <v>404</v>
      </c>
      <c r="C81" s="446"/>
      <c r="D81" s="452"/>
      <c r="E81" s="452"/>
      <c r="F81" s="452"/>
      <c r="G81" s="453"/>
      <c r="H81" s="452"/>
      <c r="I81" s="732"/>
      <c r="J81" s="480">
        <f>SUM(J8:J80)</f>
        <v>498000</v>
      </c>
    </row>
    <row r="82" spans="2:10" ht="15" thickTop="1" x14ac:dyDescent="0.3">
      <c r="J82" s="481"/>
    </row>
    <row r="83" spans="2:10" ht="15" thickBot="1" x14ac:dyDescent="0.35">
      <c r="B83" s="451" t="s">
        <v>464</v>
      </c>
      <c r="C83" s="451"/>
      <c r="D83" s="454"/>
      <c r="E83" s="454"/>
      <c r="F83" s="454"/>
      <c r="G83" s="455"/>
      <c r="H83" s="454"/>
      <c r="I83" s="733"/>
      <c r="J83" s="482">
        <f>ROUND(J81,-3)</f>
        <v>498000</v>
      </c>
    </row>
  </sheetData>
  <pageMargins left="0.7" right="0.7" top="0.75" bottom="0.75" header="0.3" footer="0.3"/>
  <pageSetup scale="57" fitToHeight="2" orientation="portrait" r:id="rId1"/>
  <headerFooter>
    <oddHeader>&amp;C&amp;"Arial,Bold"&amp;12Hoffman Condos
Soft Costs</oddHeader>
    <oddFooter>&amp;L&amp;9&amp;Z&amp;F</oddFooter>
  </headerFooter>
  <legacy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E1FCD5-6026-4691-9C27-7072424F6E17}">
  <dimension ref="B1:P19"/>
  <sheetViews>
    <sheetView topLeftCell="B1" workbookViewId="0">
      <selection activeCell="H7" sqref="H7"/>
    </sheetView>
  </sheetViews>
  <sheetFormatPr defaultColWidth="9.109375" defaultRowHeight="13.8" x14ac:dyDescent="0.3"/>
  <cols>
    <col min="1" max="4" width="9.109375" style="543"/>
    <col min="5" max="5" width="8.88671875" style="543" customWidth="1"/>
    <col min="6" max="6" width="44.77734375" style="543" bestFit="1" customWidth="1"/>
    <col min="7" max="8" width="9.109375" style="543"/>
    <col min="9" max="10" width="10" style="543" bestFit="1" customWidth="1"/>
    <col min="11" max="12" width="9.109375" style="543"/>
    <col min="13" max="13" width="1.77734375" style="543" customWidth="1"/>
    <col min="14" max="14" width="9.5546875" style="543" bestFit="1" customWidth="1"/>
    <col min="15" max="15" width="10" style="543" bestFit="1" customWidth="1"/>
    <col min="16" max="16" width="25.77734375" style="543" bestFit="1" customWidth="1"/>
    <col min="17" max="16384" width="9.109375" style="543"/>
  </cols>
  <sheetData>
    <row r="1" spans="2:16" ht="14.4" thickBot="1" x14ac:dyDescent="0.35"/>
    <row r="2" spans="2:16" ht="14.4" thickBot="1" x14ac:dyDescent="0.35">
      <c r="K2" s="1012" t="s">
        <v>465</v>
      </c>
      <c r="L2" s="1015"/>
      <c r="N2" s="1012" t="s">
        <v>467</v>
      </c>
      <c r="O2" s="1015"/>
    </row>
    <row r="3" spans="2:16" ht="28.2" thickBot="1" x14ac:dyDescent="0.35">
      <c r="D3" s="652" t="s">
        <v>612</v>
      </c>
      <c r="E3" s="652"/>
      <c r="F3" s="652" t="s">
        <v>258</v>
      </c>
      <c r="G3" s="652" t="s">
        <v>460</v>
      </c>
      <c r="H3" s="652" t="s">
        <v>401</v>
      </c>
      <c r="I3" s="653" t="s">
        <v>262</v>
      </c>
      <c r="J3" s="654" t="s">
        <v>459</v>
      </c>
      <c r="K3" s="654" t="s">
        <v>282</v>
      </c>
      <c r="L3" s="654" t="s">
        <v>466</v>
      </c>
      <c r="M3" s="654"/>
      <c r="N3" s="654" t="s">
        <v>282</v>
      </c>
      <c r="O3" s="654" t="s">
        <v>466</v>
      </c>
      <c r="P3" s="654" t="s">
        <v>462</v>
      </c>
    </row>
    <row r="5" spans="2:16" x14ac:dyDescent="0.3">
      <c r="B5" s="655" t="s">
        <v>469</v>
      </c>
      <c r="C5" s="656"/>
      <c r="D5" s="656"/>
      <c r="E5" s="656"/>
      <c r="F5" s="657"/>
      <c r="G5" s="656"/>
      <c r="H5" s="656"/>
      <c r="I5" s="658"/>
      <c r="J5" s="659"/>
      <c r="K5" s="659"/>
      <c r="L5" s="659"/>
      <c r="M5" s="659"/>
      <c r="N5" s="659"/>
      <c r="O5" s="659"/>
      <c r="P5" s="659"/>
    </row>
    <row r="6" spans="2:16" x14ac:dyDescent="0.3">
      <c r="B6" s="655"/>
      <c r="C6" s="656">
        <v>7601</v>
      </c>
      <c r="D6" s="660" t="s">
        <v>407</v>
      </c>
      <c r="E6" s="656"/>
      <c r="F6" s="657"/>
      <c r="G6" s="661">
        <v>1</v>
      </c>
      <c r="H6" s="656" t="s">
        <v>461</v>
      </c>
      <c r="I6" s="662">
        <v>100000</v>
      </c>
      <c r="J6" s="663">
        <f>I6*G6</f>
        <v>100000</v>
      </c>
      <c r="K6" s="664"/>
      <c r="L6" s="664" t="s">
        <v>264</v>
      </c>
      <c r="M6" s="663"/>
      <c r="N6" s="663" t="str">
        <f t="shared" ref="N6:N14" si="0">IF(K6="x",J6,"")</f>
        <v/>
      </c>
      <c r="O6" s="663">
        <f t="shared" ref="O6:O14" si="1">IF(L6="x",J6,"")</f>
        <v>100000</v>
      </c>
      <c r="P6" s="663"/>
    </row>
    <row r="7" spans="2:16" x14ac:dyDescent="0.3">
      <c r="B7" s="655"/>
      <c r="C7" s="656">
        <v>7602</v>
      </c>
      <c r="D7" s="660" t="s">
        <v>542</v>
      </c>
      <c r="E7" s="656"/>
      <c r="F7" s="657"/>
      <c r="G7" s="661"/>
      <c r="H7" s="656" t="s">
        <v>23</v>
      </c>
      <c r="I7" s="662"/>
      <c r="J7" s="663">
        <f>Clubhouse!D63</f>
        <v>490000</v>
      </c>
      <c r="K7" s="664" t="s">
        <v>264</v>
      </c>
      <c r="L7" s="664"/>
      <c r="M7" s="663"/>
      <c r="N7" s="663">
        <f t="shared" si="0"/>
        <v>490000</v>
      </c>
      <c r="O7" s="663" t="str">
        <f t="shared" si="1"/>
        <v/>
      </c>
      <c r="P7" s="663" t="s">
        <v>615</v>
      </c>
    </row>
    <row r="8" spans="2:16" x14ac:dyDescent="0.3">
      <c r="B8" s="655"/>
      <c r="C8" s="656">
        <v>7603</v>
      </c>
      <c r="D8" s="660" t="s">
        <v>927</v>
      </c>
      <c r="E8" s="656"/>
      <c r="F8" s="657"/>
      <c r="G8" s="661">
        <v>1</v>
      </c>
      <c r="H8" s="656" t="s">
        <v>461</v>
      </c>
      <c r="I8" s="662">
        <v>13000</v>
      </c>
      <c r="J8" s="663">
        <f t="shared" ref="J8:J14" si="2">I8*G8</f>
        <v>13000</v>
      </c>
      <c r="K8" s="664"/>
      <c r="L8" s="664" t="s">
        <v>264</v>
      </c>
      <c r="M8" s="663"/>
      <c r="N8" s="663" t="str">
        <f t="shared" si="0"/>
        <v/>
      </c>
      <c r="O8" s="663">
        <f t="shared" si="1"/>
        <v>13000</v>
      </c>
      <c r="P8" s="663" t="s">
        <v>928</v>
      </c>
    </row>
    <row r="9" spans="2:16" x14ac:dyDescent="0.3">
      <c r="B9" s="655"/>
      <c r="C9" s="656">
        <v>7604</v>
      </c>
      <c r="D9" s="660" t="s">
        <v>929</v>
      </c>
      <c r="E9" s="656"/>
      <c r="F9" s="657"/>
      <c r="G9" s="661">
        <v>1</v>
      </c>
      <c r="H9" s="656" t="s">
        <v>461</v>
      </c>
      <c r="I9" s="662">
        <v>2500</v>
      </c>
      <c r="J9" s="663">
        <f t="shared" si="2"/>
        <v>2500</v>
      </c>
      <c r="K9" s="664"/>
      <c r="L9" s="664" t="s">
        <v>264</v>
      </c>
      <c r="M9" s="663"/>
      <c r="N9" s="663" t="str">
        <f t="shared" si="0"/>
        <v/>
      </c>
      <c r="O9" s="663">
        <f t="shared" si="1"/>
        <v>2500</v>
      </c>
      <c r="P9" s="663"/>
    </row>
    <row r="10" spans="2:16" x14ac:dyDescent="0.3">
      <c r="B10" s="655"/>
      <c r="C10" s="656">
        <v>7605</v>
      </c>
      <c r="D10" s="660" t="s">
        <v>470</v>
      </c>
      <c r="E10" s="656"/>
      <c r="F10" s="657"/>
      <c r="G10" s="661"/>
      <c r="H10" s="656"/>
      <c r="I10" s="662"/>
      <c r="J10" s="663"/>
      <c r="K10" s="664"/>
      <c r="L10" s="664"/>
      <c r="M10" s="663"/>
      <c r="N10" s="663" t="str">
        <f t="shared" si="0"/>
        <v/>
      </c>
      <c r="O10" s="663" t="str">
        <f t="shared" si="1"/>
        <v/>
      </c>
      <c r="P10" s="663"/>
    </row>
    <row r="11" spans="2:16" x14ac:dyDescent="0.3">
      <c r="B11" s="655"/>
      <c r="C11" s="656"/>
      <c r="D11" s="660">
        <v>7604.01</v>
      </c>
      <c r="E11" s="656"/>
      <c r="F11" s="657" t="s">
        <v>282</v>
      </c>
      <c r="G11" s="661">
        <v>1</v>
      </c>
      <c r="H11" s="656" t="s">
        <v>461</v>
      </c>
      <c r="I11" s="662">
        <v>11800</v>
      </c>
      <c r="J11" s="663">
        <f t="shared" si="2"/>
        <v>11800</v>
      </c>
      <c r="K11" s="664" t="s">
        <v>264</v>
      </c>
      <c r="L11" s="664"/>
      <c r="M11" s="663"/>
      <c r="N11" s="663">
        <f t="shared" si="0"/>
        <v>11800</v>
      </c>
      <c r="O11" s="663" t="str">
        <f t="shared" si="1"/>
        <v/>
      </c>
      <c r="P11" s="663"/>
    </row>
    <row r="12" spans="2:16" x14ac:dyDescent="0.3">
      <c r="B12" s="655"/>
      <c r="C12" s="656"/>
      <c r="D12" s="660">
        <v>7604.02</v>
      </c>
      <c r="E12" s="656"/>
      <c r="F12" s="657" t="s">
        <v>466</v>
      </c>
      <c r="G12" s="661">
        <v>1</v>
      </c>
      <c r="H12" s="656" t="s">
        <v>461</v>
      </c>
      <c r="I12" s="662">
        <v>11800</v>
      </c>
      <c r="J12" s="663">
        <f t="shared" si="2"/>
        <v>11800</v>
      </c>
      <c r="K12" s="664"/>
      <c r="L12" s="664" t="s">
        <v>264</v>
      </c>
      <c r="M12" s="663"/>
      <c r="N12" s="663" t="str">
        <f t="shared" si="0"/>
        <v/>
      </c>
      <c r="O12" s="663">
        <f t="shared" si="1"/>
        <v>11800</v>
      </c>
      <c r="P12" s="663"/>
    </row>
    <row r="13" spans="2:16" x14ac:dyDescent="0.3">
      <c r="B13" s="655"/>
      <c r="C13" s="656">
        <v>7606</v>
      </c>
      <c r="D13" s="660" t="s">
        <v>930</v>
      </c>
      <c r="E13" s="656"/>
      <c r="F13" s="657"/>
      <c r="G13" s="661">
        <v>2</v>
      </c>
      <c r="H13" s="656" t="s">
        <v>461</v>
      </c>
      <c r="I13" s="662">
        <f>1500+2400+500</f>
        <v>4400</v>
      </c>
      <c r="J13" s="663">
        <f t="shared" si="2"/>
        <v>8800</v>
      </c>
      <c r="K13" s="664"/>
      <c r="L13" s="664" t="s">
        <v>264</v>
      </c>
      <c r="M13" s="663"/>
      <c r="N13" s="663" t="str">
        <f t="shared" si="0"/>
        <v/>
      </c>
      <c r="O13" s="663"/>
      <c r="P13" s="663" t="s">
        <v>931</v>
      </c>
    </row>
    <row r="14" spans="2:16" x14ac:dyDescent="0.3">
      <c r="B14" s="665"/>
      <c r="C14" s="666">
        <v>7607</v>
      </c>
      <c r="D14" s="667" t="s">
        <v>471</v>
      </c>
      <c r="E14" s="666"/>
      <c r="F14" s="668"/>
      <c r="G14" s="669">
        <v>5</v>
      </c>
      <c r="H14" s="666" t="s">
        <v>461</v>
      </c>
      <c r="I14" s="670">
        <v>375</v>
      </c>
      <c r="J14" s="671">
        <f t="shared" si="2"/>
        <v>1875</v>
      </c>
      <c r="K14" s="672"/>
      <c r="L14" s="672" t="s">
        <v>264</v>
      </c>
      <c r="M14" s="671"/>
      <c r="N14" s="671" t="str">
        <f t="shared" si="0"/>
        <v/>
      </c>
      <c r="O14" s="671">
        <f t="shared" si="1"/>
        <v>1875</v>
      </c>
      <c r="P14" s="671" t="s">
        <v>932</v>
      </c>
    </row>
    <row r="15" spans="2:16" x14ac:dyDescent="0.3">
      <c r="B15" s="657" t="s">
        <v>613</v>
      </c>
      <c r="C15" s="656"/>
      <c r="D15" s="660"/>
      <c r="E15" s="656"/>
      <c r="F15" s="657"/>
      <c r="G15" s="661"/>
      <c r="H15" s="656"/>
      <c r="I15" s="662"/>
      <c r="J15" s="663"/>
      <c r="K15" s="664"/>
      <c r="L15" s="664"/>
      <c r="M15" s="663"/>
      <c r="N15" s="663">
        <f>SUM(N6:N14)</f>
        <v>501800</v>
      </c>
      <c r="O15" s="663">
        <f>SUM(O6:O14)</f>
        <v>129175</v>
      </c>
      <c r="P15" s="663"/>
    </row>
    <row r="16" spans="2:16" x14ac:dyDescent="0.3">
      <c r="B16" s="543" t="s">
        <v>117</v>
      </c>
      <c r="N16" s="1016">
        <f>N15+O15</f>
        <v>630975</v>
      </c>
      <c r="O16" s="1017"/>
    </row>
    <row r="17" spans="2:15" x14ac:dyDescent="0.3">
      <c r="B17" s="543" t="s">
        <v>478</v>
      </c>
      <c r="N17" s="1018">
        <f>ROUND(N16,-3)</f>
        <v>631000</v>
      </c>
      <c r="O17" s="1019"/>
    </row>
    <row r="19" spans="2:15" x14ac:dyDescent="0.3">
      <c r="N19" s="721" t="s">
        <v>687</v>
      </c>
      <c r="O19" s="724">
        <f>Clubhouse!C5</f>
        <v>231.1320754716981</v>
      </c>
    </row>
  </sheetData>
  <mergeCells count="4">
    <mergeCell ref="K2:L2"/>
    <mergeCell ref="N2:O2"/>
    <mergeCell ref="N16:O16"/>
    <mergeCell ref="N17:O17"/>
  </mergeCells>
  <pageMargins left="0.7" right="0.7" top="0.75" bottom="0.75" header="0.3" footer="0.3"/>
  <ignoredErrors>
    <ignoredError sqref="J7" formula="1"/>
  </ignoredErrors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4ED144-1740-416D-A1F3-AFEDB1FC05AA}">
  <dimension ref="B2:AF63"/>
  <sheetViews>
    <sheetView workbookViewId="0">
      <selection activeCell="C3" sqref="C3"/>
    </sheetView>
  </sheetViews>
  <sheetFormatPr defaultColWidth="9.109375" defaultRowHeight="13.8" x14ac:dyDescent="0.3"/>
  <cols>
    <col min="1" max="1" width="1.77734375" style="543" customWidth="1"/>
    <col min="2" max="2" width="53.109375" style="543" bestFit="1" customWidth="1"/>
    <col min="3" max="3" width="12.88671875" style="543" customWidth="1"/>
    <col min="4" max="4" width="12.21875" style="543" customWidth="1"/>
    <col min="5" max="9" width="9.109375" style="543"/>
    <col min="10" max="10" width="9.88671875" style="543" bestFit="1" customWidth="1"/>
    <col min="11" max="17" width="9.109375" style="543"/>
    <col min="18" max="18" width="1.77734375" style="543" customWidth="1"/>
    <col min="19" max="19" width="10.21875" style="543" bestFit="1" customWidth="1"/>
    <col min="20" max="22" width="9.109375" style="543"/>
    <col min="23" max="23" width="9.88671875" style="543" bestFit="1" customWidth="1"/>
    <col min="24" max="26" width="9.109375" style="543"/>
    <col min="27" max="27" width="10" style="543" bestFit="1" customWidth="1"/>
    <col min="28" max="30" width="9.109375" style="543"/>
    <col min="31" max="31" width="1.77734375" style="543" customWidth="1"/>
    <col min="32" max="32" width="10.21875" style="543" bestFit="1" customWidth="1"/>
    <col min="33" max="16384" width="9.109375" style="543"/>
  </cols>
  <sheetData>
    <row r="2" spans="2:30" x14ac:dyDescent="0.3">
      <c r="B2" s="550" t="s">
        <v>594</v>
      </c>
      <c r="C2" s="551" t="s">
        <v>593</v>
      </c>
      <c r="D2" s="551"/>
      <c r="E2" s="552"/>
    </row>
    <row r="3" spans="2:30" x14ac:dyDescent="0.3">
      <c r="B3" s="553" t="s">
        <v>248</v>
      </c>
      <c r="C3" s="546">
        <f>D63</f>
        <v>490000</v>
      </c>
      <c r="E3" s="555"/>
    </row>
    <row r="4" spans="2:30" x14ac:dyDescent="0.3">
      <c r="B4" s="553" t="s">
        <v>592</v>
      </c>
      <c r="C4" s="554">
        <v>2120</v>
      </c>
      <c r="D4" s="543" t="s">
        <v>865</v>
      </c>
      <c r="E4" s="555"/>
    </row>
    <row r="5" spans="2:30" ht="14.4" thickBot="1" x14ac:dyDescent="0.35">
      <c r="B5" s="556" t="s">
        <v>595</v>
      </c>
      <c r="C5" s="557">
        <f>C3/C4</f>
        <v>231.1320754716981</v>
      </c>
      <c r="D5" s="558"/>
      <c r="E5" s="559"/>
    </row>
    <row r="6" spans="2:30" ht="14.4" thickBot="1" x14ac:dyDescent="0.35">
      <c r="B6" s="544"/>
      <c r="C6" s="964"/>
      <c r="F6" s="1012" t="s">
        <v>953</v>
      </c>
      <c r="G6" s="1013"/>
      <c r="H6" s="1013"/>
      <c r="I6" s="1013"/>
      <c r="J6" s="1013"/>
      <c r="K6" s="1013"/>
      <c r="L6" s="1013"/>
      <c r="M6" s="1013"/>
      <c r="N6" s="1013"/>
      <c r="O6" s="1013"/>
      <c r="P6" s="1013"/>
      <c r="Q6" s="1015"/>
      <c r="S6" s="1012" t="s">
        <v>954</v>
      </c>
      <c r="T6" s="1013"/>
      <c r="U6" s="1013"/>
      <c r="V6" s="1013"/>
      <c r="W6" s="1013"/>
      <c r="X6" s="1013"/>
      <c r="Y6" s="1013"/>
      <c r="Z6" s="1013"/>
      <c r="AA6" s="1013"/>
      <c r="AB6" s="1013"/>
      <c r="AC6" s="1013"/>
      <c r="AD6" s="1015"/>
    </row>
    <row r="7" spans="2:30" x14ac:dyDescent="0.3">
      <c r="F7" s="956" t="s">
        <v>933</v>
      </c>
      <c r="G7" s="956" t="s">
        <v>603</v>
      </c>
      <c r="H7" s="956" t="s">
        <v>604</v>
      </c>
      <c r="I7" s="956" t="s">
        <v>605</v>
      </c>
      <c r="J7" s="956" t="s">
        <v>606</v>
      </c>
      <c r="K7" s="956" t="s">
        <v>607</v>
      </c>
      <c r="L7" s="956" t="s">
        <v>596</v>
      </c>
      <c r="M7" s="956" t="s">
        <v>597</v>
      </c>
      <c r="N7" s="956" t="s">
        <v>598</v>
      </c>
      <c r="O7" s="956" t="s">
        <v>599</v>
      </c>
      <c r="P7" s="956" t="s">
        <v>600</v>
      </c>
      <c r="Q7" s="956" t="s">
        <v>601</v>
      </c>
      <c r="S7" s="956" t="s">
        <v>933</v>
      </c>
      <c r="T7" s="956" t="s">
        <v>603</v>
      </c>
      <c r="U7" s="956" t="s">
        <v>604</v>
      </c>
      <c r="V7" s="956" t="s">
        <v>605</v>
      </c>
      <c r="W7" s="956" t="s">
        <v>606</v>
      </c>
      <c r="X7" s="956" t="s">
        <v>607</v>
      </c>
      <c r="Y7" s="956" t="s">
        <v>596</v>
      </c>
      <c r="Z7" s="956" t="s">
        <v>597</v>
      </c>
      <c r="AA7" s="956" t="s">
        <v>598</v>
      </c>
      <c r="AB7" s="956" t="s">
        <v>599</v>
      </c>
      <c r="AC7" s="956" t="s">
        <v>600</v>
      </c>
      <c r="AD7" s="956" t="s">
        <v>601</v>
      </c>
    </row>
    <row r="8" spans="2:30" x14ac:dyDescent="0.3">
      <c r="B8" s="542" t="s">
        <v>543</v>
      </c>
      <c r="D8" s="679">
        <f>SUM(C9:C13)</f>
        <v>7500.0039999999999</v>
      </c>
      <c r="F8" s="545"/>
      <c r="G8" s="545"/>
      <c r="H8" s="545"/>
      <c r="I8" s="545"/>
      <c r="J8" s="545"/>
      <c r="K8" s="545"/>
      <c r="L8" s="545"/>
      <c r="M8" s="545"/>
      <c r="N8" s="545"/>
      <c r="O8" s="545"/>
      <c r="P8" s="545"/>
      <c r="Q8" s="545"/>
      <c r="R8" s="545"/>
      <c r="S8" s="674"/>
      <c r="T8" s="674"/>
      <c r="U8" s="674"/>
      <c r="V8" s="674"/>
      <c r="W8" s="674"/>
      <c r="X8" s="674"/>
      <c r="Y8" s="674"/>
      <c r="Z8" s="674"/>
      <c r="AA8" s="674"/>
      <c r="AB8" s="674"/>
      <c r="AC8" s="674"/>
      <c r="AD8" s="674"/>
    </row>
    <row r="9" spans="2:30" x14ac:dyDescent="0.3">
      <c r="B9" s="543" t="s">
        <v>544</v>
      </c>
      <c r="C9" s="674">
        <v>1E-3</v>
      </c>
      <c r="D9" s="546"/>
      <c r="F9" s="545"/>
      <c r="G9" s="545"/>
      <c r="H9" s="545"/>
      <c r="I9" s="545"/>
      <c r="J9" s="545"/>
      <c r="K9" s="545"/>
      <c r="L9" s="545"/>
      <c r="M9" s="545"/>
      <c r="N9" s="545"/>
      <c r="O9" s="545"/>
      <c r="P9" s="545"/>
      <c r="Q9" s="545"/>
      <c r="R9" s="545"/>
      <c r="S9" s="674"/>
      <c r="T9" s="674"/>
      <c r="U9" s="674"/>
      <c r="V9" s="674"/>
      <c r="W9" s="674"/>
      <c r="X9" s="674"/>
      <c r="Y9" s="674"/>
      <c r="Z9" s="674"/>
      <c r="AA9" s="674"/>
      <c r="AB9" s="674"/>
      <c r="AC9" s="674"/>
      <c r="AD9" s="674"/>
    </row>
    <row r="10" spans="2:30" x14ac:dyDescent="0.3">
      <c r="B10" s="543" t="s">
        <v>545</v>
      </c>
      <c r="C10" s="674">
        <v>1E-3</v>
      </c>
      <c r="D10" s="546"/>
      <c r="F10" s="545"/>
      <c r="G10" s="545"/>
      <c r="H10" s="545"/>
      <c r="I10" s="545"/>
      <c r="J10" s="545"/>
      <c r="K10" s="545"/>
      <c r="L10" s="545"/>
      <c r="M10" s="545"/>
      <c r="N10" s="545"/>
      <c r="O10" s="545"/>
      <c r="P10" s="545"/>
      <c r="Q10" s="545"/>
      <c r="R10" s="545"/>
      <c r="S10" s="674"/>
      <c r="T10" s="674"/>
      <c r="U10" s="674"/>
      <c r="V10" s="674"/>
      <c r="W10" s="674"/>
      <c r="X10" s="674"/>
      <c r="Y10" s="674"/>
      <c r="Z10" s="674"/>
      <c r="AA10" s="674"/>
      <c r="AB10" s="674"/>
      <c r="AC10" s="674"/>
      <c r="AD10" s="674"/>
    </row>
    <row r="11" spans="2:30" x14ac:dyDescent="0.3">
      <c r="B11" s="543" t="s">
        <v>546</v>
      </c>
      <c r="C11" s="674">
        <v>1E-3</v>
      </c>
      <c r="D11" s="546"/>
      <c r="F11" s="545"/>
      <c r="G11" s="545"/>
      <c r="H11" s="545"/>
      <c r="I11" s="545"/>
      <c r="J11" s="545"/>
      <c r="K11" s="545"/>
      <c r="L11" s="545"/>
      <c r="M11" s="545"/>
      <c r="N11" s="545"/>
      <c r="O11" s="545"/>
      <c r="P11" s="545"/>
      <c r="Q11" s="545"/>
      <c r="R11" s="545"/>
      <c r="S11" s="674"/>
      <c r="T11" s="674"/>
      <c r="U11" s="674"/>
      <c r="V11" s="674"/>
      <c r="W11" s="674"/>
      <c r="X11" s="674"/>
      <c r="Y11" s="674"/>
      <c r="Z11" s="674"/>
      <c r="AA11" s="674"/>
      <c r="AB11" s="674"/>
      <c r="AC11" s="674"/>
      <c r="AD11" s="674"/>
    </row>
    <row r="12" spans="2:30" x14ac:dyDescent="0.3">
      <c r="B12" s="543" t="s">
        <v>547</v>
      </c>
      <c r="C12" s="674">
        <v>1E-3</v>
      </c>
      <c r="D12" s="546"/>
      <c r="F12" s="545"/>
      <c r="G12" s="545"/>
      <c r="H12" s="545"/>
      <c r="I12" s="545"/>
      <c r="J12" s="545"/>
      <c r="K12" s="545"/>
      <c r="L12" s="545"/>
      <c r="M12" s="545"/>
      <c r="N12" s="545"/>
      <c r="O12" s="545"/>
      <c r="P12" s="545"/>
      <c r="Q12" s="545"/>
      <c r="R12" s="545"/>
      <c r="S12" s="674"/>
      <c r="T12" s="674"/>
      <c r="U12" s="674"/>
      <c r="V12" s="674"/>
      <c r="W12" s="674"/>
      <c r="X12" s="674"/>
      <c r="Y12" s="674"/>
      <c r="Z12" s="674"/>
      <c r="AA12" s="674"/>
      <c r="AB12" s="674"/>
      <c r="AC12" s="674"/>
      <c r="AD12" s="674"/>
    </row>
    <row r="13" spans="2:30" x14ac:dyDescent="0.3">
      <c r="B13" s="543" t="s">
        <v>548</v>
      </c>
      <c r="C13" s="674">
        <v>7500</v>
      </c>
      <c r="D13" s="546"/>
      <c r="F13" s="545"/>
      <c r="G13" s="545"/>
      <c r="H13" s="545"/>
      <c r="I13" s="545"/>
      <c r="J13" s="545"/>
      <c r="K13" s="545"/>
      <c r="L13" s="545"/>
      <c r="M13" s="545"/>
      <c r="N13" s="545" t="s">
        <v>264</v>
      </c>
      <c r="O13" s="545"/>
      <c r="P13" s="545"/>
      <c r="Q13" s="545"/>
      <c r="R13" s="545"/>
      <c r="S13" s="674"/>
      <c r="T13" s="674"/>
      <c r="U13" s="674"/>
      <c r="V13" s="674"/>
      <c r="W13" s="674"/>
      <c r="X13" s="674"/>
      <c r="Y13" s="674"/>
      <c r="Z13" s="674"/>
      <c r="AA13" s="674">
        <v>7500</v>
      </c>
      <c r="AB13" s="674"/>
      <c r="AC13" s="674"/>
      <c r="AD13" s="674"/>
    </row>
    <row r="14" spans="2:30" x14ac:dyDescent="0.3">
      <c r="B14" s="542" t="s">
        <v>549</v>
      </c>
      <c r="C14" s="736"/>
      <c r="D14" s="738">
        <f>SUM(C15:C17)</f>
        <v>3400</v>
      </c>
      <c r="F14" s="545"/>
      <c r="G14" s="545"/>
      <c r="H14" s="545"/>
      <c r="I14" s="545"/>
      <c r="J14" s="545"/>
      <c r="K14" s="545"/>
      <c r="L14" s="545"/>
      <c r="M14" s="545"/>
      <c r="N14" s="545"/>
      <c r="O14" s="545"/>
      <c r="P14" s="545"/>
      <c r="Q14" s="545"/>
      <c r="R14" s="545"/>
      <c r="S14" s="674"/>
      <c r="T14" s="674"/>
      <c r="U14" s="674"/>
      <c r="V14" s="674"/>
      <c r="W14" s="674"/>
      <c r="X14" s="674"/>
      <c r="Y14" s="674"/>
      <c r="Z14" s="674"/>
      <c r="AA14" s="674"/>
      <c r="AB14" s="674"/>
      <c r="AC14" s="674"/>
      <c r="AD14" s="674"/>
    </row>
    <row r="15" spans="2:30" x14ac:dyDescent="0.3">
      <c r="B15" s="543" t="s">
        <v>550</v>
      </c>
      <c r="C15" s="674">
        <v>3400</v>
      </c>
      <c r="D15" s="546"/>
      <c r="F15" s="957"/>
      <c r="G15" s="545"/>
      <c r="H15" s="545"/>
      <c r="I15" s="545"/>
      <c r="J15" s="545"/>
      <c r="K15" s="545"/>
      <c r="L15" s="545"/>
      <c r="M15" s="545"/>
      <c r="N15" s="545" t="s">
        <v>264</v>
      </c>
      <c r="O15" s="545"/>
      <c r="P15" s="545"/>
      <c r="Q15" s="545"/>
      <c r="R15" s="545"/>
      <c r="S15" s="674"/>
      <c r="T15" s="674"/>
      <c r="U15" s="674"/>
      <c r="V15" s="674"/>
      <c r="W15" s="674"/>
      <c r="X15" s="674"/>
      <c r="Y15" s="674"/>
      <c r="Z15" s="674"/>
      <c r="AA15" s="674">
        <v>3400</v>
      </c>
      <c r="AB15" s="674"/>
      <c r="AC15" s="674"/>
      <c r="AD15" s="674"/>
    </row>
    <row r="16" spans="2:30" x14ac:dyDescent="0.3">
      <c r="B16" s="543" t="s">
        <v>551</v>
      </c>
      <c r="C16" s="674">
        <v>0</v>
      </c>
      <c r="D16" s="546"/>
      <c r="F16" s="545"/>
      <c r="G16" s="545"/>
      <c r="H16" s="545"/>
      <c r="I16" s="545"/>
      <c r="J16" s="545"/>
      <c r="K16" s="545"/>
      <c r="L16" s="545"/>
      <c r="M16" s="545"/>
      <c r="N16" s="545"/>
      <c r="O16" s="545"/>
      <c r="P16" s="545"/>
      <c r="Q16" s="545"/>
      <c r="R16" s="545"/>
      <c r="S16" s="674"/>
      <c r="T16" s="674"/>
      <c r="U16" s="674"/>
      <c r="V16" s="674"/>
      <c r="W16" s="674"/>
      <c r="X16" s="674"/>
      <c r="Y16" s="674"/>
      <c r="Z16" s="674"/>
      <c r="AA16" s="674"/>
      <c r="AB16" s="674"/>
      <c r="AC16" s="674"/>
      <c r="AD16" s="674"/>
    </row>
    <row r="17" spans="2:30" x14ac:dyDescent="0.3">
      <c r="B17" s="543" t="s">
        <v>552</v>
      </c>
      <c r="C17" s="674">
        <v>0</v>
      </c>
      <c r="D17" s="546"/>
      <c r="F17" s="545"/>
      <c r="G17" s="545"/>
      <c r="H17" s="545"/>
      <c r="I17" s="545"/>
      <c r="J17" s="545"/>
      <c r="K17" s="545"/>
      <c r="L17" s="545"/>
      <c r="M17" s="545"/>
      <c r="N17" s="545"/>
      <c r="O17" s="545"/>
      <c r="P17" s="545"/>
      <c r="Q17" s="545"/>
      <c r="R17" s="545"/>
      <c r="S17" s="674"/>
      <c r="T17" s="674"/>
      <c r="U17" s="674"/>
      <c r="V17" s="674"/>
      <c r="W17" s="674"/>
      <c r="X17" s="674"/>
      <c r="Y17" s="674"/>
      <c r="Z17" s="674"/>
      <c r="AA17" s="674"/>
      <c r="AB17" s="674"/>
      <c r="AC17" s="674"/>
      <c r="AD17" s="674"/>
    </row>
    <row r="18" spans="2:30" x14ac:dyDescent="0.3">
      <c r="B18" s="542" t="s">
        <v>553</v>
      </c>
      <c r="C18" s="736"/>
      <c r="D18" s="679">
        <f>SUM(C19:C24)</f>
        <v>149890</v>
      </c>
      <c r="F18" s="545"/>
      <c r="G18" s="545"/>
      <c r="H18" s="545"/>
      <c r="I18" s="545"/>
      <c r="J18" s="545"/>
      <c r="K18" s="545"/>
      <c r="L18" s="545"/>
      <c r="M18" s="545"/>
      <c r="N18" s="545"/>
      <c r="O18" s="545"/>
      <c r="P18" s="545"/>
      <c r="Q18" s="545"/>
      <c r="R18" s="545"/>
      <c r="S18" s="674"/>
      <c r="T18" s="674"/>
      <c r="U18" s="674"/>
      <c r="V18" s="674"/>
      <c r="W18" s="674"/>
      <c r="X18" s="674"/>
      <c r="Y18" s="674"/>
      <c r="Z18" s="674"/>
      <c r="AA18" s="674"/>
      <c r="AB18" s="674"/>
      <c r="AC18" s="674"/>
      <c r="AD18" s="674"/>
    </row>
    <row r="19" spans="2:30" x14ac:dyDescent="0.3">
      <c r="B19" s="543" t="s">
        <v>554</v>
      </c>
      <c r="C19" s="674">
        <f>31500+35000</f>
        <v>66500</v>
      </c>
      <c r="D19" s="546"/>
      <c r="F19" s="545" t="s">
        <v>264</v>
      </c>
      <c r="G19" s="545"/>
      <c r="H19" s="545"/>
      <c r="I19" s="545"/>
      <c r="J19" s="545"/>
      <c r="K19" s="545"/>
      <c r="L19" s="545"/>
      <c r="M19" s="545"/>
      <c r="N19" s="545"/>
      <c r="O19" s="545"/>
      <c r="P19" s="545"/>
      <c r="Q19" s="545"/>
      <c r="R19" s="545"/>
      <c r="S19" s="674">
        <v>66500</v>
      </c>
      <c r="T19" s="674"/>
      <c r="U19" s="674"/>
      <c r="V19" s="674"/>
      <c r="W19" s="674"/>
      <c r="X19" s="674"/>
      <c r="Y19" s="674"/>
      <c r="Z19" s="674"/>
      <c r="AA19" s="674"/>
      <c r="AB19" s="674"/>
      <c r="AC19" s="674"/>
      <c r="AD19" s="674"/>
    </row>
    <row r="20" spans="2:30" x14ac:dyDescent="0.3">
      <c r="B20" s="543" t="s">
        <v>555</v>
      </c>
      <c r="C20" s="674">
        <v>24538</v>
      </c>
      <c r="D20" s="546"/>
      <c r="F20" s="545"/>
      <c r="G20" s="545"/>
      <c r="H20" s="545"/>
      <c r="I20" s="545" t="s">
        <v>264</v>
      </c>
      <c r="J20" s="545"/>
      <c r="K20" s="545"/>
      <c r="L20" s="545"/>
      <c r="M20" s="545"/>
      <c r="N20" s="545"/>
      <c r="O20" s="545"/>
      <c r="P20" s="545"/>
      <c r="Q20" s="545"/>
      <c r="R20" s="545"/>
      <c r="S20" s="674"/>
      <c r="T20" s="674"/>
      <c r="U20" s="674"/>
      <c r="V20" s="674">
        <v>24538</v>
      </c>
      <c r="W20" s="674"/>
      <c r="X20" s="674"/>
      <c r="Y20" s="674"/>
      <c r="Z20" s="674"/>
      <c r="AA20" s="674"/>
      <c r="AB20" s="674"/>
      <c r="AC20" s="674"/>
      <c r="AD20" s="674"/>
    </row>
    <row r="21" spans="2:30" x14ac:dyDescent="0.3">
      <c r="B21" s="543" t="s">
        <v>922</v>
      </c>
      <c r="C21" s="674">
        <f>4*4200</f>
        <v>16800</v>
      </c>
      <c r="D21" s="546"/>
      <c r="F21" s="545"/>
      <c r="G21" s="545" t="s">
        <v>264</v>
      </c>
      <c r="H21" s="545"/>
      <c r="I21" s="545"/>
      <c r="J21" s="545"/>
      <c r="K21" s="545"/>
      <c r="L21" s="545"/>
      <c r="M21" s="545"/>
      <c r="N21" s="545"/>
      <c r="O21" s="545"/>
      <c r="P21" s="545"/>
      <c r="Q21" s="545"/>
      <c r="R21" s="545"/>
      <c r="S21" s="674"/>
      <c r="T21" s="674">
        <v>16800</v>
      </c>
      <c r="U21" s="674"/>
      <c r="V21" s="674"/>
      <c r="W21" s="674"/>
      <c r="X21" s="674"/>
      <c r="Y21" s="674"/>
      <c r="Z21" s="674"/>
      <c r="AA21" s="674"/>
      <c r="AB21" s="674"/>
      <c r="AC21" s="674"/>
      <c r="AD21" s="674"/>
    </row>
    <row r="22" spans="2:30" x14ac:dyDescent="0.3">
      <c r="B22" s="543" t="s">
        <v>934</v>
      </c>
      <c r="C22" s="674">
        <v>6200</v>
      </c>
      <c r="D22" s="546"/>
      <c r="F22" s="545"/>
      <c r="G22" s="545" t="s">
        <v>264</v>
      </c>
      <c r="H22" s="545"/>
      <c r="I22" s="545"/>
      <c r="J22" s="545"/>
      <c r="K22" s="545"/>
      <c r="L22" s="545"/>
      <c r="M22" s="545"/>
      <c r="N22" s="545"/>
      <c r="O22" s="545"/>
      <c r="P22" s="545"/>
      <c r="Q22" s="545"/>
      <c r="R22" s="545"/>
      <c r="S22" s="674"/>
      <c r="T22" s="674">
        <v>6200</v>
      </c>
      <c r="U22" s="674"/>
      <c r="V22" s="674"/>
      <c r="W22" s="674"/>
      <c r="X22" s="674"/>
      <c r="Y22" s="674"/>
      <c r="Z22" s="674"/>
      <c r="AA22" s="674"/>
      <c r="AB22" s="674"/>
      <c r="AC22" s="674"/>
      <c r="AD22" s="674"/>
    </row>
    <row r="23" spans="2:30" x14ac:dyDescent="0.3">
      <c r="B23" s="543" t="s">
        <v>556</v>
      </c>
      <c r="C23" s="674">
        <v>8852</v>
      </c>
      <c r="D23" s="546"/>
      <c r="F23" s="545"/>
      <c r="G23" s="545"/>
      <c r="H23" s="545" t="s">
        <v>264</v>
      </c>
      <c r="I23" s="545"/>
      <c r="J23" s="545"/>
      <c r="K23" s="545"/>
      <c r="L23" s="545"/>
      <c r="M23" s="545"/>
      <c r="N23" s="545"/>
      <c r="O23" s="545"/>
      <c r="P23" s="545"/>
      <c r="Q23" s="545"/>
      <c r="R23" s="545"/>
      <c r="S23" s="674"/>
      <c r="T23" s="674"/>
      <c r="U23" s="674">
        <v>8852</v>
      </c>
      <c r="V23" s="674"/>
      <c r="W23" s="674"/>
      <c r="X23" s="674"/>
      <c r="Y23" s="674"/>
      <c r="Z23" s="674"/>
      <c r="AA23" s="674"/>
      <c r="AB23" s="674"/>
      <c r="AC23" s="674"/>
      <c r="AD23" s="674"/>
    </row>
    <row r="24" spans="2:30" x14ac:dyDescent="0.3">
      <c r="B24" s="543" t="s">
        <v>557</v>
      </c>
      <c r="C24" s="674">
        <v>27000</v>
      </c>
      <c r="D24" s="546"/>
      <c r="F24" s="545" t="s">
        <v>264</v>
      </c>
      <c r="G24" s="545"/>
      <c r="H24" s="545"/>
      <c r="I24" s="545"/>
      <c r="J24" s="545"/>
      <c r="K24" s="545"/>
      <c r="L24" s="545"/>
      <c r="M24" s="545"/>
      <c r="N24" s="545"/>
      <c r="O24" s="545"/>
      <c r="P24" s="545"/>
      <c r="Q24" s="545"/>
      <c r="R24" s="545"/>
      <c r="S24" s="674">
        <v>27000</v>
      </c>
      <c r="T24" s="674"/>
      <c r="U24" s="674"/>
      <c r="V24" s="674"/>
      <c r="W24" s="674"/>
      <c r="X24" s="674"/>
      <c r="Y24" s="674"/>
      <c r="Z24" s="674"/>
      <c r="AA24" s="674"/>
      <c r="AB24" s="674"/>
      <c r="AC24" s="674"/>
      <c r="AD24" s="674"/>
    </row>
    <row r="25" spans="2:30" x14ac:dyDescent="0.3">
      <c r="B25" s="542" t="s">
        <v>558</v>
      </c>
      <c r="C25" s="736"/>
      <c r="D25" s="679">
        <f>SUM(C26:C35)</f>
        <v>96520</v>
      </c>
      <c r="F25" s="545"/>
      <c r="G25" s="545"/>
      <c r="H25" s="545"/>
      <c r="I25" s="545"/>
      <c r="J25" s="545"/>
      <c r="K25" s="545"/>
      <c r="L25" s="545"/>
      <c r="M25" s="545"/>
      <c r="N25" s="545"/>
      <c r="O25" s="545"/>
      <c r="P25" s="545"/>
      <c r="Q25" s="545"/>
      <c r="R25" s="545"/>
      <c r="S25" s="674"/>
      <c r="T25" s="674"/>
      <c r="U25" s="674"/>
      <c r="V25" s="674"/>
      <c r="W25" s="674"/>
      <c r="X25" s="674"/>
      <c r="Y25" s="674"/>
      <c r="Z25" s="674"/>
      <c r="AA25" s="674"/>
      <c r="AB25" s="674"/>
      <c r="AC25" s="674"/>
      <c r="AD25" s="674"/>
    </row>
    <row r="26" spans="2:30" x14ac:dyDescent="0.3">
      <c r="B26" s="543" t="s">
        <v>559</v>
      </c>
      <c r="C26" s="674">
        <v>1170</v>
      </c>
      <c r="D26" s="546"/>
      <c r="F26" s="545"/>
      <c r="G26" s="545" t="s">
        <v>264</v>
      </c>
      <c r="H26" s="545"/>
      <c r="I26" s="545"/>
      <c r="J26" s="545"/>
      <c r="K26" s="545"/>
      <c r="L26" s="545"/>
      <c r="M26" s="545"/>
      <c r="N26" s="545"/>
      <c r="O26" s="545"/>
      <c r="P26" s="545"/>
      <c r="Q26" s="545"/>
      <c r="R26" s="545"/>
      <c r="S26" s="674"/>
      <c r="T26" s="674">
        <v>1170</v>
      </c>
      <c r="U26" s="674"/>
      <c r="V26" s="674"/>
      <c r="W26" s="674"/>
      <c r="X26" s="674"/>
      <c r="Y26" s="674"/>
      <c r="Z26" s="674"/>
      <c r="AA26" s="674"/>
      <c r="AB26" s="674"/>
      <c r="AC26" s="674"/>
      <c r="AD26" s="674"/>
    </row>
    <row r="27" spans="2:30" x14ac:dyDescent="0.3">
      <c r="B27" s="543" t="s">
        <v>560</v>
      </c>
      <c r="C27" s="674">
        <v>0</v>
      </c>
      <c r="D27" s="546"/>
      <c r="F27" s="545"/>
      <c r="G27" s="545"/>
      <c r="H27" s="545"/>
      <c r="I27" s="545"/>
      <c r="J27" s="545"/>
      <c r="K27" s="545"/>
      <c r="L27" s="545"/>
      <c r="M27" s="545"/>
      <c r="N27" s="545"/>
      <c r="O27" s="545"/>
      <c r="P27" s="545"/>
      <c r="Q27" s="545"/>
      <c r="R27" s="545"/>
      <c r="S27" s="674"/>
      <c r="T27" s="674"/>
      <c r="U27" s="674"/>
      <c r="V27" s="674"/>
      <c r="W27" s="674"/>
      <c r="X27" s="674"/>
      <c r="Y27" s="674"/>
      <c r="Z27" s="674"/>
      <c r="AA27" s="674"/>
      <c r="AB27" s="674"/>
      <c r="AC27" s="674"/>
      <c r="AD27" s="674"/>
    </row>
    <row r="28" spans="2:30" x14ac:dyDescent="0.3">
      <c r="B28" s="543" t="s">
        <v>561</v>
      </c>
      <c r="C28" s="674">
        <v>1100</v>
      </c>
      <c r="D28" s="546"/>
      <c r="F28" s="545"/>
      <c r="G28" s="545" t="s">
        <v>264</v>
      </c>
      <c r="H28" s="545"/>
      <c r="I28" s="545"/>
      <c r="J28" s="545"/>
      <c r="K28" s="545"/>
      <c r="L28" s="545"/>
      <c r="M28" s="545"/>
      <c r="N28" s="545"/>
      <c r="O28" s="545"/>
      <c r="P28" s="545"/>
      <c r="Q28" s="545"/>
      <c r="R28" s="545"/>
      <c r="S28" s="674"/>
      <c r="T28" s="674">
        <v>1100</v>
      </c>
      <c r="U28" s="674"/>
      <c r="V28" s="674"/>
      <c r="W28" s="674"/>
      <c r="X28" s="674"/>
      <c r="Y28" s="674"/>
      <c r="Z28" s="674"/>
      <c r="AA28" s="674"/>
      <c r="AB28" s="674"/>
      <c r="AC28" s="674"/>
      <c r="AD28" s="674"/>
    </row>
    <row r="29" spans="2:30" x14ac:dyDescent="0.3">
      <c r="B29" s="543" t="s">
        <v>562</v>
      </c>
      <c r="C29" s="674">
        <v>4000</v>
      </c>
      <c r="D29" s="546"/>
      <c r="F29" s="545"/>
      <c r="G29" s="545"/>
      <c r="H29" s="545" t="s">
        <v>264</v>
      </c>
      <c r="I29" s="545"/>
      <c r="J29" s="545"/>
      <c r="K29" s="545"/>
      <c r="L29" s="545"/>
      <c r="M29" s="545"/>
      <c r="N29" s="545"/>
      <c r="O29" s="545"/>
      <c r="P29" s="545"/>
      <c r="Q29" s="545"/>
      <c r="R29" s="545"/>
      <c r="S29" s="674"/>
      <c r="T29" s="674"/>
      <c r="U29" s="674">
        <v>4000</v>
      </c>
      <c r="V29" s="674"/>
      <c r="W29" s="674"/>
      <c r="X29" s="674"/>
      <c r="Y29" s="674"/>
      <c r="Z29" s="674"/>
      <c r="AA29" s="674"/>
      <c r="AB29" s="674"/>
      <c r="AC29" s="674"/>
      <c r="AD29" s="674"/>
    </row>
    <row r="30" spans="2:30" x14ac:dyDescent="0.3">
      <c r="B30" s="543" t="s">
        <v>563</v>
      </c>
      <c r="C30" s="674">
        <f>16000+12000</f>
        <v>28000</v>
      </c>
      <c r="D30" s="546"/>
      <c r="F30" s="545"/>
      <c r="G30" s="545" t="s">
        <v>264</v>
      </c>
      <c r="H30" s="545" t="s">
        <v>264</v>
      </c>
      <c r="I30" s="545"/>
      <c r="J30" s="545"/>
      <c r="K30" s="545"/>
      <c r="L30" s="545"/>
      <c r="M30" s="545"/>
      <c r="N30" s="545"/>
      <c r="O30" s="545"/>
      <c r="P30" s="545"/>
      <c r="Q30" s="545"/>
      <c r="R30" s="545"/>
      <c r="S30" s="674"/>
      <c r="T30" s="674">
        <v>14000</v>
      </c>
      <c r="U30" s="674">
        <v>14000</v>
      </c>
      <c r="V30" s="674"/>
      <c r="W30" s="674"/>
      <c r="X30" s="674"/>
      <c r="Y30" s="674"/>
      <c r="Z30" s="674"/>
      <c r="AA30" s="674"/>
      <c r="AB30" s="674"/>
      <c r="AC30" s="674"/>
      <c r="AD30" s="674"/>
    </row>
    <row r="31" spans="2:30" x14ac:dyDescent="0.3">
      <c r="B31" s="543" t="s">
        <v>564</v>
      </c>
      <c r="C31" s="674">
        <v>16500</v>
      </c>
      <c r="D31" s="546"/>
      <c r="F31" s="545"/>
      <c r="G31" s="545"/>
      <c r="H31" s="545"/>
      <c r="I31" s="545"/>
      <c r="J31" s="545" t="s">
        <v>264</v>
      </c>
      <c r="K31" s="545"/>
      <c r="L31" s="545"/>
      <c r="M31" s="545"/>
      <c r="N31" s="545"/>
      <c r="O31" s="545"/>
      <c r="P31" s="545"/>
      <c r="Q31" s="545"/>
      <c r="R31" s="545"/>
      <c r="S31" s="674"/>
      <c r="T31" s="674"/>
      <c r="U31" s="674"/>
      <c r="V31" s="674"/>
      <c r="W31" s="674">
        <v>16500</v>
      </c>
      <c r="X31" s="674"/>
      <c r="Y31" s="674"/>
      <c r="Z31" s="674"/>
      <c r="AA31" s="674"/>
      <c r="AB31" s="674"/>
      <c r="AC31" s="674"/>
      <c r="AD31" s="674"/>
    </row>
    <row r="32" spans="2:30" x14ac:dyDescent="0.3">
      <c r="B32" s="543" t="s">
        <v>565</v>
      </c>
      <c r="C32" s="674">
        <v>16000</v>
      </c>
      <c r="D32" s="546"/>
      <c r="F32" s="545"/>
      <c r="G32" s="545"/>
      <c r="H32" s="545"/>
      <c r="I32" s="545"/>
      <c r="J32" s="545" t="s">
        <v>264</v>
      </c>
      <c r="K32" s="545"/>
      <c r="L32" s="545"/>
      <c r="M32" s="545"/>
      <c r="N32" s="545"/>
      <c r="O32" s="545"/>
      <c r="P32" s="545"/>
      <c r="Q32" s="545"/>
      <c r="R32" s="545"/>
      <c r="S32" s="674"/>
      <c r="T32" s="674"/>
      <c r="U32" s="674"/>
      <c r="V32" s="674"/>
      <c r="W32" s="674">
        <v>16000</v>
      </c>
      <c r="X32" s="674"/>
      <c r="Y32" s="674"/>
      <c r="Z32" s="674"/>
      <c r="AA32" s="674"/>
      <c r="AB32" s="674"/>
      <c r="AC32" s="674"/>
      <c r="AD32" s="674"/>
    </row>
    <row r="33" spans="2:30" x14ac:dyDescent="0.3">
      <c r="B33" s="543" t="s">
        <v>566</v>
      </c>
      <c r="C33" s="674">
        <v>18000</v>
      </c>
      <c r="D33" s="546"/>
      <c r="F33" s="545" t="s">
        <v>264</v>
      </c>
      <c r="G33" s="545"/>
      <c r="H33" s="545"/>
      <c r="I33" s="545"/>
      <c r="J33" s="545"/>
      <c r="K33" s="545"/>
      <c r="L33" s="545"/>
      <c r="M33" s="545"/>
      <c r="N33" s="545"/>
      <c r="O33" s="545"/>
      <c r="P33" s="545"/>
      <c r="Q33" s="545"/>
      <c r="R33" s="545"/>
      <c r="S33" s="674">
        <v>18000</v>
      </c>
      <c r="T33" s="674"/>
      <c r="U33" s="674"/>
      <c r="V33" s="674"/>
      <c r="W33" s="674"/>
      <c r="X33" s="674"/>
      <c r="Y33" s="674"/>
      <c r="Z33" s="674"/>
      <c r="AA33" s="674"/>
      <c r="AB33" s="674"/>
      <c r="AC33" s="674"/>
      <c r="AD33" s="674"/>
    </row>
    <row r="34" spans="2:30" x14ac:dyDescent="0.3">
      <c r="B34" s="543" t="s">
        <v>567</v>
      </c>
      <c r="C34" s="674">
        <v>0</v>
      </c>
      <c r="D34" s="546"/>
      <c r="F34" s="545"/>
      <c r="G34" s="545"/>
      <c r="H34" s="545"/>
      <c r="I34" s="545"/>
      <c r="J34" s="545"/>
      <c r="K34" s="545"/>
      <c r="L34" s="545"/>
      <c r="M34" s="545"/>
      <c r="N34" s="545"/>
      <c r="O34" s="545"/>
      <c r="P34" s="545"/>
      <c r="Q34" s="545"/>
      <c r="R34" s="545"/>
      <c r="S34" s="674"/>
      <c r="T34" s="674"/>
      <c r="U34" s="674"/>
      <c r="V34" s="674"/>
      <c r="W34" s="674"/>
      <c r="X34" s="674"/>
      <c r="Y34" s="674"/>
      <c r="Z34" s="674"/>
      <c r="AA34" s="674"/>
      <c r="AB34" s="674"/>
      <c r="AC34" s="674"/>
      <c r="AD34" s="674"/>
    </row>
    <row r="35" spans="2:30" x14ac:dyDescent="0.3">
      <c r="B35" s="543" t="s">
        <v>568</v>
      </c>
      <c r="C35" s="674">
        <v>11750</v>
      </c>
      <c r="D35" s="546"/>
      <c r="F35" s="545"/>
      <c r="G35" s="545"/>
      <c r="H35" s="545"/>
      <c r="I35" s="545"/>
      <c r="J35" s="545" t="s">
        <v>264</v>
      </c>
      <c r="K35" s="545"/>
      <c r="L35" s="545"/>
      <c r="M35" s="545"/>
      <c r="N35" s="545"/>
      <c r="O35" s="545"/>
      <c r="P35" s="545"/>
      <c r="Q35" s="545"/>
      <c r="R35" s="545"/>
      <c r="S35" s="674"/>
      <c r="T35" s="674"/>
      <c r="U35" s="674"/>
      <c r="V35" s="674"/>
      <c r="W35" s="674">
        <v>11750</v>
      </c>
      <c r="X35" s="674"/>
      <c r="Y35" s="674"/>
      <c r="Z35" s="674"/>
      <c r="AA35" s="674"/>
      <c r="AB35" s="674"/>
      <c r="AC35" s="674"/>
      <c r="AD35" s="674"/>
    </row>
    <row r="36" spans="2:30" x14ac:dyDescent="0.3">
      <c r="B36" s="542" t="s">
        <v>569</v>
      </c>
      <c r="C36" s="736"/>
      <c r="D36" s="738">
        <f>SUM(C37:C42)</f>
        <v>44168</v>
      </c>
      <c r="F36" s="545"/>
      <c r="G36" s="545"/>
      <c r="H36" s="545"/>
      <c r="I36" s="545"/>
      <c r="J36" s="545"/>
      <c r="K36" s="545"/>
      <c r="L36" s="545"/>
      <c r="M36" s="545"/>
      <c r="N36" s="545"/>
      <c r="O36" s="545"/>
      <c r="P36" s="545"/>
      <c r="Q36" s="545"/>
      <c r="R36" s="545"/>
      <c r="S36" s="674"/>
      <c r="T36" s="674"/>
      <c r="U36" s="674"/>
      <c r="V36" s="674"/>
      <c r="W36" s="674"/>
      <c r="X36" s="674"/>
      <c r="Y36" s="674"/>
      <c r="Z36" s="674"/>
      <c r="AA36" s="674"/>
      <c r="AB36" s="674"/>
      <c r="AC36" s="674"/>
      <c r="AD36" s="674"/>
    </row>
    <row r="37" spans="2:30" x14ac:dyDescent="0.3">
      <c r="B37" s="543" t="s">
        <v>570</v>
      </c>
      <c r="C37" s="674">
        <v>12818</v>
      </c>
      <c r="D37" s="546"/>
      <c r="F37" s="545"/>
      <c r="G37" s="545"/>
      <c r="H37" s="545"/>
      <c r="I37" s="545"/>
      <c r="J37" s="545"/>
      <c r="K37" s="545" t="s">
        <v>264</v>
      </c>
      <c r="L37" s="545"/>
      <c r="M37" s="545"/>
      <c r="N37" s="545"/>
      <c r="O37" s="545"/>
      <c r="P37" s="545"/>
      <c r="Q37" s="545"/>
      <c r="R37" s="545"/>
      <c r="S37" s="674"/>
      <c r="T37" s="674"/>
      <c r="U37" s="674"/>
      <c r="V37" s="674"/>
      <c r="W37" s="674"/>
      <c r="X37" s="674">
        <v>12818</v>
      </c>
      <c r="Y37" s="674"/>
      <c r="Z37" s="674"/>
      <c r="AA37" s="674"/>
      <c r="AB37" s="674"/>
      <c r="AC37" s="674"/>
      <c r="AD37" s="674"/>
    </row>
    <row r="38" spans="2:30" x14ac:dyDescent="0.3">
      <c r="B38" s="543" t="s">
        <v>571</v>
      </c>
      <c r="C38" s="674">
        <v>750</v>
      </c>
      <c r="D38" s="546"/>
      <c r="F38" s="545"/>
      <c r="G38" s="545"/>
      <c r="H38" s="545"/>
      <c r="I38" s="545"/>
      <c r="J38" s="545"/>
      <c r="K38" s="545"/>
      <c r="L38" s="545"/>
      <c r="M38" s="545"/>
      <c r="N38" s="545"/>
      <c r="O38" s="545"/>
      <c r="P38" s="545" t="s">
        <v>264</v>
      </c>
      <c r="Q38" s="545"/>
      <c r="R38" s="545"/>
      <c r="S38" s="674"/>
      <c r="T38" s="674"/>
      <c r="U38" s="674"/>
      <c r="V38" s="674"/>
      <c r="W38" s="674"/>
      <c r="X38" s="674"/>
      <c r="Y38" s="674"/>
      <c r="Z38" s="674"/>
      <c r="AA38" s="674"/>
      <c r="AB38" s="674"/>
      <c r="AC38" s="674">
        <v>750</v>
      </c>
      <c r="AD38" s="674"/>
    </row>
    <row r="39" spans="2:30" x14ac:dyDescent="0.3">
      <c r="B39" s="543" t="s">
        <v>572</v>
      </c>
      <c r="C39" s="674">
        <v>2100</v>
      </c>
      <c r="D39" s="546"/>
      <c r="F39" s="545"/>
      <c r="G39" s="545"/>
      <c r="H39" s="545"/>
      <c r="I39" s="545"/>
      <c r="J39" s="545"/>
      <c r="K39" s="545"/>
      <c r="L39" s="545"/>
      <c r="M39" s="545"/>
      <c r="N39" s="545"/>
      <c r="O39" s="545"/>
      <c r="P39" s="545" t="s">
        <v>264</v>
      </c>
      <c r="Q39" s="545"/>
      <c r="R39" s="545"/>
      <c r="S39" s="674"/>
      <c r="T39" s="674"/>
      <c r="U39" s="674"/>
      <c r="V39" s="674"/>
      <c r="W39" s="674"/>
      <c r="X39" s="674"/>
      <c r="Y39" s="674"/>
      <c r="Z39" s="674"/>
      <c r="AA39" s="674"/>
      <c r="AB39" s="674"/>
      <c r="AC39" s="674">
        <v>2100</v>
      </c>
      <c r="AD39" s="674"/>
    </row>
    <row r="40" spans="2:30" x14ac:dyDescent="0.3">
      <c r="B40" s="543" t="s">
        <v>573</v>
      </c>
      <c r="C40" s="674">
        <v>8000</v>
      </c>
      <c r="D40" s="546"/>
      <c r="F40" s="545"/>
      <c r="G40" s="545"/>
      <c r="H40" s="545"/>
      <c r="I40" s="545"/>
      <c r="J40" s="545"/>
      <c r="K40" s="545"/>
      <c r="L40" s="545"/>
      <c r="M40" s="545"/>
      <c r="N40" s="545"/>
      <c r="O40" s="545"/>
      <c r="P40" s="545" t="s">
        <v>264</v>
      </c>
      <c r="Q40" s="545"/>
      <c r="R40" s="545"/>
      <c r="S40" s="674"/>
      <c r="T40" s="674"/>
      <c r="U40" s="674"/>
      <c r="V40" s="674"/>
      <c r="W40" s="674"/>
      <c r="X40" s="674"/>
      <c r="Y40" s="674"/>
      <c r="Z40" s="674"/>
      <c r="AA40" s="674"/>
      <c r="AB40" s="674"/>
      <c r="AC40" s="674">
        <v>8000</v>
      </c>
      <c r="AD40" s="674"/>
    </row>
    <row r="41" spans="2:30" x14ac:dyDescent="0.3">
      <c r="B41" s="543" t="s">
        <v>574</v>
      </c>
      <c r="C41" s="674">
        <v>3500</v>
      </c>
      <c r="D41" s="546"/>
      <c r="F41" s="545"/>
      <c r="G41" s="545"/>
      <c r="H41" s="545"/>
      <c r="I41" s="545"/>
      <c r="J41" s="545"/>
      <c r="K41" s="545"/>
      <c r="L41" s="545"/>
      <c r="M41" s="545"/>
      <c r="N41" s="545"/>
      <c r="O41" s="545"/>
      <c r="P41" s="545" t="s">
        <v>264</v>
      </c>
      <c r="Q41" s="545"/>
      <c r="R41" s="545"/>
      <c r="S41" s="674"/>
      <c r="T41" s="674"/>
      <c r="U41" s="674"/>
      <c r="V41" s="674"/>
      <c r="W41" s="674"/>
      <c r="X41" s="674"/>
      <c r="Y41" s="674"/>
      <c r="Z41" s="674"/>
      <c r="AA41" s="674"/>
      <c r="AB41" s="674"/>
      <c r="AC41" s="674">
        <v>3500</v>
      </c>
      <c r="AD41" s="674"/>
    </row>
    <row r="42" spans="2:30" x14ac:dyDescent="0.3">
      <c r="B42" s="543" t="s">
        <v>575</v>
      </c>
      <c r="C42" s="674">
        <v>17000</v>
      </c>
      <c r="D42" s="546"/>
      <c r="F42" s="545"/>
      <c r="G42" s="545"/>
      <c r="H42" s="545"/>
      <c r="I42" s="545"/>
      <c r="J42" s="545"/>
      <c r="K42" s="545"/>
      <c r="L42" s="545"/>
      <c r="M42" s="545"/>
      <c r="N42" s="545" t="s">
        <v>264</v>
      </c>
      <c r="O42" s="545"/>
      <c r="P42" s="545"/>
      <c r="Q42" s="545"/>
      <c r="R42" s="545"/>
      <c r="S42" s="674"/>
      <c r="T42" s="674"/>
      <c r="U42" s="674"/>
      <c r="V42" s="674"/>
      <c r="W42" s="674"/>
      <c r="X42" s="674"/>
      <c r="Y42" s="674"/>
      <c r="Z42" s="674"/>
      <c r="AA42" s="674">
        <v>17000</v>
      </c>
      <c r="AB42" s="674"/>
      <c r="AC42" s="674"/>
      <c r="AD42" s="674"/>
    </row>
    <row r="43" spans="2:30" x14ac:dyDescent="0.3">
      <c r="B43" s="542" t="s">
        <v>576</v>
      </c>
      <c r="C43" s="736"/>
      <c r="D43" s="738">
        <f>SUM(C44:C52)</f>
        <v>120579</v>
      </c>
      <c r="F43" s="545"/>
      <c r="G43" s="545"/>
      <c r="H43" s="545"/>
      <c r="I43" s="545"/>
      <c r="J43" s="545"/>
      <c r="K43" s="545"/>
      <c r="L43" s="545"/>
      <c r="M43" s="545"/>
      <c r="N43" s="545"/>
      <c r="O43" s="545"/>
      <c r="P43" s="545"/>
      <c r="Q43" s="545"/>
      <c r="R43" s="545"/>
      <c r="S43" s="674"/>
      <c r="T43" s="674"/>
      <c r="U43" s="674"/>
      <c r="V43" s="674"/>
      <c r="W43" s="674"/>
      <c r="X43" s="674"/>
      <c r="Y43" s="674"/>
      <c r="Z43" s="674"/>
      <c r="AA43" s="674"/>
      <c r="AB43" s="674"/>
      <c r="AC43" s="674"/>
      <c r="AD43" s="674"/>
    </row>
    <row r="44" spans="2:30" x14ac:dyDescent="0.3">
      <c r="B44" s="543" t="s">
        <v>577</v>
      </c>
      <c r="C44" s="674">
        <v>15429</v>
      </c>
      <c r="D44" s="546"/>
      <c r="F44" s="545"/>
      <c r="G44" s="545"/>
      <c r="H44" s="545"/>
      <c r="I44" s="545"/>
      <c r="J44" s="545"/>
      <c r="K44" s="545"/>
      <c r="L44" s="545" t="s">
        <v>264</v>
      </c>
      <c r="M44" s="545"/>
      <c r="N44" s="545"/>
      <c r="O44" s="545"/>
      <c r="P44" s="545"/>
      <c r="Q44" s="545"/>
      <c r="R44" s="545"/>
      <c r="S44" s="674"/>
      <c r="T44" s="674"/>
      <c r="U44" s="674"/>
      <c r="V44" s="674"/>
      <c r="W44" s="674"/>
      <c r="X44" s="674"/>
      <c r="Y44" s="674">
        <v>15429</v>
      </c>
      <c r="Z44" s="674"/>
      <c r="AA44" s="674"/>
      <c r="AB44" s="674"/>
      <c r="AC44" s="674"/>
      <c r="AD44" s="674"/>
    </row>
    <row r="45" spans="2:30" x14ac:dyDescent="0.3">
      <c r="B45" s="543" t="s">
        <v>578</v>
      </c>
      <c r="C45" s="674">
        <v>39900</v>
      </c>
      <c r="D45" s="546"/>
      <c r="F45" s="545"/>
      <c r="G45" s="545"/>
      <c r="H45" s="545"/>
      <c r="I45" s="545"/>
      <c r="J45" s="545"/>
      <c r="K45" s="545"/>
      <c r="L45" s="545"/>
      <c r="M45" s="545" t="s">
        <v>264</v>
      </c>
      <c r="N45" s="545" t="s">
        <v>264</v>
      </c>
      <c r="O45" s="545" t="s">
        <v>264</v>
      </c>
      <c r="P45" s="545"/>
      <c r="Q45" s="545"/>
      <c r="R45" s="545"/>
      <c r="S45" s="674"/>
      <c r="T45" s="674"/>
      <c r="U45" s="674"/>
      <c r="V45" s="674"/>
      <c r="W45" s="674"/>
      <c r="X45" s="674"/>
      <c r="Y45" s="674"/>
      <c r="Z45" s="674">
        <v>13300</v>
      </c>
      <c r="AA45" s="674">
        <v>13300</v>
      </c>
      <c r="AB45" s="674">
        <v>13300</v>
      </c>
      <c r="AC45" s="674"/>
      <c r="AD45" s="674"/>
    </row>
    <row r="46" spans="2:30" x14ac:dyDescent="0.3">
      <c r="B46" s="543" t="s">
        <v>579</v>
      </c>
      <c r="C46" s="674">
        <v>12500</v>
      </c>
      <c r="D46" s="546"/>
      <c r="F46" s="545"/>
      <c r="G46" s="545"/>
      <c r="H46" s="545"/>
      <c r="I46" s="545"/>
      <c r="J46" s="545"/>
      <c r="K46" s="545" t="s">
        <v>264</v>
      </c>
      <c r="L46" s="545" t="s">
        <v>264</v>
      </c>
      <c r="M46" s="545"/>
      <c r="N46" s="545"/>
      <c r="O46" s="545"/>
      <c r="P46" s="545"/>
      <c r="Q46" s="545"/>
      <c r="R46" s="545"/>
      <c r="S46" s="674"/>
      <c r="T46" s="674"/>
      <c r="U46" s="674"/>
      <c r="V46" s="674"/>
      <c r="W46" s="674"/>
      <c r="X46" s="674">
        <v>6250</v>
      </c>
      <c r="Y46" s="674">
        <v>6250</v>
      </c>
      <c r="Z46" s="674"/>
      <c r="AA46" s="674"/>
      <c r="AB46" s="674"/>
      <c r="AC46" s="674"/>
      <c r="AD46" s="674"/>
    </row>
    <row r="47" spans="2:30" x14ac:dyDescent="0.3">
      <c r="B47" s="543" t="s">
        <v>580</v>
      </c>
      <c r="C47" s="674">
        <v>5700</v>
      </c>
      <c r="D47" s="546"/>
      <c r="F47" s="545"/>
      <c r="G47" s="545"/>
      <c r="H47" s="545"/>
      <c r="I47" s="545"/>
      <c r="J47" s="545"/>
      <c r="K47" s="545"/>
      <c r="L47" s="545"/>
      <c r="M47" s="545" t="s">
        <v>264</v>
      </c>
      <c r="N47" s="545" t="s">
        <v>264</v>
      </c>
      <c r="O47" s="545" t="s">
        <v>264</v>
      </c>
      <c r="P47" s="545"/>
      <c r="Q47" s="545"/>
      <c r="R47" s="545"/>
      <c r="S47" s="674"/>
      <c r="T47" s="674"/>
      <c r="U47" s="674"/>
      <c r="V47" s="674"/>
      <c r="W47" s="674"/>
      <c r="X47" s="674"/>
      <c r="Y47" s="674"/>
      <c r="Z47" s="674">
        <v>1900</v>
      </c>
      <c r="AA47" s="674">
        <v>1900</v>
      </c>
      <c r="AB47" s="674">
        <v>1900</v>
      </c>
      <c r="AC47" s="674"/>
      <c r="AD47" s="674"/>
    </row>
    <row r="48" spans="2:30" x14ac:dyDescent="0.3">
      <c r="B48" s="543" t="s">
        <v>581</v>
      </c>
      <c r="C48" s="674">
        <v>250</v>
      </c>
      <c r="D48" s="546"/>
      <c r="F48" s="545"/>
      <c r="G48" s="545"/>
      <c r="H48" s="545"/>
      <c r="I48" s="545"/>
      <c r="J48" s="545"/>
      <c r="K48" s="545"/>
      <c r="L48" s="545"/>
      <c r="M48" s="545"/>
      <c r="N48" s="545"/>
      <c r="O48" s="545" t="s">
        <v>264</v>
      </c>
      <c r="P48" s="545"/>
      <c r="Q48" s="545"/>
      <c r="R48" s="545"/>
      <c r="S48" s="674"/>
      <c r="T48" s="674"/>
      <c r="U48" s="674"/>
      <c r="V48" s="674"/>
      <c r="W48" s="674"/>
      <c r="X48" s="674"/>
      <c r="Y48" s="674"/>
      <c r="Z48" s="674"/>
      <c r="AA48" s="674"/>
      <c r="AB48" s="674">
        <v>250</v>
      </c>
      <c r="AC48" s="674"/>
      <c r="AD48" s="674"/>
    </row>
    <row r="49" spans="2:32" x14ac:dyDescent="0.3">
      <c r="B49" s="543" t="s">
        <v>582</v>
      </c>
      <c r="C49" s="674">
        <v>7200</v>
      </c>
      <c r="D49" s="546"/>
      <c r="F49" s="545"/>
      <c r="G49" s="545"/>
      <c r="H49" s="545"/>
      <c r="I49" s="545"/>
      <c r="J49" s="545"/>
      <c r="K49" s="545"/>
      <c r="L49" s="545"/>
      <c r="M49" s="545"/>
      <c r="N49" s="545"/>
      <c r="O49" s="545" t="s">
        <v>264</v>
      </c>
      <c r="P49" s="545" t="s">
        <v>264</v>
      </c>
      <c r="Q49" s="545"/>
      <c r="R49" s="545"/>
      <c r="S49" s="674"/>
      <c r="T49" s="674"/>
      <c r="U49" s="674"/>
      <c r="V49" s="674"/>
      <c r="W49" s="674"/>
      <c r="X49" s="674"/>
      <c r="Y49" s="674"/>
      <c r="Z49" s="674"/>
      <c r="AA49" s="674"/>
      <c r="AB49" s="674">
        <v>3600</v>
      </c>
      <c r="AC49" s="674">
        <v>3600</v>
      </c>
      <c r="AD49" s="674"/>
    </row>
    <row r="50" spans="2:32" x14ac:dyDescent="0.3">
      <c r="B50" s="543" t="s">
        <v>583</v>
      </c>
      <c r="C50" s="674">
        <v>22500</v>
      </c>
      <c r="D50" s="546"/>
      <c r="F50" s="545"/>
      <c r="G50" s="545"/>
      <c r="H50" s="545"/>
      <c r="I50" s="545"/>
      <c r="J50" s="545"/>
      <c r="K50" s="545"/>
      <c r="L50" s="545"/>
      <c r="M50" s="545"/>
      <c r="N50" s="545"/>
      <c r="O50" s="545" t="s">
        <v>264</v>
      </c>
      <c r="P50" s="545" t="s">
        <v>264</v>
      </c>
      <c r="Q50" s="545"/>
      <c r="R50" s="545"/>
      <c r="S50" s="674"/>
      <c r="T50" s="674"/>
      <c r="U50" s="674"/>
      <c r="V50" s="674"/>
      <c r="W50" s="674"/>
      <c r="X50" s="674"/>
      <c r="Y50" s="674"/>
      <c r="Z50" s="674"/>
      <c r="AA50" s="674"/>
      <c r="AB50" s="674">
        <v>11250</v>
      </c>
      <c r="AC50" s="674">
        <v>11250</v>
      </c>
      <c r="AD50" s="674"/>
    </row>
    <row r="51" spans="2:32" x14ac:dyDescent="0.3">
      <c r="B51" s="543" t="s">
        <v>584</v>
      </c>
      <c r="C51" s="674">
        <v>9900</v>
      </c>
      <c r="D51" s="546"/>
      <c r="F51" s="545"/>
      <c r="G51" s="545"/>
      <c r="H51" s="545"/>
      <c r="I51" s="545"/>
      <c r="J51" s="545"/>
      <c r="K51" s="545"/>
      <c r="L51" s="545"/>
      <c r="M51" s="545"/>
      <c r="N51" s="545"/>
      <c r="O51" s="545"/>
      <c r="P51" s="545"/>
      <c r="Q51" s="545" t="s">
        <v>264</v>
      </c>
      <c r="R51" s="545"/>
      <c r="S51" s="674"/>
      <c r="T51" s="674"/>
      <c r="U51" s="674"/>
      <c r="V51" s="674"/>
      <c r="W51" s="674"/>
      <c r="X51" s="674"/>
      <c r="Y51" s="674"/>
      <c r="Z51" s="674"/>
      <c r="AA51" s="674"/>
      <c r="AB51" s="674"/>
      <c r="AC51" s="674"/>
      <c r="AD51" s="674">
        <v>9900</v>
      </c>
    </row>
    <row r="52" spans="2:32" x14ac:dyDescent="0.3">
      <c r="B52" s="543" t="s">
        <v>585</v>
      </c>
      <c r="C52" s="674">
        <v>7200</v>
      </c>
      <c r="D52" s="546"/>
      <c r="F52" s="545"/>
      <c r="G52" s="545"/>
      <c r="H52" s="545"/>
      <c r="I52" s="545"/>
      <c r="J52" s="545"/>
      <c r="K52" s="545"/>
      <c r="L52" s="545"/>
      <c r="M52" s="545"/>
      <c r="N52" s="545" t="s">
        <v>264</v>
      </c>
      <c r="O52" s="545" t="s">
        <v>264</v>
      </c>
      <c r="P52" s="545" t="s">
        <v>264</v>
      </c>
      <c r="Q52" s="545"/>
      <c r="R52" s="545"/>
      <c r="S52" s="674"/>
      <c r="T52" s="674"/>
      <c r="U52" s="674"/>
      <c r="V52" s="674"/>
      <c r="W52" s="674"/>
      <c r="X52" s="674"/>
      <c r="Y52" s="674"/>
      <c r="Z52" s="674"/>
      <c r="AA52" s="674">
        <v>2400</v>
      </c>
      <c r="AB52" s="674">
        <v>2400</v>
      </c>
      <c r="AC52" s="674">
        <v>2400</v>
      </c>
      <c r="AD52" s="674"/>
    </row>
    <row r="53" spans="2:32" x14ac:dyDescent="0.3">
      <c r="B53" s="542" t="s">
        <v>586</v>
      </c>
      <c r="C53" s="736"/>
      <c r="D53" s="738">
        <f>SUM(C54:C60)</f>
        <v>47500</v>
      </c>
      <c r="F53" s="545"/>
      <c r="G53" s="545"/>
      <c r="H53" s="545"/>
      <c r="I53" s="545"/>
      <c r="J53" s="545"/>
      <c r="K53" s="545"/>
      <c r="L53" s="545"/>
      <c r="M53" s="545"/>
      <c r="N53" s="545"/>
      <c r="O53" s="545"/>
      <c r="P53" s="545"/>
      <c r="Q53" s="545"/>
      <c r="R53" s="545"/>
      <c r="S53" s="674"/>
      <c r="T53" s="674"/>
      <c r="U53" s="674"/>
      <c r="V53" s="674"/>
      <c r="W53" s="674"/>
      <c r="X53" s="674"/>
      <c r="Y53" s="674"/>
      <c r="Z53" s="674"/>
      <c r="AA53" s="674"/>
      <c r="AB53" s="674"/>
      <c r="AC53" s="674"/>
      <c r="AD53" s="674"/>
    </row>
    <row r="54" spans="2:32" x14ac:dyDescent="0.3">
      <c r="B54" s="543" t="s">
        <v>587</v>
      </c>
      <c r="C54" s="674">
        <v>11250</v>
      </c>
      <c r="D54" s="546"/>
      <c r="F54" s="545"/>
      <c r="G54" s="545"/>
      <c r="H54" s="545"/>
      <c r="I54" s="545"/>
      <c r="J54" s="545"/>
      <c r="K54" s="545"/>
      <c r="L54" s="545"/>
      <c r="M54" s="545"/>
      <c r="N54" s="545"/>
      <c r="O54" s="545"/>
      <c r="P54" s="545"/>
      <c r="Q54" s="545" t="s">
        <v>264</v>
      </c>
      <c r="R54" s="545"/>
      <c r="S54" s="674"/>
      <c r="T54" s="674"/>
      <c r="U54" s="674"/>
      <c r="V54" s="674"/>
      <c r="W54" s="674"/>
      <c r="X54" s="674"/>
      <c r="Y54" s="674"/>
      <c r="Z54" s="674"/>
      <c r="AA54" s="674"/>
      <c r="AB54" s="674"/>
      <c r="AC54" s="674"/>
      <c r="AD54" s="674">
        <v>11250</v>
      </c>
    </row>
    <row r="55" spans="2:32" x14ac:dyDescent="0.3">
      <c r="B55" s="543" t="s">
        <v>924</v>
      </c>
      <c r="C55" s="674">
        <v>8750</v>
      </c>
      <c r="D55" s="546"/>
      <c r="F55" s="545"/>
      <c r="G55" s="545"/>
      <c r="H55" s="545"/>
      <c r="I55" s="545"/>
      <c r="J55" s="545"/>
      <c r="K55" s="545"/>
      <c r="L55" s="545"/>
      <c r="M55" s="545"/>
      <c r="N55" s="545"/>
      <c r="O55" s="545"/>
      <c r="P55" s="545"/>
      <c r="Q55" s="545" t="s">
        <v>264</v>
      </c>
      <c r="R55" s="545"/>
      <c r="S55" s="674"/>
      <c r="T55" s="674"/>
      <c r="U55" s="674"/>
      <c r="V55" s="674"/>
      <c r="W55" s="674"/>
      <c r="X55" s="674"/>
      <c r="Y55" s="674"/>
      <c r="Z55" s="674"/>
      <c r="AA55" s="674"/>
      <c r="AB55" s="674"/>
      <c r="AC55" s="674"/>
      <c r="AD55" s="674">
        <v>8750</v>
      </c>
    </row>
    <row r="56" spans="2:32" x14ac:dyDescent="0.3">
      <c r="B56" s="543" t="s">
        <v>925</v>
      </c>
      <c r="C56" s="674">
        <v>1000</v>
      </c>
      <c r="D56" s="546"/>
      <c r="F56" s="545"/>
      <c r="G56" s="545"/>
      <c r="H56" s="545"/>
      <c r="I56" s="545"/>
      <c r="J56" s="545"/>
      <c r="K56" s="545"/>
      <c r="L56" s="545"/>
      <c r="M56" s="545"/>
      <c r="N56" s="545"/>
      <c r="O56" s="545"/>
      <c r="P56" s="545"/>
      <c r="Q56" s="545" t="s">
        <v>264</v>
      </c>
      <c r="R56" s="545"/>
      <c r="S56" s="674"/>
      <c r="T56" s="674"/>
      <c r="U56" s="674"/>
      <c r="V56" s="674"/>
      <c r="W56" s="674"/>
      <c r="X56" s="674"/>
      <c r="Y56" s="674"/>
      <c r="Z56" s="674"/>
      <c r="AA56" s="674"/>
      <c r="AB56" s="674"/>
      <c r="AC56" s="674"/>
      <c r="AD56" s="674">
        <v>1000</v>
      </c>
    </row>
    <row r="57" spans="2:32" x14ac:dyDescent="0.3">
      <c r="B57" s="543" t="s">
        <v>926</v>
      </c>
      <c r="C57" s="674">
        <v>500</v>
      </c>
      <c r="D57" s="546"/>
      <c r="F57" s="545"/>
      <c r="G57" s="545"/>
      <c r="H57" s="545"/>
      <c r="I57" s="545"/>
      <c r="J57" s="545"/>
      <c r="K57" s="545"/>
      <c r="L57" s="545"/>
      <c r="M57" s="545"/>
      <c r="N57" s="545"/>
      <c r="O57" s="545"/>
      <c r="P57" s="545"/>
      <c r="Q57" s="545" t="s">
        <v>264</v>
      </c>
      <c r="R57" s="545"/>
      <c r="S57" s="674"/>
      <c r="T57" s="674"/>
      <c r="U57" s="674"/>
      <c r="V57" s="674"/>
      <c r="W57" s="674"/>
      <c r="X57" s="674"/>
      <c r="Y57" s="674"/>
      <c r="Z57" s="674"/>
      <c r="AA57" s="674"/>
      <c r="AB57" s="674"/>
      <c r="AC57" s="674"/>
      <c r="AD57" s="674">
        <v>500</v>
      </c>
    </row>
    <row r="58" spans="2:32" x14ac:dyDescent="0.3">
      <c r="B58" s="543" t="s">
        <v>588</v>
      </c>
      <c r="C58" s="674">
        <v>5000</v>
      </c>
      <c r="D58" s="546"/>
      <c r="F58" s="545"/>
      <c r="G58" s="545"/>
      <c r="H58" s="545"/>
      <c r="I58" s="545"/>
      <c r="J58" s="545"/>
      <c r="K58" s="545"/>
      <c r="L58" s="545"/>
      <c r="M58" s="545" t="s">
        <v>264</v>
      </c>
      <c r="N58" s="545"/>
      <c r="O58" s="545"/>
      <c r="P58" s="545"/>
      <c r="Q58" s="545"/>
      <c r="R58" s="545"/>
      <c r="S58" s="674"/>
      <c r="T58" s="674"/>
      <c r="U58" s="674"/>
      <c r="V58" s="674"/>
      <c r="W58" s="674"/>
      <c r="X58" s="674"/>
      <c r="Y58" s="674"/>
      <c r="Z58" s="674">
        <v>5000</v>
      </c>
      <c r="AA58" s="674"/>
      <c r="AB58" s="674"/>
      <c r="AC58" s="674"/>
      <c r="AD58" s="674"/>
    </row>
    <row r="59" spans="2:32" x14ac:dyDescent="0.3">
      <c r="B59" s="543" t="s">
        <v>589</v>
      </c>
      <c r="C59" s="674">
        <v>5000</v>
      </c>
      <c r="D59" s="546"/>
      <c r="F59" s="545"/>
      <c r="G59" s="545"/>
      <c r="H59" s="545"/>
      <c r="I59" s="545"/>
      <c r="J59" s="545"/>
      <c r="K59" s="545"/>
      <c r="L59" s="545"/>
      <c r="M59" s="545"/>
      <c r="N59" s="545"/>
      <c r="O59" s="545"/>
      <c r="P59" s="545" t="s">
        <v>264</v>
      </c>
      <c r="Q59" s="545"/>
      <c r="R59" s="545"/>
      <c r="S59" s="674"/>
      <c r="T59" s="674"/>
      <c r="U59" s="674"/>
      <c r="V59" s="674"/>
      <c r="W59" s="674"/>
      <c r="X59" s="674"/>
      <c r="Y59" s="674"/>
      <c r="Z59" s="674"/>
      <c r="AA59" s="674"/>
      <c r="AB59" s="674"/>
      <c r="AC59" s="674">
        <v>5000</v>
      </c>
      <c r="AD59" s="674"/>
    </row>
    <row r="60" spans="2:32" x14ac:dyDescent="0.3">
      <c r="B60" s="543" t="s">
        <v>590</v>
      </c>
      <c r="C60" s="674">
        <v>16000</v>
      </c>
      <c r="D60" s="546"/>
      <c r="E60" s="676"/>
      <c r="F60" s="869"/>
      <c r="G60" s="869"/>
      <c r="H60" s="869"/>
      <c r="I60" s="869"/>
      <c r="J60" s="869"/>
      <c r="K60" s="869"/>
      <c r="L60" s="869" t="s">
        <v>264</v>
      </c>
      <c r="M60" s="869"/>
      <c r="N60" s="869"/>
      <c r="O60" s="869"/>
      <c r="P60" s="869"/>
      <c r="Q60" s="869"/>
      <c r="R60" s="869"/>
      <c r="S60" s="683"/>
      <c r="T60" s="683"/>
      <c r="U60" s="683"/>
      <c r="V60" s="683"/>
      <c r="W60" s="683"/>
      <c r="X60" s="683"/>
      <c r="Y60" s="683">
        <v>16000</v>
      </c>
      <c r="Z60" s="683"/>
      <c r="AA60" s="683"/>
      <c r="AB60" s="683"/>
      <c r="AC60" s="683"/>
      <c r="AD60" s="683"/>
    </row>
    <row r="61" spans="2:32" ht="14.4" thickBot="1" x14ac:dyDescent="0.35">
      <c r="B61" s="548" t="s">
        <v>591</v>
      </c>
      <c r="C61" s="737"/>
      <c r="D61" s="739">
        <f>0.0825*(D18+D25)</f>
        <v>20328.825000000001</v>
      </c>
      <c r="Q61" s="741" t="s">
        <v>954</v>
      </c>
      <c r="S61" s="546">
        <f>SUM(S8:S60)</f>
        <v>111500</v>
      </c>
      <c r="T61" s="546">
        <f t="shared" ref="T61:AD61" si="0">SUM(T8:T60)</f>
        <v>39270</v>
      </c>
      <c r="U61" s="546">
        <f t="shared" si="0"/>
        <v>26852</v>
      </c>
      <c r="V61" s="546">
        <f t="shared" si="0"/>
        <v>24538</v>
      </c>
      <c r="W61" s="546">
        <f t="shared" si="0"/>
        <v>44250</v>
      </c>
      <c r="X61" s="546">
        <f t="shared" si="0"/>
        <v>19068</v>
      </c>
      <c r="Y61" s="546">
        <f t="shared" si="0"/>
        <v>37679</v>
      </c>
      <c r="Z61" s="546">
        <f t="shared" si="0"/>
        <v>20200</v>
      </c>
      <c r="AA61" s="546">
        <f t="shared" si="0"/>
        <v>45500</v>
      </c>
      <c r="AB61" s="546">
        <f t="shared" si="0"/>
        <v>32700</v>
      </c>
      <c r="AC61" s="546">
        <f t="shared" si="0"/>
        <v>36600</v>
      </c>
      <c r="AD61" s="546">
        <f t="shared" si="0"/>
        <v>31400</v>
      </c>
    </row>
    <row r="62" spans="2:32" ht="14.4" thickTop="1" x14ac:dyDescent="0.3">
      <c r="B62" s="542" t="s">
        <v>62</v>
      </c>
      <c r="D62" s="738">
        <f>D61+D53+D43+D36+D25+D18+D14+D8</f>
        <v>489885.82900000003</v>
      </c>
      <c r="Q62" s="741" t="s">
        <v>955</v>
      </c>
      <c r="S62" s="546">
        <f>S61*0.0825</f>
        <v>9198.75</v>
      </c>
      <c r="T62" s="546">
        <f t="shared" ref="T62:W62" si="1">T61*0.0825</f>
        <v>3239.7750000000001</v>
      </c>
      <c r="U62" s="546">
        <f t="shared" si="1"/>
        <v>2215.29</v>
      </c>
      <c r="V62" s="546">
        <f t="shared" si="1"/>
        <v>2024.385</v>
      </c>
      <c r="W62" s="546">
        <f t="shared" si="1"/>
        <v>3650.625</v>
      </c>
      <c r="X62" s="546"/>
      <c r="Y62" s="546"/>
      <c r="Z62" s="546"/>
      <c r="AA62" s="546"/>
      <c r="AB62" s="546"/>
      <c r="AC62" s="546"/>
      <c r="AD62" s="546"/>
      <c r="AF62" s="546">
        <f>SUM(S62:AD62)</f>
        <v>20328.824999999997</v>
      </c>
    </row>
    <row r="63" spans="2:32" x14ac:dyDescent="0.3">
      <c r="B63" s="735" t="s">
        <v>464</v>
      </c>
      <c r="C63" s="735"/>
      <c r="D63" s="740">
        <f>ROUND(D62,-3)</f>
        <v>490000</v>
      </c>
      <c r="Q63" s="741" t="s">
        <v>956</v>
      </c>
      <c r="S63" s="546">
        <f>S61+S62</f>
        <v>120698.75</v>
      </c>
      <c r="T63" s="546">
        <f t="shared" ref="T63:AD63" si="2">T61+T62</f>
        <v>42509.775000000001</v>
      </c>
      <c r="U63" s="546">
        <f t="shared" si="2"/>
        <v>29067.29</v>
      </c>
      <c r="V63" s="546">
        <f t="shared" si="2"/>
        <v>26562.384999999998</v>
      </c>
      <c r="W63" s="546">
        <f t="shared" si="2"/>
        <v>47900.625</v>
      </c>
      <c r="X63" s="546">
        <f t="shared" si="2"/>
        <v>19068</v>
      </c>
      <c r="Y63" s="546">
        <f t="shared" si="2"/>
        <v>37679</v>
      </c>
      <c r="Z63" s="546">
        <f t="shared" si="2"/>
        <v>20200</v>
      </c>
      <c r="AA63" s="546">
        <f t="shared" si="2"/>
        <v>45500</v>
      </c>
      <c r="AB63" s="546">
        <f t="shared" si="2"/>
        <v>32700</v>
      </c>
      <c r="AC63" s="546">
        <f t="shared" si="2"/>
        <v>36600</v>
      </c>
      <c r="AD63" s="546">
        <f t="shared" si="2"/>
        <v>31400</v>
      </c>
      <c r="AF63" s="679">
        <f>SUM(S63:AD63)</f>
        <v>489885.82500000001</v>
      </c>
    </row>
  </sheetData>
  <mergeCells count="2">
    <mergeCell ref="F6:Q6"/>
    <mergeCell ref="S6:AD6"/>
  </mergeCells>
  <phoneticPr fontId="13" type="noConversion"/>
  <pageMargins left="0.7" right="0.7" top="0.75" bottom="0.75" header="0.3" footer="0.3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BFED3C-691F-4884-BC51-7153CF41B567}">
  <dimension ref="B2:M49"/>
  <sheetViews>
    <sheetView workbookViewId="0">
      <pane ySplit="2" topLeftCell="A3" activePane="bottomLeft" state="frozen"/>
      <selection pane="bottomLeft" activeCell="G1" sqref="G1"/>
    </sheetView>
  </sheetViews>
  <sheetFormatPr defaultColWidth="9.109375" defaultRowHeight="13.8" x14ac:dyDescent="0.3"/>
  <cols>
    <col min="1" max="1" width="1.77734375" style="543" customWidth="1"/>
    <col min="2" max="2" width="34.21875" style="543" bestFit="1" customWidth="1"/>
    <col min="3" max="3" width="14.88671875" style="543" customWidth="1"/>
    <col min="4" max="4" width="1.77734375" style="543" customWidth="1"/>
    <col min="5" max="7" width="14.77734375" style="543" customWidth="1"/>
    <col min="8" max="8" width="17.5546875" style="543" bestFit="1" customWidth="1"/>
    <col min="9" max="10" width="14.77734375" style="543" customWidth="1"/>
    <col min="11" max="11" width="1.77734375" style="543" customWidth="1"/>
    <col min="12" max="12" width="14.77734375" style="543" customWidth="1"/>
    <col min="13" max="16384" width="9.109375" style="543"/>
  </cols>
  <sheetData>
    <row r="2" spans="2:12" s="545" customFormat="1" x14ac:dyDescent="0.3">
      <c r="B2" s="549" t="s">
        <v>612</v>
      </c>
      <c r="C2" s="549" t="s">
        <v>263</v>
      </c>
      <c r="D2" s="549"/>
      <c r="E2" s="549" t="s">
        <v>961</v>
      </c>
      <c r="F2" s="549" t="s">
        <v>647</v>
      </c>
      <c r="G2" s="549" t="s">
        <v>648</v>
      </c>
      <c r="H2" s="549" t="s">
        <v>962</v>
      </c>
      <c r="I2" s="549" t="s">
        <v>649</v>
      </c>
      <c r="J2" s="549" t="s">
        <v>650</v>
      </c>
      <c r="K2" s="549"/>
      <c r="L2" s="549" t="s">
        <v>117</v>
      </c>
    </row>
    <row r="3" spans="2:12" s="545" customFormat="1" x14ac:dyDescent="0.3">
      <c r="B3" s="544" t="s">
        <v>970</v>
      </c>
      <c r="C3" s="504">
        <f>'Equipment List'!L5</f>
        <v>9920</v>
      </c>
      <c r="D3" s="952"/>
      <c r="E3" s="865"/>
      <c r="F3" s="865"/>
      <c r="G3" s="865"/>
      <c r="H3" s="865">
        <v>3</v>
      </c>
      <c r="I3" s="865"/>
      <c r="J3" s="865"/>
      <c r="K3" s="865"/>
      <c r="L3" s="546">
        <f>SUM(E3:J3)*C3</f>
        <v>29760</v>
      </c>
    </row>
    <row r="4" spans="2:12" s="545" customFormat="1" x14ac:dyDescent="0.3">
      <c r="B4" s="544" t="s">
        <v>803</v>
      </c>
      <c r="C4" s="995">
        <v>40000</v>
      </c>
      <c r="D4" s="952"/>
      <c r="E4" s="865"/>
      <c r="F4" s="865"/>
      <c r="G4" s="865"/>
      <c r="H4" s="865">
        <v>1</v>
      </c>
      <c r="I4" s="865"/>
      <c r="J4" s="865"/>
      <c r="K4" s="865"/>
      <c r="L4" s="546">
        <f t="shared" ref="L4:L44" si="0">SUM(E4:J4)*C4</f>
        <v>40000</v>
      </c>
    </row>
    <row r="5" spans="2:12" s="545" customFormat="1" x14ac:dyDescent="0.3">
      <c r="B5" s="544" t="s">
        <v>969</v>
      </c>
      <c r="C5" s="995">
        <v>5500</v>
      </c>
      <c r="D5" s="952"/>
      <c r="E5" s="865"/>
      <c r="F5" s="865"/>
      <c r="G5" s="865"/>
      <c r="H5" s="865">
        <v>2</v>
      </c>
      <c r="I5" s="865"/>
      <c r="J5" s="865"/>
      <c r="K5" s="865"/>
      <c r="L5" s="546">
        <f t="shared" si="0"/>
        <v>11000</v>
      </c>
    </row>
    <row r="6" spans="2:12" s="545" customFormat="1" x14ac:dyDescent="0.3">
      <c r="B6" s="544" t="s">
        <v>957</v>
      </c>
      <c r="C6" s="995">
        <v>8400</v>
      </c>
      <c r="D6" s="952"/>
      <c r="E6" s="865"/>
      <c r="F6" s="865"/>
      <c r="G6" s="865"/>
      <c r="H6" s="865">
        <v>1</v>
      </c>
      <c r="I6" s="865"/>
      <c r="J6" s="865"/>
      <c r="K6" s="865"/>
      <c r="L6" s="546">
        <f t="shared" si="0"/>
        <v>8400</v>
      </c>
    </row>
    <row r="7" spans="2:12" s="545" customFormat="1" x14ac:dyDescent="0.3">
      <c r="B7" s="544" t="s">
        <v>958</v>
      </c>
      <c r="C7" s="995">
        <v>8000</v>
      </c>
      <c r="D7" s="952"/>
      <c r="E7" s="865"/>
      <c r="F7" s="865"/>
      <c r="G7" s="865"/>
      <c r="H7" s="865"/>
      <c r="I7" s="865"/>
      <c r="J7" s="865">
        <v>8</v>
      </c>
      <c r="K7" s="865"/>
      <c r="L7" s="546">
        <f t="shared" si="0"/>
        <v>64000</v>
      </c>
    </row>
    <row r="8" spans="2:12" s="545" customFormat="1" x14ac:dyDescent="0.3">
      <c r="B8" s="544" t="s">
        <v>966</v>
      </c>
      <c r="C8" s="995">
        <v>1500</v>
      </c>
      <c r="D8" s="952"/>
      <c r="E8" s="865">
        <v>2</v>
      </c>
      <c r="F8" s="865"/>
      <c r="G8" s="865"/>
      <c r="H8" s="865"/>
      <c r="I8" s="865"/>
      <c r="J8" s="865"/>
      <c r="K8" s="865"/>
      <c r="L8" s="546">
        <f t="shared" si="0"/>
        <v>3000</v>
      </c>
    </row>
    <row r="9" spans="2:12" s="545" customFormat="1" x14ac:dyDescent="0.3">
      <c r="B9" s="544" t="s">
        <v>923</v>
      </c>
      <c r="C9" s="995">
        <v>4000</v>
      </c>
      <c r="D9" s="952"/>
      <c r="E9" s="865">
        <v>2</v>
      </c>
      <c r="F9" s="865"/>
      <c r="G9" s="865"/>
      <c r="H9" s="865"/>
      <c r="I9" s="865"/>
      <c r="J9" s="865"/>
      <c r="K9" s="865"/>
      <c r="L9" s="546">
        <f t="shared" si="0"/>
        <v>8000</v>
      </c>
    </row>
    <row r="10" spans="2:12" s="545" customFormat="1" x14ac:dyDescent="0.3">
      <c r="B10" s="544" t="s">
        <v>972</v>
      </c>
      <c r="C10" s="995">
        <v>515</v>
      </c>
      <c r="D10" s="952"/>
      <c r="E10" s="865">
        <v>4</v>
      </c>
      <c r="F10" s="865"/>
      <c r="G10" s="865"/>
      <c r="H10" s="865"/>
      <c r="I10" s="865"/>
      <c r="J10" s="865"/>
      <c r="K10" s="865"/>
      <c r="L10" s="546">
        <f t="shared" si="0"/>
        <v>2060</v>
      </c>
    </row>
    <row r="11" spans="2:12" x14ac:dyDescent="0.3">
      <c r="B11" s="544" t="s">
        <v>617</v>
      </c>
      <c r="C11" s="533">
        <v>150</v>
      </c>
      <c r="D11" s="968"/>
      <c r="E11" s="966"/>
      <c r="F11" s="966"/>
      <c r="G11" s="966">
        <v>2</v>
      </c>
      <c r="H11" s="966"/>
      <c r="I11" s="966"/>
      <c r="J11" s="965"/>
      <c r="K11" s="965"/>
      <c r="L11" s="546">
        <f t="shared" si="0"/>
        <v>300</v>
      </c>
    </row>
    <row r="12" spans="2:12" x14ac:dyDescent="0.3">
      <c r="B12" s="544" t="s">
        <v>618</v>
      </c>
      <c r="C12" s="533">
        <v>200</v>
      </c>
      <c r="D12" s="968"/>
      <c r="E12" s="966"/>
      <c r="F12" s="966"/>
      <c r="G12" s="966">
        <v>2</v>
      </c>
      <c r="H12" s="966"/>
      <c r="I12" s="966"/>
      <c r="J12" s="966"/>
      <c r="K12" s="965"/>
      <c r="L12" s="546">
        <f t="shared" si="0"/>
        <v>400</v>
      </c>
    </row>
    <row r="13" spans="2:12" x14ac:dyDescent="0.3">
      <c r="B13" s="544" t="s">
        <v>971</v>
      </c>
      <c r="C13" s="533">
        <v>1500</v>
      </c>
      <c r="D13" s="688"/>
      <c r="E13" s="966"/>
      <c r="F13" s="966"/>
      <c r="G13" s="966">
        <v>1</v>
      </c>
      <c r="H13" s="966"/>
      <c r="I13" s="966"/>
      <c r="J13" s="966"/>
      <c r="K13" s="966"/>
      <c r="L13" s="546">
        <f t="shared" si="0"/>
        <v>1500</v>
      </c>
    </row>
    <row r="14" spans="2:12" x14ac:dyDescent="0.3">
      <c r="B14" s="544" t="s">
        <v>619</v>
      </c>
      <c r="C14" s="533">
        <v>500</v>
      </c>
      <c r="D14" s="688"/>
      <c r="E14" s="966"/>
      <c r="F14" s="966"/>
      <c r="G14" s="966"/>
      <c r="H14" s="966">
        <v>1</v>
      </c>
      <c r="I14" s="966"/>
      <c r="J14" s="966"/>
      <c r="K14" s="966"/>
      <c r="L14" s="546">
        <f t="shared" si="0"/>
        <v>500</v>
      </c>
    </row>
    <row r="15" spans="2:12" x14ac:dyDescent="0.3">
      <c r="B15" s="544" t="s">
        <v>620</v>
      </c>
      <c r="C15" s="533">
        <v>250</v>
      </c>
      <c r="D15" s="688"/>
      <c r="E15" s="966"/>
      <c r="F15" s="966"/>
      <c r="G15" s="966">
        <v>2</v>
      </c>
      <c r="H15" s="966">
        <v>1</v>
      </c>
      <c r="I15" s="966"/>
      <c r="J15" s="966"/>
      <c r="K15" s="966"/>
      <c r="L15" s="546">
        <f t="shared" si="0"/>
        <v>750</v>
      </c>
    </row>
    <row r="16" spans="2:12" x14ac:dyDescent="0.3">
      <c r="B16" s="544" t="s">
        <v>621</v>
      </c>
      <c r="C16" s="533">
        <v>200</v>
      </c>
      <c r="D16" s="688"/>
      <c r="E16" s="966"/>
      <c r="F16" s="966"/>
      <c r="G16" s="966">
        <v>4</v>
      </c>
      <c r="H16" s="966"/>
      <c r="I16" s="966"/>
      <c r="J16" s="966"/>
      <c r="K16" s="966"/>
      <c r="L16" s="546">
        <f t="shared" si="0"/>
        <v>800</v>
      </c>
    </row>
    <row r="17" spans="2:12" x14ac:dyDescent="0.3">
      <c r="B17" s="544" t="s">
        <v>622</v>
      </c>
      <c r="C17" s="533">
        <v>500</v>
      </c>
      <c r="D17" s="688"/>
      <c r="E17" s="966"/>
      <c r="F17" s="966"/>
      <c r="G17" s="966">
        <v>2</v>
      </c>
      <c r="H17" s="966"/>
      <c r="I17" s="966"/>
      <c r="J17" s="966"/>
      <c r="K17" s="966"/>
      <c r="L17" s="546">
        <f t="shared" si="0"/>
        <v>1000</v>
      </c>
    </row>
    <row r="18" spans="2:12" x14ac:dyDescent="0.3">
      <c r="B18" s="544" t="s">
        <v>623</v>
      </c>
      <c r="C18" s="533">
        <v>250</v>
      </c>
      <c r="D18" s="688"/>
      <c r="E18" s="966"/>
      <c r="F18" s="966"/>
      <c r="G18" s="966"/>
      <c r="H18" s="966"/>
      <c r="I18" s="966"/>
      <c r="J18" s="966"/>
      <c r="K18" s="966"/>
      <c r="L18" s="546">
        <f t="shared" si="0"/>
        <v>0</v>
      </c>
    </row>
    <row r="19" spans="2:12" x14ac:dyDescent="0.3">
      <c r="B19" s="544" t="s">
        <v>624</v>
      </c>
      <c r="C19" s="533">
        <v>2500</v>
      </c>
      <c r="D19" s="688"/>
      <c r="E19" s="966"/>
      <c r="F19" s="966"/>
      <c r="G19" s="966"/>
      <c r="H19" s="966"/>
      <c r="I19" s="966"/>
      <c r="J19" s="535"/>
      <c r="K19" s="535"/>
      <c r="L19" s="546">
        <f t="shared" si="0"/>
        <v>0</v>
      </c>
    </row>
    <row r="20" spans="2:12" x14ac:dyDescent="0.3">
      <c r="B20" s="544" t="s">
        <v>625</v>
      </c>
      <c r="C20" s="533">
        <v>400</v>
      </c>
      <c r="D20" s="688"/>
      <c r="E20" s="966"/>
      <c r="F20" s="966"/>
      <c r="G20" s="966"/>
      <c r="H20" s="966">
        <v>1</v>
      </c>
      <c r="I20" s="966"/>
      <c r="J20" s="535"/>
      <c r="K20" s="535"/>
      <c r="L20" s="546">
        <f t="shared" si="0"/>
        <v>400</v>
      </c>
    </row>
    <row r="21" spans="2:12" x14ac:dyDescent="0.3">
      <c r="B21" s="544" t="s">
        <v>626</v>
      </c>
      <c r="C21" s="533">
        <v>3000</v>
      </c>
      <c r="D21" s="688"/>
      <c r="E21" s="966"/>
      <c r="F21" s="966"/>
      <c r="G21" s="966">
        <v>1</v>
      </c>
      <c r="H21" s="966"/>
      <c r="I21" s="966"/>
      <c r="J21" s="535"/>
      <c r="K21" s="535"/>
      <c r="L21" s="546">
        <f t="shared" si="0"/>
        <v>3000</v>
      </c>
    </row>
    <row r="22" spans="2:12" x14ac:dyDescent="0.3">
      <c r="B22" s="544" t="s">
        <v>627</v>
      </c>
      <c r="C22" s="533">
        <v>800</v>
      </c>
      <c r="D22" s="688"/>
      <c r="E22" s="966"/>
      <c r="F22" s="966"/>
      <c r="G22" s="966">
        <v>6</v>
      </c>
      <c r="H22" s="966">
        <v>2</v>
      </c>
      <c r="I22" s="966"/>
      <c r="J22" s="535"/>
      <c r="K22" s="535"/>
      <c r="L22" s="546">
        <f t="shared" si="0"/>
        <v>6400</v>
      </c>
    </row>
    <row r="23" spans="2:12" x14ac:dyDescent="0.3">
      <c r="B23" s="544" t="s">
        <v>628</v>
      </c>
      <c r="C23" s="533">
        <v>100</v>
      </c>
      <c r="D23" s="688"/>
      <c r="E23" s="966"/>
      <c r="F23" s="966"/>
      <c r="G23" s="966"/>
      <c r="H23" s="966"/>
      <c r="I23" s="966"/>
      <c r="J23" s="535"/>
      <c r="K23" s="535"/>
      <c r="L23" s="546">
        <f t="shared" si="0"/>
        <v>0</v>
      </c>
    </row>
    <row r="24" spans="2:12" x14ac:dyDescent="0.3">
      <c r="B24" s="544" t="s">
        <v>629</v>
      </c>
      <c r="C24" s="533">
        <v>2000</v>
      </c>
      <c r="D24" s="688"/>
      <c r="E24" s="966"/>
      <c r="F24" s="966"/>
      <c r="G24" s="966">
        <v>2</v>
      </c>
      <c r="H24" s="966"/>
      <c r="I24" s="966"/>
      <c r="J24" s="535"/>
      <c r="K24" s="535"/>
      <c r="L24" s="546">
        <f t="shared" si="0"/>
        <v>4000</v>
      </c>
    </row>
    <row r="25" spans="2:12" x14ac:dyDescent="0.3">
      <c r="B25" s="544" t="s">
        <v>630</v>
      </c>
      <c r="C25" s="533">
        <v>600</v>
      </c>
      <c r="D25" s="688"/>
      <c r="E25" s="966"/>
      <c r="F25" s="966"/>
      <c r="G25" s="966"/>
      <c r="H25" s="966"/>
      <c r="I25" s="966"/>
      <c r="J25" s="535"/>
      <c r="K25" s="535"/>
      <c r="L25" s="546">
        <f t="shared" si="0"/>
        <v>0</v>
      </c>
    </row>
    <row r="26" spans="2:12" x14ac:dyDescent="0.3">
      <c r="B26" s="544" t="s">
        <v>631</v>
      </c>
      <c r="C26" s="533">
        <v>50</v>
      </c>
      <c r="D26" s="688"/>
      <c r="E26" s="966"/>
      <c r="F26" s="966"/>
      <c r="G26" s="966"/>
      <c r="H26" s="966"/>
      <c r="I26" s="966"/>
      <c r="J26" s="535"/>
      <c r="K26" s="535"/>
      <c r="L26" s="546">
        <f t="shared" si="0"/>
        <v>0</v>
      </c>
    </row>
    <row r="27" spans="2:12" x14ac:dyDescent="0.3">
      <c r="B27" s="544" t="s">
        <v>652</v>
      </c>
      <c r="C27" s="533">
        <v>30</v>
      </c>
      <c r="D27" s="688"/>
      <c r="E27" s="966"/>
      <c r="F27" s="966"/>
      <c r="G27" s="966"/>
      <c r="H27" s="966"/>
      <c r="I27" s="966"/>
      <c r="J27" s="535"/>
      <c r="K27" s="535"/>
      <c r="L27" s="546">
        <f t="shared" si="0"/>
        <v>0</v>
      </c>
    </row>
    <row r="28" spans="2:12" x14ac:dyDescent="0.3">
      <c r="B28" s="544" t="s">
        <v>632</v>
      </c>
      <c r="C28" s="533">
        <v>1000</v>
      </c>
      <c r="D28" s="688"/>
      <c r="E28" s="966"/>
      <c r="F28" s="966"/>
      <c r="G28" s="966">
        <v>2</v>
      </c>
      <c r="H28" s="966"/>
      <c r="I28" s="966"/>
      <c r="J28" s="535"/>
      <c r="K28" s="535"/>
      <c r="L28" s="546">
        <f t="shared" si="0"/>
        <v>2000</v>
      </c>
    </row>
    <row r="29" spans="2:12" x14ac:dyDescent="0.3">
      <c r="B29" s="544" t="s">
        <v>967</v>
      </c>
      <c r="C29" s="533">
        <v>1000</v>
      </c>
      <c r="D29" s="688"/>
      <c r="E29" s="966"/>
      <c r="F29" s="966"/>
      <c r="G29" s="966">
        <v>2</v>
      </c>
      <c r="H29" s="966"/>
      <c r="I29" s="966"/>
      <c r="J29" s="535"/>
      <c r="K29" s="535"/>
      <c r="L29" s="546">
        <f t="shared" si="0"/>
        <v>2000</v>
      </c>
    </row>
    <row r="30" spans="2:12" x14ac:dyDescent="0.3">
      <c r="B30" s="544" t="s">
        <v>633</v>
      </c>
      <c r="C30" s="533">
        <v>500</v>
      </c>
      <c r="D30" s="688"/>
      <c r="E30" s="966"/>
      <c r="F30" s="966"/>
      <c r="G30" s="966"/>
      <c r="H30" s="966"/>
      <c r="I30" s="966"/>
      <c r="J30" s="535"/>
      <c r="K30" s="535"/>
      <c r="L30" s="546">
        <f t="shared" si="0"/>
        <v>0</v>
      </c>
    </row>
    <row r="31" spans="2:12" x14ac:dyDescent="0.3">
      <c r="B31" s="544" t="s">
        <v>634</v>
      </c>
      <c r="C31" s="533">
        <v>1000</v>
      </c>
      <c r="D31" s="688"/>
      <c r="E31" s="966"/>
      <c r="F31" s="966"/>
      <c r="G31" s="966">
        <v>2</v>
      </c>
      <c r="H31" s="966">
        <v>1</v>
      </c>
      <c r="I31" s="966"/>
      <c r="J31" s="535"/>
      <c r="K31" s="535"/>
      <c r="L31" s="546">
        <f t="shared" si="0"/>
        <v>3000</v>
      </c>
    </row>
    <row r="32" spans="2:12" x14ac:dyDescent="0.3">
      <c r="B32" s="544" t="s">
        <v>635</v>
      </c>
      <c r="C32" s="533">
        <v>1000</v>
      </c>
      <c r="D32" s="688"/>
      <c r="E32" s="966"/>
      <c r="F32" s="966">
        <v>1</v>
      </c>
      <c r="G32" s="966">
        <v>2</v>
      </c>
      <c r="H32" s="966">
        <v>1</v>
      </c>
      <c r="I32" s="966"/>
      <c r="J32" s="535"/>
      <c r="K32" s="535"/>
      <c r="L32" s="546">
        <f t="shared" si="0"/>
        <v>4000</v>
      </c>
    </row>
    <row r="33" spans="2:13" x14ac:dyDescent="0.3">
      <c r="B33" s="544" t="s">
        <v>636</v>
      </c>
      <c r="C33" s="533">
        <v>100</v>
      </c>
      <c r="D33" s="688"/>
      <c r="E33" s="966"/>
      <c r="F33" s="966"/>
      <c r="G33" s="966">
        <v>1</v>
      </c>
      <c r="H33" s="966"/>
      <c r="I33" s="966"/>
      <c r="J33" s="535"/>
      <c r="K33" s="535"/>
      <c r="L33" s="546">
        <f t="shared" si="0"/>
        <v>100</v>
      </c>
    </row>
    <row r="34" spans="2:13" x14ac:dyDescent="0.3">
      <c r="B34" s="544" t="s">
        <v>637</v>
      </c>
      <c r="C34" s="533">
        <v>200</v>
      </c>
      <c r="D34" s="688"/>
      <c r="E34" s="966"/>
      <c r="F34" s="966">
        <v>1</v>
      </c>
      <c r="G34" s="966">
        <v>2</v>
      </c>
      <c r="H34" s="966"/>
      <c r="I34" s="966"/>
      <c r="J34" s="535"/>
      <c r="K34" s="535"/>
      <c r="L34" s="546">
        <f t="shared" si="0"/>
        <v>600</v>
      </c>
    </row>
    <row r="35" spans="2:13" x14ac:dyDescent="0.3">
      <c r="B35" s="544" t="s">
        <v>638</v>
      </c>
      <c r="C35" s="533">
        <v>400</v>
      </c>
      <c r="D35" s="688"/>
      <c r="E35" s="966"/>
      <c r="F35" s="966"/>
      <c r="G35" s="966">
        <v>4</v>
      </c>
      <c r="H35" s="966"/>
      <c r="I35" s="966"/>
      <c r="J35" s="535"/>
      <c r="K35" s="535"/>
      <c r="L35" s="546">
        <f t="shared" si="0"/>
        <v>1600</v>
      </c>
    </row>
    <row r="36" spans="2:13" x14ac:dyDescent="0.3">
      <c r="B36" s="544" t="s">
        <v>968</v>
      </c>
      <c r="C36" s="533">
        <v>250</v>
      </c>
      <c r="D36" s="688"/>
      <c r="E36" s="966"/>
      <c r="F36" s="966"/>
      <c r="G36" s="966"/>
      <c r="H36" s="966">
        <v>2</v>
      </c>
      <c r="I36" s="966"/>
      <c r="J36" s="535"/>
      <c r="K36" s="535"/>
      <c r="L36" s="546">
        <f t="shared" si="0"/>
        <v>500</v>
      </c>
    </row>
    <row r="37" spans="2:13" x14ac:dyDescent="0.3">
      <c r="B37" s="544" t="s">
        <v>639</v>
      </c>
      <c r="C37" s="533">
        <v>300</v>
      </c>
      <c r="D37" s="688"/>
      <c r="E37" s="966"/>
      <c r="F37" s="966"/>
      <c r="G37" s="966"/>
      <c r="H37" s="966"/>
      <c r="I37" s="966">
        <v>10</v>
      </c>
      <c r="J37" s="535"/>
      <c r="K37" s="535"/>
      <c r="L37" s="546">
        <f t="shared" si="0"/>
        <v>3000</v>
      </c>
    </row>
    <row r="38" spans="2:13" x14ac:dyDescent="0.3">
      <c r="B38" s="544" t="s">
        <v>640</v>
      </c>
      <c r="C38" s="533">
        <v>150</v>
      </c>
      <c r="D38" s="688"/>
      <c r="E38" s="966"/>
      <c r="F38" s="966"/>
      <c r="G38" s="966"/>
      <c r="H38" s="966"/>
      <c r="I38" s="966">
        <v>5</v>
      </c>
      <c r="J38" s="535"/>
      <c r="K38" s="535"/>
      <c r="L38" s="546">
        <f t="shared" si="0"/>
        <v>750</v>
      </c>
    </row>
    <row r="39" spans="2:13" x14ac:dyDescent="0.3">
      <c r="B39" s="544" t="s">
        <v>641</v>
      </c>
      <c r="C39" s="533">
        <v>1500</v>
      </c>
      <c r="D39" s="688"/>
      <c r="E39" s="966"/>
      <c r="F39" s="966"/>
      <c r="G39" s="966"/>
      <c r="H39" s="966"/>
      <c r="I39" s="966">
        <v>5</v>
      </c>
      <c r="J39" s="535"/>
      <c r="K39" s="535"/>
      <c r="L39" s="546">
        <f t="shared" si="0"/>
        <v>7500</v>
      </c>
    </row>
    <row r="40" spans="2:13" x14ac:dyDescent="0.3">
      <c r="B40" s="544" t="s">
        <v>642</v>
      </c>
      <c r="C40" s="533">
        <v>3000</v>
      </c>
      <c r="D40" s="688"/>
      <c r="E40" s="966"/>
      <c r="F40" s="966"/>
      <c r="G40" s="966">
        <v>1</v>
      </c>
      <c r="H40" s="966"/>
      <c r="I40" s="966"/>
      <c r="J40" s="535"/>
      <c r="K40" s="535"/>
      <c r="L40" s="546">
        <f t="shared" si="0"/>
        <v>3000</v>
      </c>
    </row>
    <row r="41" spans="2:13" x14ac:dyDescent="0.3">
      <c r="B41" s="544" t="s">
        <v>643</v>
      </c>
      <c r="C41" s="533">
        <v>3000</v>
      </c>
      <c r="D41" s="688"/>
      <c r="E41" s="966"/>
      <c r="F41" s="966"/>
      <c r="G41" s="966"/>
      <c r="H41" s="966"/>
      <c r="I41" s="966"/>
      <c r="J41" s="535"/>
      <c r="K41" s="535"/>
      <c r="L41" s="546">
        <f t="shared" si="0"/>
        <v>0</v>
      </c>
    </row>
    <row r="42" spans="2:13" x14ac:dyDescent="0.3">
      <c r="B42" s="544" t="s">
        <v>644</v>
      </c>
      <c r="C42" s="533">
        <v>250</v>
      </c>
      <c r="D42" s="688"/>
      <c r="E42" s="966"/>
      <c r="F42" s="966"/>
      <c r="G42" s="966">
        <v>1</v>
      </c>
      <c r="H42" s="966"/>
      <c r="I42" s="966"/>
      <c r="J42" s="535"/>
      <c r="K42" s="535"/>
      <c r="L42" s="546">
        <f t="shared" si="0"/>
        <v>250</v>
      </c>
    </row>
    <row r="43" spans="2:13" x14ac:dyDescent="0.3">
      <c r="B43" s="544" t="s">
        <v>645</v>
      </c>
      <c r="C43" s="533">
        <v>5000</v>
      </c>
      <c r="D43" s="688"/>
      <c r="E43" s="966"/>
      <c r="F43" s="966"/>
      <c r="G43" s="966"/>
      <c r="H43" s="966"/>
      <c r="I43" s="966"/>
      <c r="J43" s="535"/>
      <c r="K43" s="535"/>
      <c r="L43" s="546">
        <f t="shared" si="0"/>
        <v>0</v>
      </c>
    </row>
    <row r="44" spans="2:13" x14ac:dyDescent="0.3">
      <c r="B44" s="675" t="s">
        <v>646</v>
      </c>
      <c r="C44" s="686">
        <v>150</v>
      </c>
      <c r="D44" s="689"/>
      <c r="E44" s="967"/>
      <c r="F44" s="967"/>
      <c r="G44" s="967"/>
      <c r="H44" s="967"/>
      <c r="I44" s="967"/>
      <c r="J44" s="967">
        <v>3</v>
      </c>
      <c r="K44" s="967"/>
      <c r="L44" s="677">
        <f t="shared" si="0"/>
        <v>450</v>
      </c>
    </row>
    <row r="45" spans="2:13" x14ac:dyDescent="0.3">
      <c r="E45" s="546">
        <f t="shared" ref="E45:J45" si="1">SUMPRODUCT($C$3:$C$44,E3:E44)</f>
        <v>13060</v>
      </c>
      <c r="F45" s="546">
        <f t="shared" si="1"/>
        <v>1200</v>
      </c>
      <c r="G45" s="546">
        <f t="shared" si="1"/>
        <v>29650</v>
      </c>
      <c r="H45" s="546">
        <f t="shared" si="1"/>
        <v>94410</v>
      </c>
      <c r="I45" s="546">
        <f t="shared" si="1"/>
        <v>11250</v>
      </c>
      <c r="J45" s="546">
        <f t="shared" si="1"/>
        <v>64450</v>
      </c>
      <c r="K45" s="546"/>
      <c r="L45" s="546">
        <f>SUM(L3:L44)</f>
        <v>214020</v>
      </c>
      <c r="M45" s="543" t="s">
        <v>252</v>
      </c>
    </row>
    <row r="46" spans="2:13" x14ac:dyDescent="0.3">
      <c r="E46" s="546"/>
      <c r="F46" s="546"/>
      <c r="G46" s="546"/>
      <c r="H46" s="546"/>
      <c r="I46" s="546"/>
      <c r="J46" s="546"/>
      <c r="K46" s="546"/>
      <c r="L46" s="678">
        <v>7500</v>
      </c>
      <c r="M46" s="543" t="s">
        <v>651</v>
      </c>
    </row>
    <row r="47" spans="2:13" x14ac:dyDescent="0.3">
      <c r="L47" s="970">
        <v>0</v>
      </c>
      <c r="M47" s="543" t="s">
        <v>261</v>
      </c>
    </row>
    <row r="48" spans="2:13" x14ac:dyDescent="0.3">
      <c r="L48" s="546">
        <f>L45+L46+L47</f>
        <v>221520</v>
      </c>
      <c r="M48" s="543" t="s">
        <v>117</v>
      </c>
    </row>
    <row r="49" spans="12:13" x14ac:dyDescent="0.3">
      <c r="L49" s="679">
        <f>ROUND(L48,-3)</f>
        <v>222000</v>
      </c>
      <c r="M49" s="543" t="s">
        <v>478</v>
      </c>
    </row>
  </sheetData>
  <pageMargins left="0.7" right="0.7" top="0.75" bottom="0.75" header="0.3" footer="0.3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B485E-F76C-4335-9412-00040C194FA1}">
  <dimension ref="B2:L73"/>
  <sheetViews>
    <sheetView workbookViewId="0">
      <selection activeCell="I2" sqref="I2"/>
    </sheetView>
  </sheetViews>
  <sheetFormatPr defaultColWidth="8.88671875" defaultRowHeight="14.4" x14ac:dyDescent="0.3"/>
  <cols>
    <col min="1" max="2" width="1.77734375" style="971" customWidth="1"/>
    <col min="3" max="3" width="8.88671875" style="972"/>
    <col min="4" max="4" width="13.5546875" style="972" bestFit="1" customWidth="1"/>
    <col min="5" max="5" width="8.88671875" style="972"/>
    <col min="6" max="8" width="8.88671875" style="971"/>
    <col min="9" max="9" width="34.5546875" style="971" bestFit="1" customWidth="1"/>
    <col min="10" max="10" width="31.5546875" style="971" bestFit="1" customWidth="1"/>
    <col min="11" max="16384" width="8.88671875" style="971"/>
  </cols>
  <sheetData>
    <row r="2" spans="2:12" x14ac:dyDescent="0.3">
      <c r="G2" s="1020" t="s">
        <v>973</v>
      </c>
      <c r="H2" s="1020"/>
    </row>
    <row r="3" spans="2:12" ht="15" thickBot="1" x14ac:dyDescent="0.35">
      <c r="B3" s="973"/>
      <c r="C3" s="973" t="s">
        <v>974</v>
      </c>
      <c r="D3" s="973" t="s">
        <v>258</v>
      </c>
      <c r="E3" s="973" t="s">
        <v>67</v>
      </c>
      <c r="F3" s="973" t="s">
        <v>975</v>
      </c>
      <c r="G3" s="973" t="s">
        <v>976</v>
      </c>
      <c r="H3" s="973" t="s">
        <v>977</v>
      </c>
      <c r="I3" s="973" t="s">
        <v>462</v>
      </c>
      <c r="J3" s="973" t="s">
        <v>978</v>
      </c>
      <c r="K3" s="974"/>
      <c r="L3" s="974"/>
    </row>
    <row r="4" spans="2:12" x14ac:dyDescent="0.3">
      <c r="B4" s="974"/>
      <c r="C4" s="974"/>
      <c r="D4" s="974"/>
      <c r="E4" s="974"/>
      <c r="F4" s="974"/>
      <c r="G4" s="974"/>
      <c r="H4" s="974"/>
      <c r="I4" s="974"/>
      <c r="J4" s="974"/>
      <c r="K4" s="974"/>
      <c r="L4" s="974"/>
    </row>
    <row r="5" spans="2:12" x14ac:dyDescent="0.3">
      <c r="B5" s="975" t="s">
        <v>979</v>
      </c>
      <c r="C5" s="974"/>
      <c r="D5" s="974"/>
      <c r="E5" s="974"/>
      <c r="F5" s="974"/>
      <c r="G5" s="974"/>
      <c r="H5" s="974"/>
      <c r="I5" s="974"/>
      <c r="J5" s="974"/>
      <c r="K5" s="974"/>
      <c r="L5" s="974"/>
    </row>
    <row r="6" spans="2:12" x14ac:dyDescent="0.3">
      <c r="B6" s="971" t="s">
        <v>980</v>
      </c>
      <c r="E6" s="976"/>
      <c r="F6" s="976"/>
      <c r="G6" s="976"/>
      <c r="H6" s="976"/>
    </row>
    <row r="7" spans="2:12" x14ac:dyDescent="0.3">
      <c r="C7" s="972">
        <v>1</v>
      </c>
      <c r="D7" s="972" t="s">
        <v>981</v>
      </c>
      <c r="E7" s="976">
        <v>2</v>
      </c>
      <c r="F7" s="976">
        <v>48</v>
      </c>
      <c r="G7" s="976">
        <v>42</v>
      </c>
      <c r="H7" s="976"/>
      <c r="I7" s="971" t="s">
        <v>982</v>
      </c>
    </row>
    <row r="8" spans="2:12" x14ac:dyDescent="0.3">
      <c r="C8" s="972">
        <v>2</v>
      </c>
      <c r="D8" s="972" t="s">
        <v>983</v>
      </c>
      <c r="E8" s="976">
        <v>1</v>
      </c>
      <c r="F8" s="976">
        <v>96</v>
      </c>
      <c r="G8" s="976">
        <v>84</v>
      </c>
      <c r="H8" s="976"/>
      <c r="I8" s="971" t="s">
        <v>984</v>
      </c>
      <c r="J8" s="971" t="s">
        <v>985</v>
      </c>
    </row>
    <row r="9" spans="2:12" x14ac:dyDescent="0.3">
      <c r="C9" s="972">
        <v>3</v>
      </c>
      <c r="D9" s="972" t="s">
        <v>986</v>
      </c>
      <c r="E9" s="976">
        <v>1</v>
      </c>
      <c r="F9" s="976">
        <v>126</v>
      </c>
      <c r="G9" s="976">
        <v>84</v>
      </c>
      <c r="H9" s="976"/>
      <c r="I9" s="971" t="s">
        <v>987</v>
      </c>
      <c r="J9" s="971" t="s">
        <v>988</v>
      </c>
    </row>
    <row r="10" spans="2:12" x14ac:dyDescent="0.3">
      <c r="E10" s="976"/>
      <c r="F10" s="976"/>
      <c r="G10" s="976"/>
      <c r="H10" s="976"/>
    </row>
    <row r="11" spans="2:12" x14ac:dyDescent="0.3">
      <c r="B11" s="971" t="s">
        <v>989</v>
      </c>
      <c r="E11" s="976"/>
      <c r="F11" s="976"/>
      <c r="G11" s="976"/>
      <c r="H11" s="976"/>
    </row>
    <row r="12" spans="2:12" x14ac:dyDescent="0.3">
      <c r="C12" s="972">
        <v>4</v>
      </c>
      <c r="D12" s="972" t="s">
        <v>990</v>
      </c>
      <c r="E12" s="976">
        <v>3</v>
      </c>
      <c r="F12" s="976">
        <v>34</v>
      </c>
      <c r="G12" s="976">
        <v>84</v>
      </c>
      <c r="H12" s="976"/>
      <c r="J12" s="971" t="s">
        <v>985</v>
      </c>
    </row>
    <row r="13" spans="2:12" x14ac:dyDescent="0.3">
      <c r="E13" s="976"/>
      <c r="F13" s="976"/>
      <c r="G13" s="976"/>
      <c r="H13" s="976"/>
    </row>
    <row r="14" spans="2:12" x14ac:dyDescent="0.3">
      <c r="B14" s="971" t="s">
        <v>991</v>
      </c>
      <c r="E14" s="976"/>
      <c r="F14" s="976"/>
      <c r="G14" s="976"/>
      <c r="H14" s="976"/>
    </row>
    <row r="15" spans="2:12" x14ac:dyDescent="0.3">
      <c r="C15" s="972">
        <v>5</v>
      </c>
      <c r="D15" s="972" t="s">
        <v>992</v>
      </c>
      <c r="E15" s="976">
        <v>3</v>
      </c>
      <c r="F15" s="976">
        <v>66</v>
      </c>
      <c r="G15" s="976">
        <v>84</v>
      </c>
      <c r="H15" s="976"/>
      <c r="I15" s="971" t="s">
        <v>993</v>
      </c>
    </row>
    <row r="16" spans="2:12" x14ac:dyDescent="0.3">
      <c r="C16" s="972">
        <v>6</v>
      </c>
      <c r="D16" s="972" t="s">
        <v>994</v>
      </c>
      <c r="E16" s="976">
        <v>1</v>
      </c>
      <c r="F16" s="976">
        <v>72</v>
      </c>
      <c r="G16" s="976">
        <v>84</v>
      </c>
      <c r="H16" s="976"/>
      <c r="I16" s="971" t="s">
        <v>995</v>
      </c>
      <c r="J16" s="971" t="s">
        <v>996</v>
      </c>
    </row>
    <row r="17" spans="2:10" x14ac:dyDescent="0.3">
      <c r="C17" s="972">
        <v>7</v>
      </c>
      <c r="D17" s="972" t="s">
        <v>992</v>
      </c>
      <c r="E17" s="976">
        <v>1</v>
      </c>
      <c r="F17" s="976">
        <v>66</v>
      </c>
      <c r="G17" s="976">
        <v>88.1875</v>
      </c>
      <c r="H17" s="976">
        <v>69.4375</v>
      </c>
      <c r="I17" s="971" t="s">
        <v>997</v>
      </c>
    </row>
    <row r="18" spans="2:10" x14ac:dyDescent="0.3">
      <c r="C18" s="972">
        <v>8</v>
      </c>
      <c r="D18" s="972" t="s">
        <v>992</v>
      </c>
      <c r="E18" s="976">
        <v>1</v>
      </c>
      <c r="F18" s="976">
        <v>66</v>
      </c>
      <c r="G18" s="976">
        <v>68.375</v>
      </c>
      <c r="H18" s="976">
        <v>50.1875</v>
      </c>
      <c r="I18" s="971" t="s">
        <v>997</v>
      </c>
    </row>
    <row r="19" spans="2:10" x14ac:dyDescent="0.3">
      <c r="C19" s="972">
        <v>9</v>
      </c>
      <c r="D19" s="972" t="s">
        <v>992</v>
      </c>
      <c r="E19" s="976">
        <v>1</v>
      </c>
      <c r="F19" s="976">
        <v>66</v>
      </c>
      <c r="G19" s="976">
        <v>49.125</v>
      </c>
      <c r="H19" s="976">
        <v>30.9375</v>
      </c>
      <c r="I19" s="971" t="s">
        <v>997</v>
      </c>
    </row>
    <row r="20" spans="2:10" x14ac:dyDescent="0.3">
      <c r="C20" s="972">
        <v>10</v>
      </c>
      <c r="D20" s="972" t="s">
        <v>992</v>
      </c>
      <c r="E20" s="976">
        <v>1</v>
      </c>
      <c r="F20" s="976">
        <v>66</v>
      </c>
      <c r="G20" s="976">
        <v>29.9375</v>
      </c>
      <c r="H20" s="976">
        <v>11.4375</v>
      </c>
      <c r="I20" s="971" t="s">
        <v>997</v>
      </c>
    </row>
    <row r="21" spans="2:10" x14ac:dyDescent="0.3">
      <c r="E21" s="976"/>
      <c r="F21" s="976"/>
      <c r="G21" s="976"/>
      <c r="H21" s="976"/>
    </row>
    <row r="22" spans="2:10" x14ac:dyDescent="0.3">
      <c r="B22" s="971" t="s">
        <v>998</v>
      </c>
      <c r="E22" s="976"/>
      <c r="F22" s="976"/>
      <c r="G22" s="976"/>
      <c r="H22" s="976"/>
    </row>
    <row r="23" spans="2:10" x14ac:dyDescent="0.3">
      <c r="C23" s="972">
        <v>11</v>
      </c>
      <c r="D23" s="972" t="s">
        <v>992</v>
      </c>
      <c r="E23" s="976">
        <v>3</v>
      </c>
      <c r="F23" s="976">
        <v>48</v>
      </c>
      <c r="G23" s="976">
        <v>14</v>
      </c>
      <c r="H23" s="976"/>
      <c r="I23" s="971" t="s">
        <v>982</v>
      </c>
    </row>
    <row r="24" spans="2:10" x14ac:dyDescent="0.3">
      <c r="E24" s="976"/>
      <c r="F24" s="976"/>
      <c r="G24" s="976"/>
      <c r="H24" s="976"/>
    </row>
    <row r="25" spans="2:10" x14ac:dyDescent="0.3">
      <c r="B25" s="971" t="s">
        <v>999</v>
      </c>
      <c r="E25" s="976"/>
      <c r="F25" s="976"/>
      <c r="G25" s="976"/>
      <c r="H25" s="976"/>
    </row>
    <row r="26" spans="2:10" x14ac:dyDescent="0.3">
      <c r="C26" s="972">
        <v>12</v>
      </c>
      <c r="D26" s="972" t="s">
        <v>1000</v>
      </c>
      <c r="E26" s="976">
        <v>2</v>
      </c>
      <c r="F26" s="976">
        <v>75.375</v>
      </c>
      <c r="G26" s="976">
        <v>84</v>
      </c>
      <c r="H26" s="976"/>
      <c r="J26" s="971" t="s">
        <v>996</v>
      </c>
    </row>
    <row r="27" spans="2:10" x14ac:dyDescent="0.3">
      <c r="C27" s="972">
        <v>13</v>
      </c>
      <c r="D27" s="972" t="s">
        <v>992</v>
      </c>
      <c r="E27" s="976">
        <v>10</v>
      </c>
      <c r="F27" s="976">
        <v>75.375</v>
      </c>
      <c r="G27" s="976">
        <v>84</v>
      </c>
      <c r="H27" s="976"/>
    </row>
    <row r="28" spans="2:10" x14ac:dyDescent="0.3">
      <c r="C28" s="972">
        <v>14</v>
      </c>
      <c r="D28" s="972" t="s">
        <v>992</v>
      </c>
      <c r="E28" s="976">
        <v>4</v>
      </c>
      <c r="F28" s="976" t="s">
        <v>1001</v>
      </c>
      <c r="G28" s="976">
        <v>84</v>
      </c>
      <c r="H28" s="976"/>
      <c r="I28" s="971" t="s">
        <v>1002</v>
      </c>
    </row>
    <row r="30" spans="2:10" x14ac:dyDescent="0.3">
      <c r="B30" s="971" t="s">
        <v>1003</v>
      </c>
    </row>
    <row r="31" spans="2:10" x14ac:dyDescent="0.3">
      <c r="C31" s="972">
        <v>15</v>
      </c>
      <c r="D31" s="972" t="s">
        <v>994</v>
      </c>
      <c r="E31" s="976">
        <v>1</v>
      </c>
      <c r="F31" s="976">
        <v>90</v>
      </c>
      <c r="G31" s="976">
        <v>84</v>
      </c>
      <c r="I31" s="971" t="s">
        <v>984</v>
      </c>
      <c r="J31" s="971" t="s">
        <v>985</v>
      </c>
    </row>
    <row r="32" spans="2:10" x14ac:dyDescent="0.3">
      <c r="E32" s="976"/>
      <c r="F32" s="976"/>
      <c r="G32" s="976"/>
    </row>
    <row r="33" spans="2:10" x14ac:dyDescent="0.3">
      <c r="B33" s="971" t="s">
        <v>1004</v>
      </c>
      <c r="E33" s="976"/>
      <c r="F33" s="976"/>
      <c r="G33" s="976"/>
    </row>
    <row r="34" spans="2:10" x14ac:dyDescent="0.3">
      <c r="C34" s="972">
        <v>16</v>
      </c>
      <c r="D34" s="972" t="s">
        <v>1005</v>
      </c>
      <c r="E34" s="976">
        <v>1</v>
      </c>
      <c r="F34" s="976" t="s">
        <v>1006</v>
      </c>
      <c r="G34" s="976">
        <v>84</v>
      </c>
      <c r="J34" s="971" t="s">
        <v>985</v>
      </c>
    </row>
    <row r="35" spans="2:10" x14ac:dyDescent="0.3">
      <c r="C35" s="972">
        <v>17</v>
      </c>
      <c r="D35" s="972" t="s">
        <v>1007</v>
      </c>
      <c r="E35" s="976">
        <v>2</v>
      </c>
      <c r="F35" s="976" t="s">
        <v>1008</v>
      </c>
      <c r="G35" s="976">
        <v>84</v>
      </c>
      <c r="J35" s="971" t="s">
        <v>985</v>
      </c>
    </row>
    <row r="36" spans="2:10" x14ac:dyDescent="0.3">
      <c r="C36" s="972">
        <v>18</v>
      </c>
      <c r="D36" s="972" t="s">
        <v>992</v>
      </c>
      <c r="E36" s="976">
        <v>1</v>
      </c>
      <c r="F36" s="976">
        <v>36</v>
      </c>
      <c r="G36" s="976">
        <v>42</v>
      </c>
      <c r="I36" s="971" t="s">
        <v>982</v>
      </c>
    </row>
    <row r="37" spans="2:10" x14ac:dyDescent="0.3">
      <c r="C37" s="972">
        <v>19</v>
      </c>
      <c r="D37" s="972" t="s">
        <v>986</v>
      </c>
      <c r="E37" s="976">
        <v>1</v>
      </c>
      <c r="F37" s="976">
        <v>66</v>
      </c>
      <c r="G37" s="976">
        <v>84</v>
      </c>
      <c r="I37" s="971" t="s">
        <v>1009</v>
      </c>
      <c r="J37" s="971" t="s">
        <v>1010</v>
      </c>
    </row>
    <row r="38" spans="2:10" ht="15" thickBot="1" x14ac:dyDescent="0.35">
      <c r="E38" s="976"/>
      <c r="F38" s="976"/>
      <c r="G38" s="976"/>
    </row>
    <row r="39" spans="2:10" x14ac:dyDescent="0.3">
      <c r="B39" s="977"/>
      <c r="C39" s="978" t="s">
        <v>1011</v>
      </c>
      <c r="D39" s="979"/>
      <c r="E39" s="980">
        <f>SUM(E6:E38)</f>
        <v>40</v>
      </c>
      <c r="F39" s="980"/>
      <c r="G39" s="980"/>
      <c r="H39" s="977"/>
      <c r="I39" s="977"/>
      <c r="J39" s="977"/>
    </row>
    <row r="40" spans="2:10" x14ac:dyDescent="0.3">
      <c r="E40" s="976"/>
      <c r="F40" s="976"/>
      <c r="G40" s="976"/>
    </row>
    <row r="41" spans="2:10" x14ac:dyDescent="0.3">
      <c r="E41" s="976"/>
      <c r="F41" s="976"/>
      <c r="G41" s="976"/>
    </row>
    <row r="42" spans="2:10" x14ac:dyDescent="0.3">
      <c r="E42" s="976"/>
      <c r="F42" s="976"/>
      <c r="G42" s="976"/>
    </row>
    <row r="43" spans="2:10" x14ac:dyDescent="0.3">
      <c r="E43" s="976"/>
      <c r="F43" s="976"/>
      <c r="G43" s="976"/>
    </row>
    <row r="44" spans="2:10" x14ac:dyDescent="0.3">
      <c r="E44" s="976"/>
      <c r="F44" s="976"/>
      <c r="G44" s="976"/>
    </row>
    <row r="45" spans="2:10" x14ac:dyDescent="0.3">
      <c r="E45" s="976"/>
      <c r="F45" s="976"/>
      <c r="G45" s="976"/>
    </row>
    <row r="46" spans="2:10" x14ac:dyDescent="0.3">
      <c r="E46" s="976"/>
      <c r="F46" s="976"/>
      <c r="G46" s="976"/>
    </row>
    <row r="47" spans="2:10" x14ac:dyDescent="0.3">
      <c r="E47" s="976"/>
      <c r="F47" s="976"/>
      <c r="G47" s="976"/>
    </row>
    <row r="48" spans="2:10" x14ac:dyDescent="0.3">
      <c r="E48" s="976"/>
      <c r="F48" s="976"/>
      <c r="G48" s="976"/>
    </row>
    <row r="49" spans="5:7" x14ac:dyDescent="0.3">
      <c r="E49" s="976"/>
      <c r="F49" s="976"/>
      <c r="G49" s="976"/>
    </row>
    <row r="50" spans="5:7" x14ac:dyDescent="0.3">
      <c r="E50" s="976"/>
      <c r="F50" s="976"/>
      <c r="G50" s="976"/>
    </row>
    <row r="51" spans="5:7" x14ac:dyDescent="0.3">
      <c r="E51" s="976"/>
      <c r="F51" s="976"/>
      <c r="G51" s="976"/>
    </row>
    <row r="52" spans="5:7" x14ac:dyDescent="0.3">
      <c r="E52" s="976"/>
      <c r="F52" s="976"/>
      <c r="G52" s="976"/>
    </row>
    <row r="53" spans="5:7" x14ac:dyDescent="0.3">
      <c r="E53" s="976"/>
      <c r="F53" s="976"/>
      <c r="G53" s="976"/>
    </row>
    <row r="54" spans="5:7" x14ac:dyDescent="0.3">
      <c r="E54" s="976"/>
      <c r="F54" s="976"/>
      <c r="G54" s="976"/>
    </row>
    <row r="55" spans="5:7" x14ac:dyDescent="0.3">
      <c r="E55" s="976"/>
      <c r="F55" s="976"/>
      <c r="G55" s="976"/>
    </row>
    <row r="56" spans="5:7" x14ac:dyDescent="0.3">
      <c r="E56" s="976"/>
      <c r="F56" s="976"/>
      <c r="G56" s="976"/>
    </row>
    <row r="57" spans="5:7" x14ac:dyDescent="0.3">
      <c r="E57" s="976"/>
      <c r="F57" s="976"/>
      <c r="G57" s="976"/>
    </row>
    <row r="58" spans="5:7" x14ac:dyDescent="0.3">
      <c r="E58" s="976"/>
      <c r="F58" s="976"/>
      <c r="G58" s="976"/>
    </row>
    <row r="59" spans="5:7" x14ac:dyDescent="0.3">
      <c r="E59" s="976"/>
      <c r="F59" s="976"/>
      <c r="G59" s="976"/>
    </row>
    <row r="60" spans="5:7" x14ac:dyDescent="0.3">
      <c r="E60" s="976"/>
      <c r="F60" s="976"/>
      <c r="G60" s="976"/>
    </row>
    <row r="61" spans="5:7" x14ac:dyDescent="0.3">
      <c r="E61" s="976"/>
      <c r="F61" s="976"/>
      <c r="G61" s="976"/>
    </row>
    <row r="62" spans="5:7" x14ac:dyDescent="0.3">
      <c r="E62" s="976"/>
      <c r="F62" s="976"/>
      <c r="G62" s="976"/>
    </row>
    <row r="63" spans="5:7" x14ac:dyDescent="0.3">
      <c r="E63" s="976"/>
      <c r="F63" s="976"/>
      <c r="G63" s="976"/>
    </row>
    <row r="64" spans="5:7" x14ac:dyDescent="0.3">
      <c r="E64" s="976"/>
      <c r="F64" s="976"/>
      <c r="G64" s="976"/>
    </row>
    <row r="65" spans="5:7" x14ac:dyDescent="0.3">
      <c r="E65" s="976"/>
      <c r="F65" s="976"/>
      <c r="G65" s="976"/>
    </row>
    <row r="66" spans="5:7" x14ac:dyDescent="0.3">
      <c r="E66" s="976"/>
      <c r="F66" s="976"/>
      <c r="G66" s="976"/>
    </row>
    <row r="67" spans="5:7" x14ac:dyDescent="0.3">
      <c r="E67" s="976"/>
      <c r="F67" s="976"/>
      <c r="G67" s="976"/>
    </row>
    <row r="68" spans="5:7" x14ac:dyDescent="0.3">
      <c r="E68" s="976"/>
      <c r="F68" s="976"/>
      <c r="G68" s="976"/>
    </row>
    <row r="69" spans="5:7" x14ac:dyDescent="0.3">
      <c r="E69" s="976"/>
      <c r="F69" s="976"/>
      <c r="G69" s="976"/>
    </row>
    <row r="70" spans="5:7" x14ac:dyDescent="0.3">
      <c r="E70" s="976"/>
      <c r="F70" s="976"/>
      <c r="G70" s="976"/>
    </row>
    <row r="71" spans="5:7" x14ac:dyDescent="0.3">
      <c r="E71" s="976"/>
      <c r="F71" s="976"/>
      <c r="G71" s="976"/>
    </row>
    <row r="72" spans="5:7" x14ac:dyDescent="0.3">
      <c r="E72" s="976"/>
      <c r="F72" s="976"/>
      <c r="G72" s="976"/>
    </row>
    <row r="73" spans="5:7" x14ac:dyDescent="0.3">
      <c r="E73" s="976"/>
      <c r="F73" s="976"/>
      <c r="G73" s="976"/>
    </row>
  </sheetData>
  <mergeCells count="1">
    <mergeCell ref="G2:H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68E9-4F1E-4868-9BE4-1D1A10E70B4D}">
  <dimension ref="B1:P63"/>
  <sheetViews>
    <sheetView topLeftCell="A2" zoomScale="70" zoomScaleNormal="70" workbookViewId="0">
      <selection activeCell="O12" sqref="O12"/>
    </sheetView>
  </sheetViews>
  <sheetFormatPr defaultColWidth="8.88671875" defaultRowHeight="14.4" x14ac:dyDescent="0.3"/>
  <cols>
    <col min="1" max="2" width="1.77734375" style="971" customWidth="1"/>
    <col min="3" max="3" width="8.88671875" style="972"/>
    <col min="4" max="4" width="23.5546875" style="972" bestFit="1" customWidth="1"/>
    <col min="5" max="5" width="8.88671875" style="972"/>
    <col min="6" max="6" width="19" style="972" bestFit="1" customWidth="1"/>
    <col min="7" max="7" width="25.5546875" style="972" bestFit="1" customWidth="1"/>
    <col min="8" max="10" width="8.88671875" style="971"/>
    <col min="11" max="11" width="12.109375" style="971" customWidth="1"/>
    <col min="12" max="13" width="11.21875" style="971" customWidth="1"/>
    <col min="14" max="14" width="34.5546875" style="971" bestFit="1" customWidth="1"/>
    <col min="15" max="15" width="51.109375" style="971" customWidth="1"/>
    <col min="16" max="16384" width="8.88671875" style="971"/>
  </cols>
  <sheetData>
    <row r="1" spans="2:16" x14ac:dyDescent="0.3">
      <c r="H1" s="1020" t="s">
        <v>1012</v>
      </c>
      <c r="I1" s="1020"/>
      <c r="J1" s="1020"/>
    </row>
    <row r="2" spans="2:16" ht="29.4" thickBot="1" x14ac:dyDescent="0.35">
      <c r="B2" s="981"/>
      <c r="C2" s="981" t="s">
        <v>1013</v>
      </c>
      <c r="D2" s="981" t="s">
        <v>258</v>
      </c>
      <c r="E2" s="981" t="s">
        <v>67</v>
      </c>
      <c r="F2" s="981" t="s">
        <v>1014</v>
      </c>
      <c r="G2" s="981" t="s">
        <v>1015</v>
      </c>
      <c r="H2" s="981" t="s">
        <v>975</v>
      </c>
      <c r="I2" s="981" t="s">
        <v>1016</v>
      </c>
      <c r="J2" s="981" t="s">
        <v>973</v>
      </c>
      <c r="K2" s="981" t="s">
        <v>1017</v>
      </c>
      <c r="L2" s="981" t="s">
        <v>1018</v>
      </c>
      <c r="M2" s="981" t="s">
        <v>1019</v>
      </c>
      <c r="N2" s="981" t="s">
        <v>462</v>
      </c>
      <c r="O2" s="981" t="s">
        <v>1020</v>
      </c>
      <c r="P2" s="974"/>
    </row>
    <row r="3" spans="2:16" x14ac:dyDescent="0.3">
      <c r="B3" s="974"/>
      <c r="C3" s="974"/>
      <c r="D3" s="974"/>
      <c r="E3" s="974"/>
      <c r="F3" s="974"/>
      <c r="G3" s="974"/>
      <c r="H3" s="974"/>
      <c r="I3" s="974"/>
      <c r="J3" s="974"/>
      <c r="K3" s="974"/>
      <c r="L3" s="974"/>
      <c r="M3" s="974"/>
      <c r="N3" s="974"/>
      <c r="O3" s="974"/>
      <c r="P3" s="974"/>
    </row>
    <row r="4" spans="2:16" x14ac:dyDescent="0.3">
      <c r="B4" s="975" t="s">
        <v>1021</v>
      </c>
      <c r="C4" s="974"/>
      <c r="D4" s="974"/>
      <c r="E4" s="974"/>
      <c r="F4" s="974"/>
      <c r="G4" s="974"/>
      <c r="H4" s="974"/>
      <c r="I4" s="974"/>
      <c r="J4" s="974"/>
      <c r="K4" s="974"/>
      <c r="L4" s="974"/>
      <c r="M4" s="974"/>
      <c r="N4" s="974"/>
      <c r="O4" s="974"/>
      <c r="P4" s="974"/>
    </row>
    <row r="5" spans="2:16" ht="43.2" x14ac:dyDescent="0.3">
      <c r="B5" s="975"/>
      <c r="C5" s="982">
        <v>1</v>
      </c>
      <c r="D5" s="982" t="s">
        <v>1022</v>
      </c>
      <c r="E5" s="989">
        <v>3</v>
      </c>
      <c r="F5" s="982" t="s">
        <v>1023</v>
      </c>
      <c r="G5" s="982" t="s">
        <v>1024</v>
      </c>
      <c r="H5" s="989">
        <v>26.9</v>
      </c>
      <c r="I5" s="989">
        <v>27.75</v>
      </c>
      <c r="J5" s="989">
        <v>78.2</v>
      </c>
      <c r="K5" s="982" t="s">
        <v>1025</v>
      </c>
      <c r="L5" s="994">
        <v>9920</v>
      </c>
      <c r="M5" s="983">
        <f>L5*E5</f>
        <v>29760</v>
      </c>
      <c r="N5" s="984" t="s">
        <v>1026</v>
      </c>
      <c r="O5" s="985" t="s">
        <v>1027</v>
      </c>
      <c r="P5" s="974"/>
    </row>
    <row r="6" spans="2:16" ht="28.8" x14ac:dyDescent="0.3">
      <c r="B6" s="975"/>
      <c r="C6" s="982">
        <v>2</v>
      </c>
      <c r="D6" s="982" t="s">
        <v>1028</v>
      </c>
      <c r="E6" s="989">
        <v>1</v>
      </c>
      <c r="F6" s="982" t="s">
        <v>1029</v>
      </c>
      <c r="G6" s="982" t="s">
        <v>1030</v>
      </c>
      <c r="H6" s="989">
        <v>36</v>
      </c>
      <c r="I6" s="989">
        <v>24</v>
      </c>
      <c r="J6" s="989" t="s">
        <v>1031</v>
      </c>
      <c r="K6" s="982" t="s">
        <v>1032</v>
      </c>
      <c r="L6" s="994">
        <v>300</v>
      </c>
      <c r="M6" s="983">
        <f>E6*L6</f>
        <v>300</v>
      </c>
      <c r="N6" s="984" t="s">
        <v>1033</v>
      </c>
      <c r="O6" s="985" t="s">
        <v>1034</v>
      </c>
      <c r="P6" s="974"/>
    </row>
    <row r="7" spans="2:16" x14ac:dyDescent="0.3">
      <c r="B7" s="975"/>
      <c r="C7" s="982">
        <v>3</v>
      </c>
      <c r="D7" s="982" t="s">
        <v>1035</v>
      </c>
      <c r="E7" s="989">
        <v>1</v>
      </c>
      <c r="F7" s="982" t="s">
        <v>1036</v>
      </c>
      <c r="G7" s="982" t="s">
        <v>1037</v>
      </c>
      <c r="H7" s="989">
        <v>41</v>
      </c>
      <c r="I7" s="989">
        <v>35.200000000000003</v>
      </c>
      <c r="J7" s="989">
        <v>72</v>
      </c>
      <c r="K7" s="1021" t="s">
        <v>1038</v>
      </c>
      <c r="L7" s="986"/>
      <c r="M7" s="983">
        <f t="shared" ref="M7:M16" si="0">E7*L7</f>
        <v>0</v>
      </c>
      <c r="N7" s="984"/>
      <c r="O7" s="985" t="s">
        <v>1039</v>
      </c>
      <c r="P7" s="974"/>
    </row>
    <row r="8" spans="2:16" x14ac:dyDescent="0.3">
      <c r="B8" s="975"/>
      <c r="C8" s="982">
        <v>4</v>
      </c>
      <c r="D8" s="982" t="s">
        <v>1040</v>
      </c>
      <c r="E8" s="989">
        <v>1</v>
      </c>
      <c r="F8" s="982" t="s">
        <v>1036</v>
      </c>
      <c r="G8" s="982" t="s">
        <v>1041</v>
      </c>
      <c r="H8" s="989">
        <v>41</v>
      </c>
      <c r="I8" s="989">
        <v>38</v>
      </c>
      <c r="J8" s="989">
        <v>72</v>
      </c>
      <c r="K8" s="1022"/>
      <c r="L8" s="986"/>
      <c r="M8" s="983">
        <f t="shared" si="0"/>
        <v>0</v>
      </c>
      <c r="N8" s="984"/>
      <c r="O8" s="985" t="s">
        <v>1039</v>
      </c>
      <c r="P8" s="974"/>
    </row>
    <row r="9" spans="2:16" x14ac:dyDescent="0.3">
      <c r="B9" s="975"/>
      <c r="C9" s="982">
        <v>5</v>
      </c>
      <c r="D9" s="982" t="s">
        <v>1042</v>
      </c>
      <c r="E9" s="989">
        <v>1</v>
      </c>
      <c r="F9" s="982" t="s">
        <v>1036</v>
      </c>
      <c r="G9" s="982" t="s">
        <v>1043</v>
      </c>
      <c r="H9" s="989">
        <v>27.5</v>
      </c>
      <c r="I9" s="989">
        <v>28</v>
      </c>
      <c r="J9" s="989">
        <v>72</v>
      </c>
      <c r="K9" s="1023"/>
      <c r="L9" s="986"/>
      <c r="M9" s="983">
        <f t="shared" si="0"/>
        <v>0</v>
      </c>
      <c r="N9" s="984"/>
      <c r="O9" s="985" t="s">
        <v>1039</v>
      </c>
      <c r="P9" s="974"/>
    </row>
    <row r="10" spans="2:16" ht="43.2" x14ac:dyDescent="0.3">
      <c r="B10" s="975"/>
      <c r="C10" s="982">
        <v>6</v>
      </c>
      <c r="D10" s="982" t="s">
        <v>1044</v>
      </c>
      <c r="E10" s="989">
        <v>1</v>
      </c>
      <c r="F10" s="982" t="b">
        <v>1</v>
      </c>
      <c r="G10" s="982" t="s">
        <v>1045</v>
      </c>
      <c r="H10" s="989">
        <v>39.5</v>
      </c>
      <c r="I10" s="989">
        <v>29.5</v>
      </c>
      <c r="J10" s="989">
        <v>78.38</v>
      </c>
      <c r="K10" s="982" t="s">
        <v>1046</v>
      </c>
      <c r="L10" s="994">
        <v>4693.17</v>
      </c>
      <c r="M10" s="983">
        <f t="shared" si="0"/>
        <v>4693.17</v>
      </c>
      <c r="N10" s="984" t="s">
        <v>1047</v>
      </c>
      <c r="O10" s="985" t="s">
        <v>1048</v>
      </c>
      <c r="P10" s="974"/>
    </row>
    <row r="11" spans="2:16" ht="28.8" x14ac:dyDescent="0.3">
      <c r="B11" s="975"/>
      <c r="C11" s="982">
        <v>7</v>
      </c>
      <c r="D11" s="982" t="s">
        <v>1049</v>
      </c>
      <c r="E11" s="989">
        <v>1</v>
      </c>
      <c r="F11" s="982" t="s">
        <v>1050</v>
      </c>
      <c r="G11" s="982" t="s">
        <v>1051</v>
      </c>
      <c r="H11" s="989">
        <v>62</v>
      </c>
      <c r="I11" s="989">
        <v>40.375</v>
      </c>
      <c r="J11" s="989">
        <v>81.75</v>
      </c>
      <c r="K11" s="1021" t="s">
        <v>1052</v>
      </c>
      <c r="L11" s="986"/>
      <c r="M11" s="983">
        <f t="shared" si="0"/>
        <v>0</v>
      </c>
      <c r="N11" s="984" t="s">
        <v>1053</v>
      </c>
      <c r="O11" s="985" t="s">
        <v>1054</v>
      </c>
      <c r="P11" s="974"/>
    </row>
    <row r="12" spans="2:16" ht="43.2" x14ac:dyDescent="0.3">
      <c r="B12" s="975"/>
      <c r="C12" s="982">
        <v>8</v>
      </c>
      <c r="D12" s="982" t="s">
        <v>1055</v>
      </c>
      <c r="E12" s="989">
        <v>1</v>
      </c>
      <c r="F12" s="982" t="s">
        <v>1050</v>
      </c>
      <c r="G12" s="982" t="s">
        <v>1056</v>
      </c>
      <c r="H12" s="989">
        <v>92.4375</v>
      </c>
      <c r="I12" s="989">
        <v>40.375</v>
      </c>
      <c r="J12" s="989">
        <v>81.75</v>
      </c>
      <c r="K12" s="1023"/>
      <c r="L12" s="986"/>
      <c r="M12" s="983">
        <f t="shared" si="0"/>
        <v>0</v>
      </c>
      <c r="N12" s="984" t="s">
        <v>1057</v>
      </c>
      <c r="O12" s="985" t="s">
        <v>1054</v>
      </c>
      <c r="P12" s="974"/>
    </row>
    <row r="13" spans="2:16" x14ac:dyDescent="0.3">
      <c r="B13" s="975"/>
      <c r="C13" s="982">
        <v>9</v>
      </c>
      <c r="D13" s="982" t="s">
        <v>1058</v>
      </c>
      <c r="E13" s="989">
        <v>1</v>
      </c>
      <c r="F13" s="982" t="s">
        <v>1059</v>
      </c>
      <c r="G13" s="982" t="s">
        <v>1060</v>
      </c>
      <c r="H13" s="989">
        <v>36.5</v>
      </c>
      <c r="I13" s="989">
        <v>31.5</v>
      </c>
      <c r="J13" s="989">
        <v>72</v>
      </c>
      <c r="K13" s="982" t="s">
        <v>1061</v>
      </c>
      <c r="L13" s="986"/>
      <c r="M13" s="983">
        <f t="shared" si="0"/>
        <v>0</v>
      </c>
      <c r="N13" s="984" t="s">
        <v>1062</v>
      </c>
      <c r="O13" s="985" t="s">
        <v>1063</v>
      </c>
      <c r="P13" s="974"/>
    </row>
    <row r="14" spans="2:16" ht="86.4" x14ac:dyDescent="0.3">
      <c r="B14" s="975"/>
      <c r="C14" s="982">
        <v>10</v>
      </c>
      <c r="D14" s="982" t="s">
        <v>1064</v>
      </c>
      <c r="E14" s="989">
        <v>1</v>
      </c>
      <c r="F14" s="982" t="s">
        <v>1065</v>
      </c>
      <c r="G14" s="982" t="s">
        <v>1066</v>
      </c>
      <c r="H14" s="989">
        <v>93.5</v>
      </c>
      <c r="I14" s="989">
        <v>45</v>
      </c>
      <c r="J14" s="989">
        <v>93.5</v>
      </c>
      <c r="K14" s="987" t="s">
        <v>1067</v>
      </c>
      <c r="L14" s="986"/>
      <c r="M14" s="983">
        <f t="shared" si="0"/>
        <v>0</v>
      </c>
      <c r="N14" s="984" t="s">
        <v>1068</v>
      </c>
      <c r="O14" s="985" t="s">
        <v>1069</v>
      </c>
      <c r="P14" s="974"/>
    </row>
    <row r="15" spans="2:16" ht="28.8" x14ac:dyDescent="0.3">
      <c r="B15" s="975"/>
      <c r="C15" s="982">
        <v>11</v>
      </c>
      <c r="D15" s="982" t="s">
        <v>1070</v>
      </c>
      <c r="E15" s="989">
        <v>1</v>
      </c>
      <c r="F15" s="982" t="s">
        <v>1071</v>
      </c>
      <c r="G15" s="982" t="s">
        <v>1072</v>
      </c>
      <c r="H15" s="982" t="s">
        <v>1072</v>
      </c>
      <c r="I15" s="982"/>
      <c r="J15" s="982"/>
      <c r="K15" s="982"/>
      <c r="L15" s="986"/>
      <c r="M15" s="983">
        <f t="shared" si="0"/>
        <v>0</v>
      </c>
      <c r="N15" s="984"/>
      <c r="O15" s="985" t="s">
        <v>1073</v>
      </c>
      <c r="P15" s="974"/>
    </row>
    <row r="16" spans="2:16" ht="100.8" x14ac:dyDescent="0.3">
      <c r="B16" s="975"/>
      <c r="C16" s="982">
        <v>12</v>
      </c>
      <c r="D16" s="982" t="s">
        <v>1074</v>
      </c>
      <c r="E16" s="989">
        <v>1</v>
      </c>
      <c r="F16" s="982" t="s">
        <v>1075</v>
      </c>
      <c r="G16" s="988" t="s">
        <v>1076</v>
      </c>
      <c r="H16" s="989">
        <v>49.5</v>
      </c>
      <c r="I16" s="989">
        <v>28.5</v>
      </c>
      <c r="J16" s="989">
        <v>44.75</v>
      </c>
      <c r="K16" s="982"/>
      <c r="L16" s="994">
        <v>390</v>
      </c>
      <c r="M16" s="983">
        <f t="shared" si="0"/>
        <v>390</v>
      </c>
      <c r="N16" s="984" t="s">
        <v>1077</v>
      </c>
      <c r="O16" s="985" t="s">
        <v>1078</v>
      </c>
      <c r="P16" s="974"/>
    </row>
    <row r="17" spans="2:16" x14ac:dyDescent="0.3">
      <c r="B17" s="975"/>
      <c r="C17" s="982"/>
      <c r="D17" s="982"/>
      <c r="E17" s="982"/>
      <c r="F17" s="982"/>
      <c r="G17" s="982"/>
      <c r="H17" s="982"/>
      <c r="I17" s="982"/>
      <c r="J17" s="982"/>
      <c r="K17" s="982"/>
      <c r="L17" s="983"/>
      <c r="M17" s="983"/>
      <c r="N17" s="984"/>
      <c r="O17" s="984"/>
      <c r="P17" s="974"/>
    </row>
    <row r="18" spans="2:16" x14ac:dyDescent="0.3">
      <c r="B18" s="975"/>
      <c r="C18" s="982"/>
      <c r="D18" s="982"/>
      <c r="E18" s="982"/>
      <c r="F18" s="982"/>
      <c r="G18" s="982"/>
      <c r="H18" s="982"/>
      <c r="I18" s="982"/>
      <c r="J18" s="982"/>
      <c r="K18" s="982"/>
      <c r="L18" s="983"/>
      <c r="M18" s="983"/>
      <c r="N18" s="984"/>
      <c r="O18" s="984"/>
      <c r="P18" s="974"/>
    </row>
    <row r="19" spans="2:16" x14ac:dyDescent="0.3">
      <c r="B19" s="975"/>
      <c r="C19" s="982"/>
      <c r="D19" s="982"/>
      <c r="E19" s="982"/>
      <c r="F19" s="982"/>
      <c r="G19" s="982"/>
      <c r="H19" s="982"/>
      <c r="I19" s="982"/>
      <c r="J19" s="982"/>
      <c r="K19" s="982"/>
      <c r="L19" s="983"/>
      <c r="M19" s="983"/>
      <c r="N19" s="984"/>
      <c r="O19" s="984"/>
      <c r="P19" s="974"/>
    </row>
    <row r="20" spans="2:16" x14ac:dyDescent="0.3">
      <c r="B20" s="975"/>
      <c r="C20" s="982"/>
      <c r="D20" s="982"/>
      <c r="E20" s="982"/>
      <c r="F20" s="982"/>
      <c r="G20" s="982"/>
      <c r="H20" s="982"/>
      <c r="I20" s="982"/>
      <c r="J20" s="982"/>
      <c r="K20" s="982"/>
      <c r="L20" s="983"/>
      <c r="M20" s="983"/>
      <c r="N20" s="984"/>
      <c r="O20" s="984"/>
      <c r="P20" s="974"/>
    </row>
    <row r="21" spans="2:16" x14ac:dyDescent="0.3">
      <c r="B21" s="975"/>
      <c r="C21" s="982"/>
      <c r="D21" s="982"/>
      <c r="E21" s="982"/>
      <c r="F21" s="982"/>
      <c r="G21" s="982"/>
      <c r="H21" s="982"/>
      <c r="I21" s="982"/>
      <c r="J21" s="982"/>
      <c r="K21" s="982"/>
      <c r="L21" s="983"/>
      <c r="M21" s="983"/>
      <c r="N21" s="984"/>
      <c r="O21" s="984"/>
      <c r="P21" s="974"/>
    </row>
    <row r="22" spans="2:16" x14ac:dyDescent="0.3">
      <c r="B22" s="975"/>
      <c r="C22" s="982"/>
      <c r="D22" s="982"/>
      <c r="E22" s="982"/>
      <c r="F22" s="982"/>
      <c r="G22" s="982"/>
      <c r="H22" s="982"/>
      <c r="I22" s="982"/>
      <c r="J22" s="982"/>
      <c r="K22" s="982"/>
      <c r="L22" s="983"/>
      <c r="M22" s="983"/>
      <c r="N22" s="984"/>
      <c r="O22" s="984"/>
      <c r="P22" s="974"/>
    </row>
    <row r="23" spans="2:16" x14ac:dyDescent="0.3">
      <c r="B23" s="975"/>
      <c r="C23" s="982"/>
      <c r="D23" s="982"/>
      <c r="E23" s="982"/>
      <c r="F23" s="982"/>
      <c r="G23" s="982"/>
      <c r="H23" s="982"/>
      <c r="I23" s="982"/>
      <c r="J23" s="982"/>
      <c r="K23" s="982"/>
      <c r="L23" s="983"/>
      <c r="M23" s="983"/>
      <c r="N23" s="984"/>
      <c r="O23" s="984"/>
      <c r="P23" s="974"/>
    </row>
    <row r="24" spans="2:16" x14ac:dyDescent="0.3">
      <c r="B24" s="975"/>
      <c r="C24" s="982"/>
      <c r="D24" s="982"/>
      <c r="E24" s="982"/>
      <c r="F24" s="982"/>
      <c r="G24" s="982"/>
      <c r="H24" s="982"/>
      <c r="I24" s="982"/>
      <c r="J24" s="982"/>
      <c r="K24" s="982"/>
      <c r="L24" s="983"/>
      <c r="M24" s="983"/>
      <c r="N24" s="984"/>
      <c r="O24" s="984"/>
      <c r="P24" s="974"/>
    </row>
    <row r="25" spans="2:16" x14ac:dyDescent="0.3">
      <c r="B25" s="975"/>
      <c r="C25" s="982"/>
      <c r="D25" s="982"/>
      <c r="E25" s="982"/>
      <c r="F25" s="982"/>
      <c r="G25" s="982"/>
      <c r="H25" s="982"/>
      <c r="I25" s="982"/>
      <c r="J25" s="982"/>
      <c r="K25" s="982"/>
      <c r="L25" s="983"/>
      <c r="M25" s="983"/>
      <c r="N25" s="984"/>
      <c r="O25" s="984"/>
      <c r="P25" s="974"/>
    </row>
    <row r="26" spans="2:16" x14ac:dyDescent="0.3">
      <c r="B26" s="975"/>
      <c r="C26" s="982"/>
      <c r="D26" s="982"/>
      <c r="E26" s="982"/>
      <c r="F26" s="982"/>
      <c r="G26" s="982"/>
      <c r="H26" s="982"/>
      <c r="I26" s="982"/>
      <c r="J26" s="982"/>
      <c r="K26" s="982"/>
      <c r="L26" s="983"/>
      <c r="M26" s="983"/>
      <c r="N26" s="984"/>
      <c r="O26" s="984"/>
      <c r="P26" s="974"/>
    </row>
    <row r="27" spans="2:16" x14ac:dyDescent="0.3">
      <c r="B27" s="975"/>
      <c r="C27" s="982"/>
      <c r="D27" s="982"/>
      <c r="E27" s="982"/>
      <c r="F27" s="982"/>
      <c r="G27" s="982"/>
      <c r="H27" s="982"/>
      <c r="I27" s="982"/>
      <c r="J27" s="982"/>
      <c r="K27" s="982"/>
      <c r="L27" s="983"/>
      <c r="M27" s="983"/>
      <c r="N27" s="984"/>
      <c r="O27" s="984"/>
      <c r="P27" s="974"/>
    </row>
    <row r="28" spans="2:16" ht="15" thickBot="1" x14ac:dyDescent="0.35">
      <c r="C28" s="982"/>
      <c r="D28" s="982"/>
      <c r="E28" s="989"/>
      <c r="F28" s="989"/>
      <c r="G28" s="989"/>
      <c r="H28" s="989"/>
      <c r="I28" s="989"/>
      <c r="J28" s="990"/>
      <c r="K28" s="990"/>
      <c r="L28" s="991"/>
      <c r="M28" s="991"/>
      <c r="N28" s="984"/>
      <c r="O28" s="984"/>
    </row>
    <row r="29" spans="2:16" x14ac:dyDescent="0.3">
      <c r="B29" s="977"/>
      <c r="C29" s="978" t="s">
        <v>1011</v>
      </c>
      <c r="D29" s="979"/>
      <c r="E29" s="980">
        <f>SUM(E28:E28)</f>
        <v>0</v>
      </c>
      <c r="F29" s="980"/>
      <c r="G29" s="980"/>
      <c r="H29" s="980"/>
      <c r="I29" s="980"/>
      <c r="J29" s="977"/>
      <c r="K29" s="977"/>
      <c r="L29" s="992">
        <f>SUM(L5:L28)</f>
        <v>15303.17</v>
      </c>
      <c r="M29" s="992"/>
      <c r="N29" s="977"/>
    </row>
    <row r="30" spans="2:16" x14ac:dyDescent="0.3">
      <c r="E30" s="976"/>
      <c r="F30" s="976"/>
      <c r="G30" s="976"/>
      <c r="H30" s="976"/>
      <c r="I30" s="976"/>
    </row>
    <row r="31" spans="2:16" x14ac:dyDescent="0.3">
      <c r="E31" s="976"/>
      <c r="F31" s="976"/>
      <c r="G31" s="976"/>
      <c r="H31" s="976"/>
      <c r="I31" s="976"/>
    </row>
    <row r="32" spans="2:16" x14ac:dyDescent="0.3">
      <c r="E32" s="976"/>
      <c r="F32" s="976"/>
      <c r="G32" s="976"/>
      <c r="H32" s="976"/>
      <c r="I32" s="976"/>
    </row>
    <row r="33" spans="5:9" x14ac:dyDescent="0.3">
      <c r="E33" s="976"/>
      <c r="F33" s="976"/>
      <c r="G33" s="976"/>
      <c r="H33" s="976"/>
      <c r="I33" s="976"/>
    </row>
    <row r="34" spans="5:9" x14ac:dyDescent="0.3">
      <c r="E34" s="976"/>
      <c r="F34" s="976"/>
      <c r="G34" s="976"/>
      <c r="H34" s="976"/>
      <c r="I34" s="976"/>
    </row>
    <row r="35" spans="5:9" x14ac:dyDescent="0.3">
      <c r="E35" s="976"/>
      <c r="F35" s="976"/>
      <c r="G35" s="976"/>
      <c r="H35" s="976"/>
      <c r="I35" s="976"/>
    </row>
    <row r="36" spans="5:9" x14ac:dyDescent="0.3">
      <c r="E36" s="976"/>
      <c r="F36" s="976"/>
      <c r="G36" s="976"/>
      <c r="H36" s="976"/>
      <c r="I36" s="976"/>
    </row>
    <row r="37" spans="5:9" x14ac:dyDescent="0.3">
      <c r="E37" s="976"/>
      <c r="F37" s="976"/>
      <c r="G37" s="976"/>
      <c r="H37" s="976"/>
      <c r="I37" s="976"/>
    </row>
    <row r="38" spans="5:9" x14ac:dyDescent="0.3">
      <c r="E38" s="976"/>
      <c r="F38" s="976"/>
      <c r="G38" s="976"/>
      <c r="H38" s="976"/>
      <c r="I38" s="976"/>
    </row>
    <row r="39" spans="5:9" x14ac:dyDescent="0.3">
      <c r="E39" s="976"/>
      <c r="F39" s="976"/>
      <c r="G39" s="976"/>
      <c r="H39" s="976"/>
      <c r="I39" s="976"/>
    </row>
    <row r="40" spans="5:9" x14ac:dyDescent="0.3">
      <c r="E40" s="976"/>
      <c r="F40" s="976"/>
      <c r="G40" s="976"/>
      <c r="H40" s="976"/>
      <c r="I40" s="976"/>
    </row>
    <row r="41" spans="5:9" x14ac:dyDescent="0.3">
      <c r="E41" s="976"/>
      <c r="F41" s="976"/>
      <c r="G41" s="976"/>
      <c r="H41" s="976"/>
      <c r="I41" s="976"/>
    </row>
    <row r="42" spans="5:9" x14ac:dyDescent="0.3">
      <c r="E42" s="976"/>
      <c r="F42" s="976"/>
      <c r="G42" s="976"/>
      <c r="H42" s="976"/>
      <c r="I42" s="976"/>
    </row>
    <row r="43" spans="5:9" x14ac:dyDescent="0.3">
      <c r="E43" s="976"/>
      <c r="F43" s="976"/>
      <c r="G43" s="976"/>
      <c r="H43" s="976"/>
      <c r="I43" s="976"/>
    </row>
    <row r="44" spans="5:9" x14ac:dyDescent="0.3">
      <c r="E44" s="976"/>
      <c r="F44" s="976"/>
      <c r="G44" s="976"/>
      <c r="H44" s="976"/>
      <c r="I44" s="976"/>
    </row>
    <row r="45" spans="5:9" x14ac:dyDescent="0.3">
      <c r="E45" s="976"/>
      <c r="F45" s="976"/>
      <c r="G45" s="976"/>
      <c r="H45" s="976"/>
      <c r="I45" s="976"/>
    </row>
    <row r="46" spans="5:9" x14ac:dyDescent="0.3">
      <c r="E46" s="976"/>
      <c r="F46" s="976"/>
      <c r="G46" s="976"/>
      <c r="H46" s="976"/>
      <c r="I46" s="976"/>
    </row>
    <row r="47" spans="5:9" x14ac:dyDescent="0.3">
      <c r="E47" s="976"/>
      <c r="F47" s="976"/>
      <c r="G47" s="976"/>
      <c r="H47" s="976"/>
      <c r="I47" s="976"/>
    </row>
    <row r="48" spans="5:9" x14ac:dyDescent="0.3">
      <c r="E48" s="976"/>
      <c r="F48" s="976"/>
      <c r="G48" s="976"/>
      <c r="H48" s="976"/>
      <c r="I48" s="976"/>
    </row>
    <row r="49" spans="5:9" x14ac:dyDescent="0.3">
      <c r="E49" s="976"/>
      <c r="F49" s="976"/>
      <c r="G49" s="976"/>
      <c r="H49" s="976"/>
      <c r="I49" s="976"/>
    </row>
    <row r="50" spans="5:9" x14ac:dyDescent="0.3">
      <c r="E50" s="976"/>
      <c r="F50" s="976"/>
      <c r="G50" s="976"/>
      <c r="H50" s="976"/>
      <c r="I50" s="976"/>
    </row>
    <row r="51" spans="5:9" x14ac:dyDescent="0.3">
      <c r="E51" s="976"/>
      <c r="F51" s="976"/>
      <c r="G51" s="976"/>
      <c r="H51" s="976"/>
      <c r="I51" s="976"/>
    </row>
    <row r="52" spans="5:9" x14ac:dyDescent="0.3">
      <c r="E52" s="976"/>
      <c r="F52" s="976"/>
      <c r="G52" s="976"/>
      <c r="H52" s="976"/>
      <c r="I52" s="976"/>
    </row>
    <row r="53" spans="5:9" x14ac:dyDescent="0.3">
      <c r="E53" s="976"/>
      <c r="F53" s="976"/>
      <c r="G53" s="976"/>
      <c r="H53" s="976"/>
      <c r="I53" s="976"/>
    </row>
    <row r="54" spans="5:9" x14ac:dyDescent="0.3">
      <c r="E54" s="976"/>
      <c r="F54" s="976"/>
      <c r="G54" s="976"/>
      <c r="H54" s="976"/>
      <c r="I54" s="976"/>
    </row>
    <row r="55" spans="5:9" x14ac:dyDescent="0.3">
      <c r="E55" s="976"/>
      <c r="F55" s="976"/>
      <c r="G55" s="976"/>
      <c r="H55" s="976"/>
      <c r="I55" s="976"/>
    </row>
    <row r="56" spans="5:9" x14ac:dyDescent="0.3">
      <c r="E56" s="976"/>
      <c r="F56" s="976"/>
      <c r="G56" s="976"/>
      <c r="H56" s="976"/>
      <c r="I56" s="976"/>
    </row>
    <row r="57" spans="5:9" x14ac:dyDescent="0.3">
      <c r="E57" s="976"/>
      <c r="F57" s="976"/>
      <c r="G57" s="976"/>
      <c r="H57" s="976"/>
      <c r="I57" s="976"/>
    </row>
    <row r="58" spans="5:9" x14ac:dyDescent="0.3">
      <c r="E58" s="976"/>
      <c r="F58" s="976"/>
      <c r="G58" s="976"/>
      <c r="H58" s="976"/>
      <c r="I58" s="976"/>
    </row>
    <row r="59" spans="5:9" x14ac:dyDescent="0.3">
      <c r="E59" s="976"/>
      <c r="F59" s="976"/>
      <c r="G59" s="976"/>
      <c r="H59" s="976"/>
      <c r="I59" s="976"/>
    </row>
    <row r="60" spans="5:9" x14ac:dyDescent="0.3">
      <c r="E60" s="976"/>
      <c r="F60" s="976"/>
      <c r="G60" s="976"/>
      <c r="H60" s="976"/>
      <c r="I60" s="976"/>
    </row>
    <row r="61" spans="5:9" x14ac:dyDescent="0.3">
      <c r="E61" s="976"/>
      <c r="F61" s="976"/>
      <c r="G61" s="976"/>
      <c r="H61" s="976"/>
      <c r="I61" s="976"/>
    </row>
    <row r="62" spans="5:9" x14ac:dyDescent="0.3">
      <c r="E62" s="976"/>
      <c r="F62" s="976"/>
      <c r="G62" s="976"/>
      <c r="H62" s="976"/>
      <c r="I62" s="976"/>
    </row>
    <row r="63" spans="5:9" x14ac:dyDescent="0.3">
      <c r="E63" s="976"/>
      <c r="F63" s="976"/>
      <c r="G63" s="976"/>
      <c r="H63" s="976"/>
      <c r="I63" s="976"/>
    </row>
  </sheetData>
  <mergeCells count="3">
    <mergeCell ref="H1:J1"/>
    <mergeCell ref="K7:K9"/>
    <mergeCell ref="K11:K12"/>
  </mergeCells>
  <hyperlinks>
    <hyperlink ref="O5" r:id="rId1" xr:uid="{936E675B-5BC5-4F16-B158-DC24A93AF443}"/>
    <hyperlink ref="O6" r:id="rId2" xr:uid="{6065220F-13B3-44B1-8CE7-76DA1E45D114}"/>
    <hyperlink ref="O9" r:id="rId3" xr:uid="{7CBF9B9E-1D22-4AFD-97C6-343C0264B177}"/>
    <hyperlink ref="O7" r:id="rId4" xr:uid="{A0516D44-78D0-4C10-B95D-07E37D4C3C81}"/>
    <hyperlink ref="O8" r:id="rId5" xr:uid="{7C5FAAE4-F640-4505-985E-14D172AD17CB}"/>
    <hyperlink ref="O10" r:id="rId6" xr:uid="{9A4AFDA0-2C4E-4B38-BF5F-C77F6C08D2AB}"/>
    <hyperlink ref="O11" r:id="rId7" xr:uid="{6F8D67FC-8645-4F45-9D4A-A9B0365654F0}"/>
    <hyperlink ref="O12" r:id="rId8" xr:uid="{E304EF71-CF93-43EC-9DA7-D98A3DB917F0}"/>
    <hyperlink ref="O13" r:id="rId9" xr:uid="{10A05691-AA9F-45AA-A2B2-14DCF9BBF40B}"/>
    <hyperlink ref="O14" r:id="rId10" xr:uid="{B134B81A-DBA0-4F6E-A8FF-300BF391C62D}"/>
    <hyperlink ref="O15" r:id="rId11" xr:uid="{92B9A26D-291D-41B2-A625-58629B0E8B52}"/>
    <hyperlink ref="O16" r:id="rId12" display="https://www.webstaurantstore.com/regency-49-1-2-16-gauge-stainless-steel-one-compartment-commercial-sink-with-stainless-steel-legs-cross-bracing-and-1-drainboard-23-x-23-x-12-bowl/60S1232324XL.html?utm_source=google&amp;utm_medium=cpc&amp;utm_campaign=GoogleShopping&amp;gclid=EAIaIQobChMI_PDJwKXxhAMVLwutBh2oHAL_EAQYBCABEgJD_fD_BwE" xr:uid="{FD54B9B5-7667-47D6-85E6-1CB30E0B8FE1}"/>
  </hyperlinks>
  <pageMargins left="0.7" right="0.7" top="0.75" bottom="0.75" header="0.3" footer="0.3"/>
  <drawing r:id="rId1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43CDB-6710-49E8-BEF3-54314A1E3624}">
  <dimension ref="A2:L204"/>
  <sheetViews>
    <sheetView tabSelected="1" topLeftCell="A83" zoomScaleNormal="100" workbookViewId="0">
      <selection activeCell="N101" sqref="N101"/>
    </sheetView>
  </sheetViews>
  <sheetFormatPr defaultColWidth="8.88671875" defaultRowHeight="14.4" x14ac:dyDescent="0.3"/>
  <cols>
    <col min="1" max="1" width="8.88671875" style="974"/>
    <col min="2" max="16384" width="8.88671875" style="971"/>
  </cols>
  <sheetData>
    <row r="2" spans="1:1" x14ac:dyDescent="0.3">
      <c r="A2" s="974">
        <v>1</v>
      </c>
    </row>
    <row r="22" spans="1:1" x14ac:dyDescent="0.3">
      <c r="A22" s="974">
        <v>2</v>
      </c>
    </row>
    <row r="37" spans="1:1" x14ac:dyDescent="0.3">
      <c r="A37" s="974" t="s">
        <v>1079</v>
      </c>
    </row>
    <row r="66" spans="1:1" x14ac:dyDescent="0.3">
      <c r="A66" s="974">
        <v>6</v>
      </c>
    </row>
    <row r="93" spans="1:1" x14ac:dyDescent="0.3">
      <c r="A93" s="993" t="s">
        <v>1080</v>
      </c>
    </row>
    <row r="123" spans="1:1" x14ac:dyDescent="0.3">
      <c r="A123" s="974">
        <v>9</v>
      </c>
    </row>
    <row r="151" spans="1:12" x14ac:dyDescent="0.3">
      <c r="A151" s="974">
        <v>10</v>
      </c>
      <c r="L151" s="971" t="s">
        <v>1081</v>
      </c>
    </row>
    <row r="191" spans="1:1" x14ac:dyDescent="0.3">
      <c r="A191" s="974">
        <v>11</v>
      </c>
    </row>
    <row r="204" spans="1:1" x14ac:dyDescent="0.3">
      <c r="A204" s="974">
        <v>12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13AA4-624F-42CA-9E39-1F940C259CCD}">
  <dimension ref="B3:O19"/>
  <sheetViews>
    <sheetView topLeftCell="A4" zoomScale="70" zoomScaleNormal="70" workbookViewId="0">
      <selection activeCell="I17" sqref="I17"/>
    </sheetView>
  </sheetViews>
  <sheetFormatPr defaultRowHeight="13.2" x14ac:dyDescent="0.25"/>
  <cols>
    <col min="3" max="3" width="25.6640625" bestFit="1" customWidth="1"/>
    <col min="4" max="4" width="16.21875" bestFit="1" customWidth="1"/>
    <col min="5" max="5" width="16.33203125" customWidth="1"/>
    <col min="6" max="6" width="14.6640625" customWidth="1"/>
    <col min="7" max="7" width="10.77734375" customWidth="1"/>
    <col min="8" max="8" width="13.109375" customWidth="1"/>
  </cols>
  <sheetData>
    <row r="3" spans="2:15" s="996" customFormat="1" x14ac:dyDescent="0.25">
      <c r="B3" s="996" t="s">
        <v>1082</v>
      </c>
      <c r="D3" s="996" t="s">
        <v>462</v>
      </c>
      <c r="E3" s="997" t="s">
        <v>1095</v>
      </c>
      <c r="O3"/>
    </row>
    <row r="4" spans="2:15" x14ac:dyDescent="0.25">
      <c r="B4" t="s">
        <v>1084</v>
      </c>
    </row>
    <row r="5" spans="2:15" x14ac:dyDescent="0.25">
      <c r="C5" t="s">
        <v>1086</v>
      </c>
      <c r="D5" t="s">
        <v>1097</v>
      </c>
    </row>
    <row r="6" spans="2:15" x14ac:dyDescent="0.25">
      <c r="C6" t="s">
        <v>1087</v>
      </c>
      <c r="D6" t="s">
        <v>1098</v>
      </c>
    </row>
    <row r="7" spans="2:15" x14ac:dyDescent="0.25">
      <c r="C7" t="s">
        <v>1088</v>
      </c>
      <c r="D7" t="s">
        <v>1099</v>
      </c>
    </row>
    <row r="8" spans="2:15" x14ac:dyDescent="0.25">
      <c r="C8" t="s">
        <v>1089</v>
      </c>
      <c r="D8" t="s">
        <v>1100</v>
      </c>
    </row>
    <row r="10" spans="2:15" x14ac:dyDescent="0.25">
      <c r="B10" t="s">
        <v>1083</v>
      </c>
      <c r="E10" t="s">
        <v>1096</v>
      </c>
    </row>
    <row r="11" spans="2:15" x14ac:dyDescent="0.25">
      <c r="C11" t="s">
        <v>1090</v>
      </c>
    </row>
    <row r="12" spans="2:15" x14ac:dyDescent="0.25">
      <c r="C12" t="s">
        <v>1091</v>
      </c>
    </row>
    <row r="13" spans="2:15" x14ac:dyDescent="0.25">
      <c r="C13" t="s">
        <v>1092</v>
      </c>
    </row>
    <row r="14" spans="2:15" x14ac:dyDescent="0.25">
      <c r="B14" t="s">
        <v>1085</v>
      </c>
    </row>
    <row r="15" spans="2:15" x14ac:dyDescent="0.25">
      <c r="C15" t="s">
        <v>1093</v>
      </c>
    </row>
    <row r="16" spans="2:15" x14ac:dyDescent="0.25">
      <c r="C16" t="s">
        <v>1094</v>
      </c>
    </row>
    <row r="17" spans="2:10" x14ac:dyDescent="0.25">
      <c r="B17" t="s">
        <v>1101</v>
      </c>
      <c r="C17" s="999" t="s">
        <v>1105</v>
      </c>
      <c r="D17" t="s">
        <v>1103</v>
      </c>
      <c r="E17" s="999" t="s">
        <v>1104</v>
      </c>
      <c r="F17" s="999" t="s">
        <v>1106</v>
      </c>
      <c r="G17" s="999" t="s">
        <v>1107</v>
      </c>
      <c r="H17" s="999" t="s">
        <v>1108</v>
      </c>
      <c r="I17" s="999" t="s">
        <v>1110</v>
      </c>
      <c r="J17" s="999" t="s">
        <v>1109</v>
      </c>
    </row>
    <row r="18" spans="2:10" x14ac:dyDescent="0.25">
      <c r="C18" s="998">
        <v>5</v>
      </c>
      <c r="D18" s="998">
        <v>60</v>
      </c>
      <c r="E18">
        <f>D18/(C18+1)</f>
        <v>10</v>
      </c>
      <c r="F18">
        <f>4*(C18+1)</f>
        <v>24</v>
      </c>
      <c r="G18">
        <f>(30-(1/2))/2</f>
        <v>14.75</v>
      </c>
      <c r="H18">
        <v>72</v>
      </c>
      <c r="I18">
        <f>H18*G18/144</f>
        <v>7.375</v>
      </c>
      <c r="J18">
        <f>I18*F18</f>
        <v>177</v>
      </c>
    </row>
    <row r="19" spans="2:10" x14ac:dyDescent="0.25">
      <c r="C19" s="999" t="s">
        <v>1102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202E54-82B2-4F42-ABCE-39F35B2F5422}">
  <dimension ref="B1:Y62"/>
  <sheetViews>
    <sheetView workbookViewId="0">
      <selection activeCell="C7" sqref="C7"/>
    </sheetView>
  </sheetViews>
  <sheetFormatPr defaultColWidth="9.109375" defaultRowHeight="13.8" x14ac:dyDescent="0.3"/>
  <cols>
    <col min="1" max="1" width="1.77734375" style="543" customWidth="1"/>
    <col min="2" max="2" width="24.5546875" style="543" bestFit="1" customWidth="1"/>
    <col min="3" max="3" width="9.5546875" style="543" bestFit="1" customWidth="1"/>
    <col min="4" max="4" width="15.77734375" style="543" bestFit="1" customWidth="1"/>
    <col min="5" max="5" width="5.77734375" style="543" customWidth="1"/>
    <col min="6" max="6" width="1.77734375" style="543" customWidth="1"/>
    <col min="7" max="7" width="24.5546875" style="543" bestFit="1" customWidth="1"/>
    <col min="8" max="8" width="9.5546875" style="543" bestFit="1" customWidth="1"/>
    <col min="9" max="9" width="15.77734375" style="543" bestFit="1" customWidth="1"/>
    <col min="10" max="10" width="5.77734375" style="543" customWidth="1"/>
    <col min="11" max="11" width="1.77734375" style="543" customWidth="1"/>
    <col min="12" max="12" width="24.5546875" style="543" bestFit="1" customWidth="1"/>
    <col min="13" max="13" width="9.5546875" style="543" bestFit="1" customWidth="1"/>
    <col min="14" max="14" width="15.77734375" style="543" bestFit="1" customWidth="1"/>
    <col min="15" max="15" width="5.77734375" style="543" customWidth="1"/>
    <col min="16" max="16" width="1.77734375" style="543" customWidth="1"/>
    <col min="17" max="17" width="24.5546875" style="543" bestFit="1" customWidth="1"/>
    <col min="18" max="18" width="9.5546875" style="543" bestFit="1" customWidth="1"/>
    <col min="19" max="19" width="15.77734375" style="543" bestFit="1" customWidth="1"/>
    <col min="20" max="20" width="5.77734375" style="543" customWidth="1"/>
    <col min="21" max="21" width="1.77734375" style="543" customWidth="1"/>
    <col min="22" max="22" width="24.5546875" style="543" bestFit="1" customWidth="1"/>
    <col min="23" max="23" width="9.5546875" style="543" bestFit="1" customWidth="1"/>
    <col min="24" max="24" width="15.77734375" style="543" bestFit="1" customWidth="1"/>
    <col min="25" max="25" width="5.77734375" style="543" customWidth="1"/>
    <col min="26" max="16384" width="9.109375" style="543"/>
  </cols>
  <sheetData>
    <row r="1" spans="2:25" ht="14.4" thickBot="1" x14ac:dyDescent="0.35"/>
    <row r="2" spans="2:25" ht="14.4" thickBot="1" x14ac:dyDescent="0.35">
      <c r="B2" s="1012" t="s">
        <v>133</v>
      </c>
      <c r="C2" s="1013"/>
      <c r="D2" s="1013"/>
      <c r="E2" s="1015"/>
      <c r="G2" s="1012" t="s">
        <v>672</v>
      </c>
      <c r="H2" s="1013"/>
      <c r="I2" s="1013"/>
      <c r="J2" s="1015"/>
      <c r="L2" s="1012" t="s">
        <v>673</v>
      </c>
      <c r="M2" s="1013"/>
      <c r="N2" s="1013"/>
      <c r="O2" s="1015"/>
      <c r="Q2" s="1012" t="s">
        <v>674</v>
      </c>
      <c r="R2" s="1013"/>
      <c r="S2" s="1013"/>
      <c r="T2" s="1015"/>
      <c r="V2" s="1012" t="s">
        <v>675</v>
      </c>
      <c r="W2" s="1013"/>
      <c r="X2" s="1013"/>
      <c r="Y2" s="1015"/>
    </row>
    <row r="3" spans="2:25" x14ac:dyDescent="0.3">
      <c r="B3" s="543" t="s">
        <v>909</v>
      </c>
      <c r="C3" s="865">
        <v>72</v>
      </c>
      <c r="G3" s="543" t="s">
        <v>909</v>
      </c>
      <c r="H3" s="545">
        <v>72</v>
      </c>
      <c r="L3" s="543" t="s">
        <v>909</v>
      </c>
      <c r="M3" s="545">
        <v>72</v>
      </c>
      <c r="Q3" s="543" t="s">
        <v>909</v>
      </c>
      <c r="R3" s="545">
        <v>72</v>
      </c>
      <c r="V3" s="543" t="s">
        <v>909</v>
      </c>
      <c r="W3" s="545">
        <v>72</v>
      </c>
    </row>
    <row r="4" spans="2:25" x14ac:dyDescent="0.3">
      <c r="B4" s="543" t="s">
        <v>886</v>
      </c>
      <c r="C4" s="545">
        <v>12</v>
      </c>
      <c r="G4" s="543" t="s">
        <v>886</v>
      </c>
      <c r="H4" s="545">
        <v>12</v>
      </c>
      <c r="L4" s="543" t="s">
        <v>886</v>
      </c>
      <c r="M4" s="545">
        <v>12</v>
      </c>
      <c r="Q4" s="543" t="s">
        <v>886</v>
      </c>
      <c r="R4" s="545">
        <v>12</v>
      </c>
      <c r="V4" s="543" t="s">
        <v>886</v>
      </c>
      <c r="W4" s="545">
        <v>12</v>
      </c>
    </row>
    <row r="5" spans="2:25" x14ac:dyDescent="0.3">
      <c r="B5" s="543" t="s">
        <v>889</v>
      </c>
      <c r="C5" s="545">
        <v>30</v>
      </c>
      <c r="G5" s="543" t="s">
        <v>889</v>
      </c>
      <c r="H5" s="545">
        <v>30</v>
      </c>
      <c r="L5" s="543" t="s">
        <v>889</v>
      </c>
      <c r="M5" s="545">
        <v>30</v>
      </c>
      <c r="Q5" s="543" t="s">
        <v>889</v>
      </c>
      <c r="R5" s="545">
        <v>30</v>
      </c>
      <c r="V5" s="543" t="s">
        <v>889</v>
      </c>
      <c r="W5" s="545">
        <v>30</v>
      </c>
    </row>
    <row r="6" spans="2:25" x14ac:dyDescent="0.3">
      <c r="B6" s="543" t="s">
        <v>883</v>
      </c>
      <c r="C6" s="896">
        <v>0.2</v>
      </c>
      <c r="D6" s="544" t="s">
        <v>910</v>
      </c>
      <c r="E6" s="545">
        <f>ROUND(C6*$C$3,0.5)</f>
        <v>14</v>
      </c>
      <c r="G6" s="543" t="s">
        <v>883</v>
      </c>
      <c r="H6" s="896">
        <v>0.2</v>
      </c>
      <c r="I6" s="544" t="s">
        <v>910</v>
      </c>
      <c r="J6" s="545">
        <f>ROUND(H6*$C$3,0.5)</f>
        <v>14</v>
      </c>
      <c r="L6" s="543" t="s">
        <v>883</v>
      </c>
      <c r="M6" s="896">
        <v>0.2</v>
      </c>
      <c r="N6" s="544" t="s">
        <v>910</v>
      </c>
      <c r="O6" s="545">
        <f>ROUND(M6*$C$3,0.5)</f>
        <v>14</v>
      </c>
      <c r="Q6" s="543" t="s">
        <v>883</v>
      </c>
      <c r="R6" s="896">
        <v>0.2</v>
      </c>
      <c r="S6" s="544" t="s">
        <v>910</v>
      </c>
      <c r="T6" s="545">
        <f>ROUND(R6*$C$3,0.5)</f>
        <v>14</v>
      </c>
      <c r="V6" s="543" t="s">
        <v>883</v>
      </c>
      <c r="W6" s="896">
        <v>0.2</v>
      </c>
      <c r="X6" s="544" t="s">
        <v>910</v>
      </c>
      <c r="Y6" s="545">
        <f>ROUND(W6*$C$3,0.5)</f>
        <v>14</v>
      </c>
    </row>
    <row r="7" spans="2:25" x14ac:dyDescent="0.3">
      <c r="B7" s="543" t="s">
        <v>888</v>
      </c>
      <c r="C7" s="882">
        <f>1-C6</f>
        <v>0.8</v>
      </c>
      <c r="D7" s="544" t="s">
        <v>911</v>
      </c>
      <c r="E7" s="545">
        <f>ROUND(C7*$C$3,0.5)</f>
        <v>58</v>
      </c>
      <c r="G7" s="543" t="s">
        <v>888</v>
      </c>
      <c r="H7" s="882">
        <f>1-H6</f>
        <v>0.8</v>
      </c>
      <c r="I7" s="544" t="s">
        <v>911</v>
      </c>
      <c r="J7" s="545">
        <f>ROUND(H7*$C$3,0.5)</f>
        <v>58</v>
      </c>
      <c r="L7" s="543" t="s">
        <v>888</v>
      </c>
      <c r="M7" s="882">
        <f>1-M6</f>
        <v>0.8</v>
      </c>
      <c r="N7" s="544" t="s">
        <v>911</v>
      </c>
      <c r="O7" s="545">
        <f>ROUND(M7*$C$3,0.5)</f>
        <v>58</v>
      </c>
      <c r="Q7" s="543" t="s">
        <v>888</v>
      </c>
      <c r="R7" s="882">
        <f>1-R6</f>
        <v>0.8</v>
      </c>
      <c r="S7" s="544" t="s">
        <v>911</v>
      </c>
      <c r="T7" s="545">
        <f>ROUND(R7*$C$3,0.5)</f>
        <v>58</v>
      </c>
      <c r="V7" s="543" t="s">
        <v>888</v>
      </c>
      <c r="W7" s="882">
        <f>1-W6</f>
        <v>0.8</v>
      </c>
      <c r="X7" s="544" t="s">
        <v>911</v>
      </c>
      <c r="Y7" s="545">
        <f>ROUND(W7*$C$3,0.5)</f>
        <v>58</v>
      </c>
    </row>
    <row r="8" spans="2:25" x14ac:dyDescent="0.3">
      <c r="B8" s="543" t="s">
        <v>885</v>
      </c>
      <c r="C8" s="678">
        <v>0</v>
      </c>
      <c r="G8" s="543" t="s">
        <v>885</v>
      </c>
      <c r="H8" s="678">
        <v>60</v>
      </c>
      <c r="L8" s="543" t="s">
        <v>885</v>
      </c>
      <c r="M8" s="546">
        <f>H8+5</f>
        <v>65</v>
      </c>
      <c r="Q8" s="543" t="s">
        <v>885</v>
      </c>
      <c r="R8" s="546">
        <f>M8+5</f>
        <v>70</v>
      </c>
      <c r="V8" s="543" t="s">
        <v>885</v>
      </c>
      <c r="W8" s="546">
        <f>R8+5</f>
        <v>75</v>
      </c>
    </row>
    <row r="9" spans="2:25" x14ac:dyDescent="0.3">
      <c r="B9" s="543" t="s">
        <v>884</v>
      </c>
      <c r="C9" s="678">
        <v>0</v>
      </c>
      <c r="G9" s="543" t="s">
        <v>884</v>
      </c>
      <c r="H9" s="678">
        <v>680</v>
      </c>
      <c r="L9" s="543" t="s">
        <v>884</v>
      </c>
      <c r="M9" s="546">
        <f>H9+20</f>
        <v>700</v>
      </c>
      <c r="Q9" s="543" t="s">
        <v>884</v>
      </c>
      <c r="R9" s="546">
        <f>M9+20</f>
        <v>720</v>
      </c>
      <c r="V9" s="543" t="s">
        <v>884</v>
      </c>
      <c r="W9" s="546">
        <f>R9+20</f>
        <v>740</v>
      </c>
    </row>
    <row r="10" spans="2:25" x14ac:dyDescent="0.3">
      <c r="B10" s="543" t="s">
        <v>894</v>
      </c>
      <c r="C10" s="896">
        <v>0.5</v>
      </c>
      <c r="G10" s="543" t="s">
        <v>894</v>
      </c>
      <c r="H10" s="882">
        <f>C10</f>
        <v>0.5</v>
      </c>
      <c r="L10" s="543" t="s">
        <v>894</v>
      </c>
      <c r="M10" s="882">
        <f>H10</f>
        <v>0.5</v>
      </c>
      <c r="Q10" s="543" t="s">
        <v>894</v>
      </c>
      <c r="R10" s="882">
        <f>M10</f>
        <v>0.5</v>
      </c>
      <c r="V10" s="543" t="s">
        <v>894</v>
      </c>
      <c r="W10" s="882">
        <f>R10</f>
        <v>0.5</v>
      </c>
    </row>
    <row r="11" spans="2:25" x14ac:dyDescent="0.3">
      <c r="B11" s="543" t="s">
        <v>890</v>
      </c>
      <c r="C11" s="896">
        <v>0.75</v>
      </c>
      <c r="G11" s="543" t="s">
        <v>890</v>
      </c>
      <c r="H11" s="882">
        <f>C11</f>
        <v>0.75</v>
      </c>
      <c r="L11" s="543" t="s">
        <v>890</v>
      </c>
      <c r="M11" s="882">
        <f>H11</f>
        <v>0.75</v>
      </c>
      <c r="Q11" s="543" t="s">
        <v>890</v>
      </c>
      <c r="R11" s="882">
        <f>M11</f>
        <v>0.75</v>
      </c>
      <c r="V11" s="543" t="s">
        <v>890</v>
      </c>
      <c r="W11" s="882">
        <f>R11</f>
        <v>0.75</v>
      </c>
    </row>
    <row r="12" spans="2:25" x14ac:dyDescent="0.3">
      <c r="B12" s="543" t="s">
        <v>887</v>
      </c>
      <c r="C12" s="546">
        <f>C5*E6*C8*C10</f>
        <v>0</v>
      </c>
      <c r="G12" s="543" t="s">
        <v>887</v>
      </c>
      <c r="H12" s="546">
        <f>H5*J6*H8*H10</f>
        <v>12600</v>
      </c>
      <c r="L12" s="543" t="s">
        <v>887</v>
      </c>
      <c r="M12" s="546">
        <f>M5*O6*M8*M10</f>
        <v>13650</v>
      </c>
      <c r="Q12" s="543" t="s">
        <v>887</v>
      </c>
      <c r="R12" s="546">
        <f>R5*T6*R8*R10</f>
        <v>14700</v>
      </c>
      <c r="V12" s="543" t="s">
        <v>887</v>
      </c>
      <c r="W12" s="546">
        <f>W5*Y6*W8*W10</f>
        <v>15750</v>
      </c>
    </row>
    <row r="13" spans="2:25" x14ac:dyDescent="0.3">
      <c r="B13" s="543" t="s">
        <v>896</v>
      </c>
      <c r="C13" s="546">
        <f>C12*C4</f>
        <v>0</v>
      </c>
      <c r="G13" s="543" t="s">
        <v>896</v>
      </c>
      <c r="H13" s="546">
        <f>H12*H4</f>
        <v>151200</v>
      </c>
      <c r="L13" s="543" t="s">
        <v>896</v>
      </c>
      <c r="M13" s="546">
        <f>M12*M4</f>
        <v>163800</v>
      </c>
      <c r="Q13" s="543" t="s">
        <v>896</v>
      </c>
      <c r="R13" s="546">
        <f>R12*R4</f>
        <v>176400</v>
      </c>
      <c r="V13" s="543" t="s">
        <v>896</v>
      </c>
      <c r="W13" s="546">
        <f>W12*W4</f>
        <v>189000</v>
      </c>
    </row>
    <row r="15" spans="2:25" x14ac:dyDescent="0.3">
      <c r="B15" s="1024" t="s">
        <v>891</v>
      </c>
      <c r="C15" s="1024"/>
      <c r="D15" s="1024"/>
      <c r="E15" s="1024"/>
      <c r="G15" s="1024" t="s">
        <v>891</v>
      </c>
      <c r="H15" s="1024"/>
      <c r="I15" s="1024"/>
      <c r="J15" s="1024"/>
      <c r="L15" s="1024" t="s">
        <v>891</v>
      </c>
      <c r="M15" s="1024"/>
      <c r="N15" s="1024"/>
      <c r="O15" s="1024"/>
      <c r="Q15" s="1024" t="s">
        <v>891</v>
      </c>
      <c r="R15" s="1024"/>
      <c r="S15" s="1024"/>
      <c r="T15" s="1024"/>
      <c r="V15" s="1024" t="s">
        <v>891</v>
      </c>
      <c r="W15" s="1024"/>
      <c r="X15" s="1024"/>
      <c r="Y15" s="1024"/>
    </row>
    <row r="16" spans="2:25" x14ac:dyDescent="0.3">
      <c r="B16" s="722"/>
      <c r="C16" s="545" t="s">
        <v>892</v>
      </c>
      <c r="D16" s="545" t="s">
        <v>893</v>
      </c>
      <c r="E16" s="722"/>
      <c r="G16" s="722"/>
      <c r="H16" s="545" t="s">
        <v>892</v>
      </c>
      <c r="I16" s="545" t="s">
        <v>893</v>
      </c>
      <c r="J16" s="722"/>
      <c r="L16" s="722"/>
      <c r="M16" s="545" t="s">
        <v>892</v>
      </c>
      <c r="N16" s="545" t="s">
        <v>893</v>
      </c>
      <c r="O16" s="722"/>
      <c r="Q16" s="722"/>
      <c r="R16" s="545" t="s">
        <v>892</v>
      </c>
      <c r="S16" s="545" t="s">
        <v>893</v>
      </c>
      <c r="T16" s="722"/>
      <c r="V16" s="722"/>
      <c r="W16" s="545" t="s">
        <v>892</v>
      </c>
      <c r="X16" s="545" t="s">
        <v>893</v>
      </c>
      <c r="Y16" s="722"/>
    </row>
    <row r="17" spans="2:25" x14ac:dyDescent="0.3">
      <c r="B17" s="543" t="s">
        <v>602</v>
      </c>
      <c r="C17" s="900">
        <v>0.9</v>
      </c>
      <c r="D17" s="546">
        <f>$E$7*$C$9*$C$11*C17</f>
        <v>0</v>
      </c>
      <c r="G17" s="543" t="s">
        <v>602</v>
      </c>
      <c r="H17" s="899">
        <f>C17</f>
        <v>0.9</v>
      </c>
      <c r="I17" s="546">
        <f>$J$7*$H$9*$H$11*H17</f>
        <v>26622</v>
      </c>
      <c r="L17" s="543" t="s">
        <v>602</v>
      </c>
      <c r="M17" s="899">
        <f>H17</f>
        <v>0.9</v>
      </c>
      <c r="N17" s="546">
        <f>$O$7*$M$9*$M$11*M17</f>
        <v>27405</v>
      </c>
      <c r="Q17" s="543" t="s">
        <v>602</v>
      </c>
      <c r="R17" s="899">
        <f>M17</f>
        <v>0.9</v>
      </c>
      <c r="S17" s="546">
        <f>$T$7*$R$9*$R$11*R17</f>
        <v>28188</v>
      </c>
      <c r="V17" s="543" t="s">
        <v>602</v>
      </c>
      <c r="W17" s="899">
        <f>R17</f>
        <v>0.9</v>
      </c>
      <c r="X17" s="546">
        <f>$Y$7*$W$9*$W$11*W17</f>
        <v>28971</v>
      </c>
    </row>
    <row r="18" spans="2:25" x14ac:dyDescent="0.3">
      <c r="B18" s="543" t="s">
        <v>603</v>
      </c>
      <c r="C18" s="900">
        <v>1</v>
      </c>
      <c r="D18" s="546">
        <f t="shared" ref="D18:D28" si="0">$E$7*$C$9*$C$11*C18</f>
        <v>0</v>
      </c>
      <c r="G18" s="543" t="s">
        <v>603</v>
      </c>
      <c r="H18" s="899">
        <v>1</v>
      </c>
      <c r="I18" s="546">
        <f t="shared" ref="I18:I28" si="1">$J$7*$H$9*$H$11*H18</f>
        <v>29580</v>
      </c>
      <c r="L18" s="543" t="s">
        <v>603</v>
      </c>
      <c r="M18" s="899">
        <v>1</v>
      </c>
      <c r="N18" s="546">
        <f t="shared" ref="N18:N28" si="2">$O$7*$M$9*$M$11*M18</f>
        <v>30450</v>
      </c>
      <c r="Q18" s="543" t="s">
        <v>603</v>
      </c>
      <c r="R18" s="899">
        <v>1</v>
      </c>
      <c r="S18" s="546">
        <f t="shared" ref="S18:S28" si="3">$T$7*$R$9*$R$11*R18</f>
        <v>31320</v>
      </c>
      <c r="V18" s="543" t="s">
        <v>603</v>
      </c>
      <c r="W18" s="899">
        <v>1</v>
      </c>
      <c r="X18" s="546">
        <f t="shared" ref="X18:X28" si="4">$Y$7*$W$9*$W$11*W18</f>
        <v>32190</v>
      </c>
    </row>
    <row r="19" spans="2:25" x14ac:dyDescent="0.3">
      <c r="B19" s="543" t="s">
        <v>604</v>
      </c>
      <c r="C19" s="900">
        <v>1.1499999999999999</v>
      </c>
      <c r="D19" s="546">
        <f t="shared" si="0"/>
        <v>0</v>
      </c>
      <c r="G19" s="543" t="s">
        <v>604</v>
      </c>
      <c r="H19" s="899">
        <v>1.1000000000000001</v>
      </c>
      <c r="I19" s="546">
        <f t="shared" si="1"/>
        <v>32538.000000000004</v>
      </c>
      <c r="L19" s="543" t="s">
        <v>604</v>
      </c>
      <c r="M19" s="899">
        <v>1.1000000000000001</v>
      </c>
      <c r="N19" s="546">
        <f t="shared" si="2"/>
        <v>33495</v>
      </c>
      <c r="Q19" s="543" t="s">
        <v>604</v>
      </c>
      <c r="R19" s="899">
        <v>1.1000000000000001</v>
      </c>
      <c r="S19" s="546">
        <f t="shared" si="3"/>
        <v>34452</v>
      </c>
      <c r="V19" s="543" t="s">
        <v>604</v>
      </c>
      <c r="W19" s="899">
        <v>1.1000000000000001</v>
      </c>
      <c r="X19" s="546">
        <f t="shared" si="4"/>
        <v>35409</v>
      </c>
    </row>
    <row r="20" spans="2:25" x14ac:dyDescent="0.3">
      <c r="B20" s="543" t="s">
        <v>605</v>
      </c>
      <c r="C20" s="900">
        <v>1.1499999999999999</v>
      </c>
      <c r="D20" s="546">
        <f t="shared" si="0"/>
        <v>0</v>
      </c>
      <c r="G20" s="543" t="s">
        <v>605</v>
      </c>
      <c r="H20" s="899">
        <v>1.1000000000000001</v>
      </c>
      <c r="I20" s="546">
        <f t="shared" si="1"/>
        <v>32538.000000000004</v>
      </c>
      <c r="L20" s="543" t="s">
        <v>605</v>
      </c>
      <c r="M20" s="899">
        <v>1.1000000000000001</v>
      </c>
      <c r="N20" s="546">
        <f t="shared" si="2"/>
        <v>33495</v>
      </c>
      <c r="Q20" s="543" t="s">
        <v>605</v>
      </c>
      <c r="R20" s="899">
        <v>1.1000000000000001</v>
      </c>
      <c r="S20" s="546">
        <f t="shared" si="3"/>
        <v>34452</v>
      </c>
      <c r="V20" s="543" t="s">
        <v>605</v>
      </c>
      <c r="W20" s="899">
        <v>1.1000000000000001</v>
      </c>
      <c r="X20" s="546">
        <f t="shared" si="4"/>
        <v>35409</v>
      </c>
    </row>
    <row r="21" spans="2:25" x14ac:dyDescent="0.3">
      <c r="B21" s="543" t="s">
        <v>606</v>
      </c>
      <c r="C21" s="900">
        <v>1.1000000000000001</v>
      </c>
      <c r="D21" s="546">
        <f t="shared" si="0"/>
        <v>0</v>
      </c>
      <c r="G21" s="543" t="s">
        <v>606</v>
      </c>
      <c r="H21" s="899">
        <v>1.05</v>
      </c>
      <c r="I21" s="546">
        <f t="shared" si="1"/>
        <v>31059</v>
      </c>
      <c r="L21" s="543" t="s">
        <v>606</v>
      </c>
      <c r="M21" s="899">
        <v>1.05</v>
      </c>
      <c r="N21" s="546">
        <f t="shared" si="2"/>
        <v>31972.5</v>
      </c>
      <c r="Q21" s="543" t="s">
        <v>606</v>
      </c>
      <c r="R21" s="899">
        <v>1.05</v>
      </c>
      <c r="S21" s="546">
        <f t="shared" si="3"/>
        <v>32886</v>
      </c>
      <c r="V21" s="543" t="s">
        <v>606</v>
      </c>
      <c r="W21" s="899">
        <v>1.05</v>
      </c>
      <c r="X21" s="546">
        <f t="shared" si="4"/>
        <v>33799.5</v>
      </c>
    </row>
    <row r="22" spans="2:25" x14ac:dyDescent="0.3">
      <c r="B22" s="543" t="s">
        <v>607</v>
      </c>
      <c r="C22" s="900">
        <v>1</v>
      </c>
      <c r="D22" s="546">
        <f t="shared" si="0"/>
        <v>0</v>
      </c>
      <c r="G22" s="543" t="s">
        <v>607</v>
      </c>
      <c r="H22" s="899">
        <v>1</v>
      </c>
      <c r="I22" s="546">
        <f t="shared" si="1"/>
        <v>29580</v>
      </c>
      <c r="L22" s="543" t="s">
        <v>607</v>
      </c>
      <c r="M22" s="899">
        <v>1</v>
      </c>
      <c r="N22" s="546">
        <f t="shared" si="2"/>
        <v>30450</v>
      </c>
      <c r="Q22" s="543" t="s">
        <v>607</v>
      </c>
      <c r="R22" s="899">
        <v>1</v>
      </c>
      <c r="S22" s="546">
        <f t="shared" si="3"/>
        <v>31320</v>
      </c>
      <c r="V22" s="543" t="s">
        <v>607</v>
      </c>
      <c r="W22" s="899">
        <v>1</v>
      </c>
      <c r="X22" s="546">
        <f t="shared" si="4"/>
        <v>32190</v>
      </c>
    </row>
    <row r="23" spans="2:25" x14ac:dyDescent="0.3">
      <c r="B23" s="543" t="s">
        <v>596</v>
      </c>
      <c r="C23" s="900">
        <v>0.9</v>
      </c>
      <c r="D23" s="546">
        <f t="shared" si="0"/>
        <v>0</v>
      </c>
      <c r="G23" s="543" t="s">
        <v>596</v>
      </c>
      <c r="H23" s="899">
        <v>0.9</v>
      </c>
      <c r="I23" s="546">
        <f t="shared" si="1"/>
        <v>26622</v>
      </c>
      <c r="L23" s="543" t="s">
        <v>596</v>
      </c>
      <c r="M23" s="899">
        <v>0.9</v>
      </c>
      <c r="N23" s="546">
        <f t="shared" si="2"/>
        <v>27405</v>
      </c>
      <c r="Q23" s="543" t="s">
        <v>596</v>
      </c>
      <c r="R23" s="899">
        <v>0.9</v>
      </c>
      <c r="S23" s="546">
        <f t="shared" si="3"/>
        <v>28188</v>
      </c>
      <c r="V23" s="543" t="s">
        <v>596</v>
      </c>
      <c r="W23" s="899">
        <v>0.9</v>
      </c>
      <c r="X23" s="546">
        <f t="shared" si="4"/>
        <v>28971</v>
      </c>
    </row>
    <row r="24" spans="2:25" x14ac:dyDescent="0.3">
      <c r="B24" s="543" t="s">
        <v>597</v>
      </c>
      <c r="C24" s="900">
        <v>0.8</v>
      </c>
      <c r="D24" s="546">
        <f t="shared" si="0"/>
        <v>0</v>
      </c>
      <c r="G24" s="543" t="s">
        <v>597</v>
      </c>
      <c r="H24" s="899">
        <v>0.8</v>
      </c>
      <c r="I24" s="546">
        <f t="shared" si="1"/>
        <v>23664</v>
      </c>
      <c r="L24" s="543" t="s">
        <v>597</v>
      </c>
      <c r="M24" s="899">
        <v>0.8</v>
      </c>
      <c r="N24" s="546">
        <f t="shared" si="2"/>
        <v>24360</v>
      </c>
      <c r="Q24" s="543" t="s">
        <v>597</v>
      </c>
      <c r="R24" s="899">
        <v>0.8</v>
      </c>
      <c r="S24" s="546">
        <f t="shared" si="3"/>
        <v>25056</v>
      </c>
      <c r="V24" s="543" t="s">
        <v>597</v>
      </c>
      <c r="W24" s="899">
        <v>0.8</v>
      </c>
      <c r="X24" s="546">
        <f t="shared" si="4"/>
        <v>25752</v>
      </c>
    </row>
    <row r="25" spans="2:25" x14ac:dyDescent="0.3">
      <c r="B25" s="543" t="s">
        <v>598</v>
      </c>
      <c r="C25" s="900">
        <v>0.7</v>
      </c>
      <c r="D25" s="546">
        <f t="shared" si="0"/>
        <v>0</v>
      </c>
      <c r="G25" s="543" t="s">
        <v>598</v>
      </c>
      <c r="H25" s="899">
        <v>0.7</v>
      </c>
      <c r="I25" s="546">
        <f t="shared" si="1"/>
        <v>20706</v>
      </c>
      <c r="L25" s="543" t="s">
        <v>598</v>
      </c>
      <c r="M25" s="899">
        <v>0.7</v>
      </c>
      <c r="N25" s="546">
        <f t="shared" si="2"/>
        <v>21315</v>
      </c>
      <c r="Q25" s="543" t="s">
        <v>598</v>
      </c>
      <c r="R25" s="899">
        <v>0.7</v>
      </c>
      <c r="S25" s="546">
        <f t="shared" si="3"/>
        <v>21924</v>
      </c>
      <c r="V25" s="543" t="s">
        <v>598</v>
      </c>
      <c r="W25" s="899">
        <v>0.7</v>
      </c>
      <c r="X25" s="546">
        <f t="shared" si="4"/>
        <v>22533</v>
      </c>
    </row>
    <row r="26" spans="2:25" x14ac:dyDescent="0.3">
      <c r="B26" s="543" t="s">
        <v>599</v>
      </c>
      <c r="C26" s="900">
        <v>0.7</v>
      </c>
      <c r="D26" s="546">
        <f t="shared" si="0"/>
        <v>0</v>
      </c>
      <c r="G26" s="543" t="s">
        <v>599</v>
      </c>
      <c r="H26" s="899">
        <v>0.7</v>
      </c>
      <c r="I26" s="546">
        <f t="shared" si="1"/>
        <v>20706</v>
      </c>
      <c r="L26" s="543" t="s">
        <v>599</v>
      </c>
      <c r="M26" s="899">
        <v>0.7</v>
      </c>
      <c r="N26" s="546">
        <f t="shared" si="2"/>
        <v>21315</v>
      </c>
      <c r="Q26" s="543" t="s">
        <v>599</v>
      </c>
      <c r="R26" s="899">
        <v>0.7</v>
      </c>
      <c r="S26" s="546">
        <f t="shared" si="3"/>
        <v>21924</v>
      </c>
      <c r="V26" s="543" t="s">
        <v>599</v>
      </c>
      <c r="W26" s="899">
        <v>0.7</v>
      </c>
      <c r="X26" s="546">
        <f t="shared" si="4"/>
        <v>22533</v>
      </c>
    </row>
    <row r="27" spans="2:25" x14ac:dyDescent="0.3">
      <c r="B27" s="543" t="s">
        <v>600</v>
      </c>
      <c r="C27" s="900">
        <v>0.8</v>
      </c>
      <c r="D27" s="546">
        <f t="shared" si="0"/>
        <v>0</v>
      </c>
      <c r="G27" s="543" t="s">
        <v>600</v>
      </c>
      <c r="H27" s="899">
        <v>0.8</v>
      </c>
      <c r="I27" s="546">
        <f t="shared" si="1"/>
        <v>23664</v>
      </c>
      <c r="L27" s="543" t="s">
        <v>600</v>
      </c>
      <c r="M27" s="899">
        <v>0.8</v>
      </c>
      <c r="N27" s="546">
        <f t="shared" si="2"/>
        <v>24360</v>
      </c>
      <c r="Q27" s="543" t="s">
        <v>600</v>
      </c>
      <c r="R27" s="899">
        <v>0.8</v>
      </c>
      <c r="S27" s="546">
        <f t="shared" si="3"/>
        <v>25056</v>
      </c>
      <c r="V27" s="543" t="s">
        <v>600</v>
      </c>
      <c r="W27" s="899">
        <v>0.8</v>
      </c>
      <c r="X27" s="546">
        <f t="shared" si="4"/>
        <v>25752</v>
      </c>
    </row>
    <row r="28" spans="2:25" x14ac:dyDescent="0.3">
      <c r="B28" s="543" t="s">
        <v>601</v>
      </c>
      <c r="C28" s="900">
        <v>0.85</v>
      </c>
      <c r="D28" s="546">
        <f t="shared" si="0"/>
        <v>0</v>
      </c>
      <c r="G28" s="543" t="s">
        <v>601</v>
      </c>
      <c r="H28" s="899">
        <v>0.85</v>
      </c>
      <c r="I28" s="546">
        <f t="shared" si="1"/>
        <v>25143</v>
      </c>
      <c r="L28" s="543" t="s">
        <v>601</v>
      </c>
      <c r="M28" s="899">
        <v>0.85</v>
      </c>
      <c r="N28" s="546">
        <f t="shared" si="2"/>
        <v>25882.5</v>
      </c>
      <c r="Q28" s="543" t="s">
        <v>601</v>
      </c>
      <c r="R28" s="899">
        <v>0.85</v>
      </c>
      <c r="S28" s="546">
        <f t="shared" si="3"/>
        <v>26622</v>
      </c>
      <c r="V28" s="543" t="s">
        <v>601</v>
      </c>
      <c r="W28" s="899">
        <v>0.85</v>
      </c>
      <c r="X28" s="546">
        <f t="shared" si="4"/>
        <v>27361.5</v>
      </c>
    </row>
    <row r="29" spans="2:25" x14ac:dyDescent="0.3">
      <c r="C29" s="900"/>
      <c r="D29" s="546"/>
      <c r="H29" s="899"/>
      <c r="I29" s="546"/>
      <c r="M29" s="899"/>
      <c r="N29" s="546"/>
      <c r="R29" s="899"/>
      <c r="S29" s="546"/>
      <c r="W29" s="899"/>
      <c r="X29" s="546"/>
    </row>
    <row r="30" spans="2:25" x14ac:dyDescent="0.3">
      <c r="B30" s="543" t="s">
        <v>895</v>
      </c>
      <c r="C30" s="546">
        <f>C13+SUM(D17:D28)</f>
        <v>0</v>
      </c>
      <c r="D30" s="546"/>
      <c r="G30" s="543" t="s">
        <v>895</v>
      </c>
      <c r="H30" s="546">
        <f>H13+SUM(I17:I28)</f>
        <v>473622</v>
      </c>
      <c r="I30" s="546"/>
      <c r="L30" s="543" t="s">
        <v>895</v>
      </c>
      <c r="M30" s="546">
        <f>M13+SUM(N17:N28)</f>
        <v>495705</v>
      </c>
      <c r="N30" s="546"/>
      <c r="Q30" s="543" t="s">
        <v>895</v>
      </c>
      <c r="R30" s="546">
        <f>R13+SUM(S17:S28)</f>
        <v>517788</v>
      </c>
      <c r="S30" s="546"/>
      <c r="V30" s="543" t="s">
        <v>895</v>
      </c>
      <c r="W30" s="546">
        <f>W13+SUM(X17:X28)</f>
        <v>539871</v>
      </c>
      <c r="X30" s="546"/>
    </row>
    <row r="31" spans="2:25" x14ac:dyDescent="0.3">
      <c r="B31" s="897"/>
      <c r="C31" s="898"/>
      <c r="D31" s="897"/>
      <c r="E31" s="897"/>
      <c r="F31" s="897"/>
      <c r="G31" s="897"/>
      <c r="H31" s="897"/>
      <c r="I31" s="897"/>
      <c r="J31" s="897"/>
      <c r="K31" s="897"/>
      <c r="L31" s="897"/>
      <c r="M31" s="897"/>
      <c r="N31" s="897"/>
      <c r="O31" s="897"/>
      <c r="P31" s="897"/>
      <c r="Q31" s="897"/>
      <c r="R31" s="897"/>
      <c r="S31" s="897"/>
      <c r="T31" s="897"/>
      <c r="U31" s="897"/>
      <c r="V31" s="897"/>
      <c r="W31" s="897"/>
      <c r="X31" s="897"/>
      <c r="Y31" s="897"/>
    </row>
    <row r="32" spans="2:25" ht="14.4" thickBot="1" x14ac:dyDescent="0.35"/>
    <row r="33" spans="2:20" ht="14.4" thickBot="1" x14ac:dyDescent="0.35">
      <c r="B33" s="1012" t="s">
        <v>678</v>
      </c>
      <c r="C33" s="1013"/>
      <c r="D33" s="1013"/>
      <c r="E33" s="1015"/>
      <c r="G33" s="1012" t="s">
        <v>679</v>
      </c>
      <c r="H33" s="1013"/>
      <c r="I33" s="1013"/>
      <c r="J33" s="1015"/>
      <c r="L33" s="1012" t="s">
        <v>698</v>
      </c>
      <c r="M33" s="1013"/>
      <c r="N33" s="1013"/>
      <c r="O33" s="1015"/>
      <c r="Q33" s="1012" t="s">
        <v>699</v>
      </c>
      <c r="R33" s="1013"/>
      <c r="S33" s="1013"/>
      <c r="T33" s="1015"/>
    </row>
    <row r="34" spans="2:20" x14ac:dyDescent="0.3">
      <c r="B34" s="543" t="s">
        <v>909</v>
      </c>
      <c r="C34" s="545">
        <v>72</v>
      </c>
      <c r="G34" s="543" t="s">
        <v>909</v>
      </c>
      <c r="H34" s="545">
        <v>72</v>
      </c>
      <c r="L34" s="543" t="s">
        <v>909</v>
      </c>
      <c r="M34" s="545">
        <v>72</v>
      </c>
      <c r="Q34" s="543" t="s">
        <v>909</v>
      </c>
      <c r="R34" s="545">
        <v>72</v>
      </c>
    </row>
    <row r="35" spans="2:20" x14ac:dyDescent="0.3">
      <c r="B35" s="543" t="s">
        <v>886</v>
      </c>
      <c r="C35" s="545">
        <v>12</v>
      </c>
      <c r="G35" s="543" t="s">
        <v>886</v>
      </c>
      <c r="H35" s="545">
        <v>12</v>
      </c>
      <c r="L35" s="543" t="s">
        <v>886</v>
      </c>
      <c r="M35" s="545">
        <v>12</v>
      </c>
      <c r="Q35" s="543" t="s">
        <v>886</v>
      </c>
      <c r="R35" s="545">
        <v>12</v>
      </c>
    </row>
    <row r="36" spans="2:20" x14ac:dyDescent="0.3">
      <c r="B36" s="543" t="s">
        <v>889</v>
      </c>
      <c r="C36" s="545">
        <v>30</v>
      </c>
      <c r="G36" s="543" t="s">
        <v>889</v>
      </c>
      <c r="H36" s="545">
        <v>30</v>
      </c>
      <c r="L36" s="543" t="s">
        <v>889</v>
      </c>
      <c r="M36" s="545">
        <v>30</v>
      </c>
      <c r="Q36" s="543" t="s">
        <v>889</v>
      </c>
      <c r="R36" s="545">
        <v>30</v>
      </c>
    </row>
    <row r="37" spans="2:20" x14ac:dyDescent="0.3">
      <c r="B37" s="543" t="s">
        <v>883</v>
      </c>
      <c r="C37" s="896">
        <v>0.2</v>
      </c>
      <c r="D37" s="544" t="s">
        <v>910</v>
      </c>
      <c r="E37" s="545">
        <f>ROUND(C37*$C$3,0.5)</f>
        <v>14</v>
      </c>
      <c r="G37" s="543" t="s">
        <v>883</v>
      </c>
      <c r="H37" s="896">
        <v>0.2</v>
      </c>
      <c r="I37" s="544" t="s">
        <v>910</v>
      </c>
      <c r="J37" s="545">
        <f>ROUND(H37*$C$3,0.5)</f>
        <v>14</v>
      </c>
      <c r="L37" s="543" t="s">
        <v>883</v>
      </c>
      <c r="M37" s="896">
        <v>0.2</v>
      </c>
      <c r="N37" s="544" t="s">
        <v>910</v>
      </c>
      <c r="O37" s="545">
        <f>ROUND(M37*$C$3,0.5)</f>
        <v>14</v>
      </c>
      <c r="Q37" s="543" t="s">
        <v>883</v>
      </c>
      <c r="R37" s="896">
        <v>0.2</v>
      </c>
      <c r="S37" s="544" t="s">
        <v>910</v>
      </c>
      <c r="T37" s="545">
        <f>ROUND(R37*$C$3,0.5)</f>
        <v>14</v>
      </c>
    </row>
    <row r="38" spans="2:20" x14ac:dyDescent="0.3">
      <c r="B38" s="543" t="s">
        <v>888</v>
      </c>
      <c r="C38" s="882">
        <f>1-C37</f>
        <v>0.8</v>
      </c>
      <c r="D38" s="544" t="s">
        <v>911</v>
      </c>
      <c r="E38" s="545">
        <f>ROUND(C38*$C$3,0.5)</f>
        <v>58</v>
      </c>
      <c r="G38" s="543" t="s">
        <v>888</v>
      </c>
      <c r="H38" s="882">
        <f>1-H37</f>
        <v>0.8</v>
      </c>
      <c r="I38" s="544" t="s">
        <v>911</v>
      </c>
      <c r="J38" s="545">
        <f>ROUND(H38*$C$3,0.5)</f>
        <v>58</v>
      </c>
      <c r="L38" s="543" t="s">
        <v>888</v>
      </c>
      <c r="M38" s="882">
        <f>1-M37</f>
        <v>0.8</v>
      </c>
      <c r="N38" s="544" t="s">
        <v>911</v>
      </c>
      <c r="O38" s="545">
        <f>ROUND(M38*$C$3,0.5)</f>
        <v>58</v>
      </c>
      <c r="Q38" s="543" t="s">
        <v>888</v>
      </c>
      <c r="R38" s="882">
        <f>1-R37</f>
        <v>0.8</v>
      </c>
      <c r="S38" s="544" t="s">
        <v>911</v>
      </c>
      <c r="T38" s="545">
        <f>ROUND(R38*$C$3,0.5)</f>
        <v>58</v>
      </c>
    </row>
    <row r="39" spans="2:20" x14ac:dyDescent="0.3">
      <c r="B39" s="543" t="s">
        <v>885</v>
      </c>
      <c r="C39" s="546">
        <f>W8+5</f>
        <v>80</v>
      </c>
      <c r="G39" s="543" t="s">
        <v>885</v>
      </c>
      <c r="H39" s="546">
        <f>C39+5</f>
        <v>85</v>
      </c>
      <c r="L39" s="543" t="s">
        <v>885</v>
      </c>
      <c r="M39" s="546">
        <f>H39+5</f>
        <v>90</v>
      </c>
      <c r="Q39" s="543" t="s">
        <v>885</v>
      </c>
      <c r="R39" s="546">
        <f>M39+5</f>
        <v>95</v>
      </c>
    </row>
    <row r="40" spans="2:20" x14ac:dyDescent="0.3">
      <c r="B40" s="543" t="s">
        <v>884</v>
      </c>
      <c r="C40" s="546">
        <f>W9+20</f>
        <v>760</v>
      </c>
      <c r="G40" s="543" t="s">
        <v>884</v>
      </c>
      <c r="H40" s="546">
        <f>C40+20</f>
        <v>780</v>
      </c>
      <c r="L40" s="543" t="s">
        <v>884</v>
      </c>
      <c r="M40" s="546">
        <f>H40+20</f>
        <v>800</v>
      </c>
      <c r="Q40" s="543" t="s">
        <v>884</v>
      </c>
      <c r="R40" s="546">
        <f>M40+20</f>
        <v>820</v>
      </c>
    </row>
    <row r="41" spans="2:20" x14ac:dyDescent="0.3">
      <c r="B41" s="543" t="s">
        <v>894</v>
      </c>
      <c r="C41" s="882">
        <f>W10</f>
        <v>0.5</v>
      </c>
      <c r="G41" s="543" t="s">
        <v>894</v>
      </c>
      <c r="H41" s="882">
        <f>C41</f>
        <v>0.5</v>
      </c>
      <c r="L41" s="543" t="s">
        <v>894</v>
      </c>
      <c r="M41" s="882">
        <f>H41</f>
        <v>0.5</v>
      </c>
      <c r="Q41" s="543" t="s">
        <v>894</v>
      </c>
      <c r="R41" s="882">
        <f>M41</f>
        <v>0.5</v>
      </c>
    </row>
    <row r="42" spans="2:20" x14ac:dyDescent="0.3">
      <c r="B42" s="543" t="s">
        <v>890</v>
      </c>
      <c r="C42" s="882">
        <f>W11</f>
        <v>0.75</v>
      </c>
      <c r="G42" s="543" t="s">
        <v>890</v>
      </c>
      <c r="H42" s="882">
        <f>C42</f>
        <v>0.75</v>
      </c>
      <c r="L42" s="543" t="s">
        <v>890</v>
      </c>
      <c r="M42" s="882">
        <f>H42</f>
        <v>0.75</v>
      </c>
      <c r="Q42" s="543" t="s">
        <v>890</v>
      </c>
      <c r="R42" s="882">
        <f>M42</f>
        <v>0.75</v>
      </c>
    </row>
    <row r="43" spans="2:20" x14ac:dyDescent="0.3">
      <c r="B43" s="543" t="s">
        <v>887</v>
      </c>
      <c r="C43" s="546">
        <f>C36*E37*C39*C41</f>
        <v>16800</v>
      </c>
      <c r="G43" s="543" t="s">
        <v>887</v>
      </c>
      <c r="H43" s="546">
        <f>H36*J37*H39*H41</f>
        <v>17850</v>
      </c>
      <c r="L43" s="543" t="s">
        <v>887</v>
      </c>
      <c r="M43" s="546">
        <f>M36*O37*M39*M41</f>
        <v>18900</v>
      </c>
      <c r="Q43" s="543" t="s">
        <v>887</v>
      </c>
      <c r="R43" s="546">
        <f>R36*T37*R39*R41</f>
        <v>19950</v>
      </c>
    </row>
    <row r="44" spans="2:20" x14ac:dyDescent="0.3">
      <c r="B44" s="543" t="s">
        <v>896</v>
      </c>
      <c r="C44" s="546">
        <f>C43*C35</f>
        <v>201600</v>
      </c>
      <c r="G44" s="543" t="s">
        <v>896</v>
      </c>
      <c r="H44" s="546">
        <f>H43*H35</f>
        <v>214200</v>
      </c>
      <c r="L44" s="543" t="s">
        <v>896</v>
      </c>
      <c r="M44" s="546">
        <f>M43*M35</f>
        <v>226800</v>
      </c>
      <c r="Q44" s="543" t="s">
        <v>896</v>
      </c>
      <c r="R44" s="546">
        <f>R43*R35</f>
        <v>239400</v>
      </c>
    </row>
    <row r="46" spans="2:20" x14ac:dyDescent="0.3">
      <c r="B46" s="1024" t="s">
        <v>891</v>
      </c>
      <c r="C46" s="1024"/>
      <c r="D46" s="1024"/>
      <c r="E46" s="1024"/>
      <c r="G46" s="1024" t="s">
        <v>891</v>
      </c>
      <c r="H46" s="1024"/>
      <c r="I46" s="1024"/>
      <c r="J46" s="1024"/>
      <c r="L46" s="1024" t="s">
        <v>891</v>
      </c>
      <c r="M46" s="1024"/>
      <c r="N46" s="1024"/>
      <c r="O46" s="1024"/>
      <c r="Q46" s="1024" t="s">
        <v>891</v>
      </c>
      <c r="R46" s="1024"/>
      <c r="S46" s="1024"/>
      <c r="T46" s="1024"/>
    </row>
    <row r="47" spans="2:20" x14ac:dyDescent="0.3">
      <c r="B47" s="722"/>
      <c r="C47" s="545" t="s">
        <v>892</v>
      </c>
      <c r="D47" s="545" t="s">
        <v>893</v>
      </c>
      <c r="E47" s="722"/>
      <c r="G47" s="722"/>
      <c r="H47" s="545" t="s">
        <v>892</v>
      </c>
      <c r="I47" s="545" t="s">
        <v>893</v>
      </c>
      <c r="J47" s="722"/>
      <c r="L47" s="722"/>
      <c r="M47" s="545" t="s">
        <v>892</v>
      </c>
      <c r="N47" s="545" t="s">
        <v>893</v>
      </c>
      <c r="O47" s="722"/>
      <c r="Q47" s="722"/>
      <c r="R47" s="545" t="s">
        <v>892</v>
      </c>
      <c r="S47" s="545" t="s">
        <v>893</v>
      </c>
      <c r="T47" s="722"/>
    </row>
    <row r="48" spans="2:20" x14ac:dyDescent="0.3">
      <c r="B48" s="543" t="s">
        <v>602</v>
      </c>
      <c r="C48" s="899">
        <f t="shared" ref="C48:C59" si="5">W17</f>
        <v>0.9</v>
      </c>
      <c r="D48" s="546">
        <f>$E$38*$C$40*$C$42*C48</f>
        <v>29754</v>
      </c>
      <c r="G48" s="543" t="s">
        <v>602</v>
      </c>
      <c r="H48" s="899">
        <f>C48</f>
        <v>0.9</v>
      </c>
      <c r="I48" s="546">
        <f>$J$38*$H$40*$H$42*H48</f>
        <v>30537</v>
      </c>
      <c r="L48" s="543" t="s">
        <v>602</v>
      </c>
      <c r="M48" s="899">
        <f>H48</f>
        <v>0.9</v>
      </c>
      <c r="N48" s="546">
        <f>$O$38*$M$40*$M$42*M48</f>
        <v>31320</v>
      </c>
      <c r="Q48" s="543" t="s">
        <v>602</v>
      </c>
      <c r="R48" s="899">
        <f>M48</f>
        <v>0.9</v>
      </c>
      <c r="S48" s="546">
        <f>$T$38*$R$40*$R$42*R48</f>
        <v>32103</v>
      </c>
    </row>
    <row r="49" spans="2:20" x14ac:dyDescent="0.3">
      <c r="B49" s="543" t="s">
        <v>603</v>
      </c>
      <c r="C49" s="899">
        <f t="shared" si="5"/>
        <v>1</v>
      </c>
      <c r="D49" s="546">
        <f t="shared" ref="D49:D59" si="6">$E$38*$C$40*$C$42*C49</f>
        <v>33060</v>
      </c>
      <c r="G49" s="543" t="s">
        <v>603</v>
      </c>
      <c r="H49" s="899">
        <f t="shared" ref="H49:H59" si="7">C49</f>
        <v>1</v>
      </c>
      <c r="I49" s="546">
        <f t="shared" ref="I49:I59" si="8">$J$38*$H$40*$H$42*H49</f>
        <v>33930</v>
      </c>
      <c r="L49" s="543" t="s">
        <v>603</v>
      </c>
      <c r="M49" s="899">
        <f t="shared" ref="M49:M59" si="9">H49</f>
        <v>1</v>
      </c>
      <c r="N49" s="546">
        <f t="shared" ref="N49:N59" si="10">$O$38*$M$40*$M$42*M49</f>
        <v>34800</v>
      </c>
      <c r="Q49" s="543" t="s">
        <v>603</v>
      </c>
      <c r="R49" s="899">
        <f t="shared" ref="R49:R59" si="11">M49</f>
        <v>1</v>
      </c>
      <c r="S49" s="546">
        <f t="shared" ref="S49:S59" si="12">$T$38*$R$40*$R$42*R49</f>
        <v>35670</v>
      </c>
    </row>
    <row r="50" spans="2:20" x14ac:dyDescent="0.3">
      <c r="B50" s="543" t="s">
        <v>604</v>
      </c>
      <c r="C50" s="899">
        <f t="shared" si="5"/>
        <v>1.1000000000000001</v>
      </c>
      <c r="D50" s="546">
        <f t="shared" si="6"/>
        <v>36366</v>
      </c>
      <c r="G50" s="543" t="s">
        <v>604</v>
      </c>
      <c r="H50" s="899">
        <f t="shared" si="7"/>
        <v>1.1000000000000001</v>
      </c>
      <c r="I50" s="546">
        <f t="shared" si="8"/>
        <v>37323</v>
      </c>
      <c r="L50" s="543" t="s">
        <v>604</v>
      </c>
      <c r="M50" s="899">
        <f t="shared" si="9"/>
        <v>1.1000000000000001</v>
      </c>
      <c r="N50" s="546">
        <f t="shared" si="10"/>
        <v>38280</v>
      </c>
      <c r="Q50" s="543" t="s">
        <v>604</v>
      </c>
      <c r="R50" s="899">
        <f t="shared" si="11"/>
        <v>1.1000000000000001</v>
      </c>
      <c r="S50" s="546">
        <f t="shared" si="12"/>
        <v>39237</v>
      </c>
    </row>
    <row r="51" spans="2:20" x14ac:dyDescent="0.3">
      <c r="B51" s="543" t="s">
        <v>605</v>
      </c>
      <c r="C51" s="899">
        <f t="shared" si="5"/>
        <v>1.1000000000000001</v>
      </c>
      <c r="D51" s="546">
        <f t="shared" si="6"/>
        <v>36366</v>
      </c>
      <c r="G51" s="543" t="s">
        <v>605</v>
      </c>
      <c r="H51" s="899">
        <f t="shared" si="7"/>
        <v>1.1000000000000001</v>
      </c>
      <c r="I51" s="546">
        <f t="shared" si="8"/>
        <v>37323</v>
      </c>
      <c r="L51" s="543" t="s">
        <v>605</v>
      </c>
      <c r="M51" s="899">
        <f t="shared" si="9"/>
        <v>1.1000000000000001</v>
      </c>
      <c r="N51" s="546">
        <f t="shared" si="10"/>
        <v>38280</v>
      </c>
      <c r="Q51" s="543" t="s">
        <v>605</v>
      </c>
      <c r="R51" s="899">
        <f t="shared" si="11"/>
        <v>1.1000000000000001</v>
      </c>
      <c r="S51" s="546">
        <f t="shared" si="12"/>
        <v>39237</v>
      </c>
    </row>
    <row r="52" spans="2:20" x14ac:dyDescent="0.3">
      <c r="B52" s="543" t="s">
        <v>606</v>
      </c>
      <c r="C52" s="899">
        <f t="shared" si="5"/>
        <v>1.05</v>
      </c>
      <c r="D52" s="546">
        <f t="shared" si="6"/>
        <v>34713</v>
      </c>
      <c r="G52" s="543" t="s">
        <v>606</v>
      </c>
      <c r="H52" s="899">
        <f t="shared" si="7"/>
        <v>1.05</v>
      </c>
      <c r="I52" s="546">
        <f t="shared" si="8"/>
        <v>35626.5</v>
      </c>
      <c r="L52" s="543" t="s">
        <v>606</v>
      </c>
      <c r="M52" s="899">
        <f t="shared" si="9"/>
        <v>1.05</v>
      </c>
      <c r="N52" s="546">
        <f t="shared" si="10"/>
        <v>36540</v>
      </c>
      <c r="Q52" s="543" t="s">
        <v>606</v>
      </c>
      <c r="R52" s="899">
        <f t="shared" si="11"/>
        <v>1.05</v>
      </c>
      <c r="S52" s="546">
        <f t="shared" si="12"/>
        <v>37453.5</v>
      </c>
    </row>
    <row r="53" spans="2:20" x14ac:dyDescent="0.3">
      <c r="B53" s="543" t="s">
        <v>607</v>
      </c>
      <c r="C53" s="899">
        <f t="shared" si="5"/>
        <v>1</v>
      </c>
      <c r="D53" s="546">
        <f t="shared" si="6"/>
        <v>33060</v>
      </c>
      <c r="G53" s="543" t="s">
        <v>607</v>
      </c>
      <c r="H53" s="899">
        <f t="shared" si="7"/>
        <v>1</v>
      </c>
      <c r="I53" s="546">
        <f t="shared" si="8"/>
        <v>33930</v>
      </c>
      <c r="L53" s="543" t="s">
        <v>607</v>
      </c>
      <c r="M53" s="899">
        <f t="shared" si="9"/>
        <v>1</v>
      </c>
      <c r="N53" s="546">
        <f t="shared" si="10"/>
        <v>34800</v>
      </c>
      <c r="Q53" s="543" t="s">
        <v>607</v>
      </c>
      <c r="R53" s="899">
        <f t="shared" si="11"/>
        <v>1</v>
      </c>
      <c r="S53" s="546">
        <f t="shared" si="12"/>
        <v>35670</v>
      </c>
    </row>
    <row r="54" spans="2:20" x14ac:dyDescent="0.3">
      <c r="B54" s="543" t="s">
        <v>596</v>
      </c>
      <c r="C54" s="899">
        <f t="shared" si="5"/>
        <v>0.9</v>
      </c>
      <c r="D54" s="546">
        <f t="shared" si="6"/>
        <v>29754</v>
      </c>
      <c r="G54" s="543" t="s">
        <v>596</v>
      </c>
      <c r="H54" s="899">
        <f t="shared" si="7"/>
        <v>0.9</v>
      </c>
      <c r="I54" s="546">
        <f t="shared" si="8"/>
        <v>30537</v>
      </c>
      <c r="L54" s="543" t="s">
        <v>596</v>
      </c>
      <c r="M54" s="899">
        <f t="shared" si="9"/>
        <v>0.9</v>
      </c>
      <c r="N54" s="546">
        <f t="shared" si="10"/>
        <v>31320</v>
      </c>
      <c r="Q54" s="543" t="s">
        <v>596</v>
      </c>
      <c r="R54" s="899">
        <f t="shared" si="11"/>
        <v>0.9</v>
      </c>
      <c r="S54" s="546">
        <f t="shared" si="12"/>
        <v>32103</v>
      </c>
    </row>
    <row r="55" spans="2:20" x14ac:dyDescent="0.3">
      <c r="B55" s="543" t="s">
        <v>597</v>
      </c>
      <c r="C55" s="899">
        <f t="shared" si="5"/>
        <v>0.8</v>
      </c>
      <c r="D55" s="546">
        <f t="shared" si="6"/>
        <v>26448</v>
      </c>
      <c r="G55" s="543" t="s">
        <v>597</v>
      </c>
      <c r="H55" s="899">
        <f t="shared" si="7"/>
        <v>0.8</v>
      </c>
      <c r="I55" s="546">
        <f t="shared" si="8"/>
        <v>27144</v>
      </c>
      <c r="L55" s="543" t="s">
        <v>597</v>
      </c>
      <c r="M55" s="899">
        <f t="shared" si="9"/>
        <v>0.8</v>
      </c>
      <c r="N55" s="546">
        <f t="shared" si="10"/>
        <v>27840</v>
      </c>
      <c r="Q55" s="543" t="s">
        <v>597</v>
      </c>
      <c r="R55" s="899">
        <f t="shared" si="11"/>
        <v>0.8</v>
      </c>
      <c r="S55" s="546">
        <f t="shared" si="12"/>
        <v>28536</v>
      </c>
    </row>
    <row r="56" spans="2:20" x14ac:dyDescent="0.3">
      <c r="B56" s="543" t="s">
        <v>598</v>
      </c>
      <c r="C56" s="899">
        <f t="shared" si="5"/>
        <v>0.7</v>
      </c>
      <c r="D56" s="546">
        <f t="shared" si="6"/>
        <v>23142</v>
      </c>
      <c r="G56" s="543" t="s">
        <v>598</v>
      </c>
      <c r="H56" s="899">
        <f t="shared" si="7"/>
        <v>0.7</v>
      </c>
      <c r="I56" s="546">
        <f t="shared" si="8"/>
        <v>23751</v>
      </c>
      <c r="L56" s="543" t="s">
        <v>598</v>
      </c>
      <c r="M56" s="899">
        <f t="shared" si="9"/>
        <v>0.7</v>
      </c>
      <c r="N56" s="546">
        <f t="shared" si="10"/>
        <v>24360</v>
      </c>
      <c r="Q56" s="543" t="s">
        <v>598</v>
      </c>
      <c r="R56" s="899">
        <f t="shared" si="11"/>
        <v>0.7</v>
      </c>
      <c r="S56" s="546">
        <f t="shared" si="12"/>
        <v>24969</v>
      </c>
    </row>
    <row r="57" spans="2:20" x14ac:dyDescent="0.3">
      <c r="B57" s="543" t="s">
        <v>599</v>
      </c>
      <c r="C57" s="899">
        <f t="shared" si="5"/>
        <v>0.7</v>
      </c>
      <c r="D57" s="546">
        <f t="shared" si="6"/>
        <v>23142</v>
      </c>
      <c r="G57" s="543" t="s">
        <v>599</v>
      </c>
      <c r="H57" s="899">
        <f t="shared" si="7"/>
        <v>0.7</v>
      </c>
      <c r="I57" s="546">
        <f t="shared" si="8"/>
        <v>23751</v>
      </c>
      <c r="L57" s="543" t="s">
        <v>599</v>
      </c>
      <c r="M57" s="899">
        <f t="shared" si="9"/>
        <v>0.7</v>
      </c>
      <c r="N57" s="546">
        <f t="shared" si="10"/>
        <v>24360</v>
      </c>
      <c r="Q57" s="543" t="s">
        <v>599</v>
      </c>
      <c r="R57" s="899">
        <f t="shared" si="11"/>
        <v>0.7</v>
      </c>
      <c r="S57" s="546">
        <f t="shared" si="12"/>
        <v>24969</v>
      </c>
    </row>
    <row r="58" spans="2:20" x14ac:dyDescent="0.3">
      <c r="B58" s="543" t="s">
        <v>600</v>
      </c>
      <c r="C58" s="899">
        <f t="shared" si="5"/>
        <v>0.8</v>
      </c>
      <c r="D58" s="546">
        <f t="shared" si="6"/>
        <v>26448</v>
      </c>
      <c r="G58" s="543" t="s">
        <v>600</v>
      </c>
      <c r="H58" s="899">
        <f t="shared" si="7"/>
        <v>0.8</v>
      </c>
      <c r="I58" s="546">
        <f t="shared" si="8"/>
        <v>27144</v>
      </c>
      <c r="L58" s="543" t="s">
        <v>600</v>
      </c>
      <c r="M58" s="899">
        <f t="shared" si="9"/>
        <v>0.8</v>
      </c>
      <c r="N58" s="546">
        <f t="shared" si="10"/>
        <v>27840</v>
      </c>
      <c r="Q58" s="543" t="s">
        <v>600</v>
      </c>
      <c r="R58" s="899">
        <f t="shared" si="11"/>
        <v>0.8</v>
      </c>
      <c r="S58" s="546">
        <f t="shared" si="12"/>
        <v>28536</v>
      </c>
    </row>
    <row r="59" spans="2:20" x14ac:dyDescent="0.3">
      <c r="B59" s="543" t="s">
        <v>601</v>
      </c>
      <c r="C59" s="899">
        <f t="shared" si="5"/>
        <v>0.85</v>
      </c>
      <c r="D59" s="546">
        <f t="shared" si="6"/>
        <v>28101</v>
      </c>
      <c r="G59" s="543" t="s">
        <v>601</v>
      </c>
      <c r="H59" s="899">
        <f t="shared" si="7"/>
        <v>0.85</v>
      </c>
      <c r="I59" s="546">
        <f t="shared" si="8"/>
        <v>28840.5</v>
      </c>
      <c r="L59" s="543" t="s">
        <v>601</v>
      </c>
      <c r="M59" s="899">
        <f t="shared" si="9"/>
        <v>0.85</v>
      </c>
      <c r="N59" s="546">
        <f t="shared" si="10"/>
        <v>29580</v>
      </c>
      <c r="Q59" s="543" t="s">
        <v>601</v>
      </c>
      <c r="R59" s="899">
        <f t="shared" si="11"/>
        <v>0.85</v>
      </c>
      <c r="S59" s="546">
        <f t="shared" si="12"/>
        <v>30319.5</v>
      </c>
    </row>
    <row r="60" spans="2:20" x14ac:dyDescent="0.3">
      <c r="C60" s="899"/>
      <c r="D60" s="546"/>
      <c r="H60" s="899"/>
      <c r="I60" s="546"/>
      <c r="M60" s="899"/>
      <c r="N60" s="546"/>
      <c r="R60" s="899"/>
      <c r="S60" s="546"/>
    </row>
    <row r="61" spans="2:20" x14ac:dyDescent="0.3">
      <c r="B61" s="543" t="s">
        <v>895</v>
      </c>
      <c r="C61" s="546">
        <f>C44+SUM(D48:D59)</f>
        <v>561954</v>
      </c>
      <c r="D61" s="546"/>
      <c r="G61" s="543" t="s">
        <v>895</v>
      </c>
      <c r="H61" s="546">
        <f>H44+SUM(I48:I59)</f>
        <v>584037</v>
      </c>
      <c r="I61" s="546"/>
      <c r="L61" s="543" t="s">
        <v>895</v>
      </c>
      <c r="M61" s="546">
        <f>M44+SUM(N48:N59)</f>
        <v>606120</v>
      </c>
      <c r="N61" s="546"/>
      <c r="Q61" s="543" t="s">
        <v>895</v>
      </c>
      <c r="R61" s="546">
        <f>R44+SUM(S48:S59)</f>
        <v>628203</v>
      </c>
      <c r="S61" s="546"/>
    </row>
    <row r="62" spans="2:20" x14ac:dyDescent="0.3">
      <c r="B62" s="897"/>
      <c r="C62" s="897"/>
      <c r="D62" s="897"/>
      <c r="E62" s="897"/>
      <c r="G62" s="897"/>
      <c r="H62" s="897"/>
      <c r="I62" s="897"/>
      <c r="J62" s="897"/>
      <c r="L62" s="897"/>
      <c r="M62" s="897"/>
      <c r="N62" s="897"/>
      <c r="O62" s="897"/>
      <c r="Q62" s="897"/>
      <c r="R62" s="897"/>
      <c r="S62" s="897"/>
      <c r="T62" s="897"/>
    </row>
  </sheetData>
  <mergeCells count="18">
    <mergeCell ref="B2:E2"/>
    <mergeCell ref="G2:J2"/>
    <mergeCell ref="L2:O2"/>
    <mergeCell ref="Q2:T2"/>
    <mergeCell ref="V2:Y2"/>
    <mergeCell ref="V15:Y15"/>
    <mergeCell ref="B46:E46"/>
    <mergeCell ref="G46:J46"/>
    <mergeCell ref="L46:O46"/>
    <mergeCell ref="Q46:T46"/>
    <mergeCell ref="Q33:T33"/>
    <mergeCell ref="B15:E15"/>
    <mergeCell ref="G15:J15"/>
    <mergeCell ref="L15:O15"/>
    <mergeCell ref="Q15:T15"/>
    <mergeCell ref="B33:E33"/>
    <mergeCell ref="G33:J33"/>
    <mergeCell ref="L33:O33"/>
  </mergeCells>
  <phoneticPr fontId="13" type="noConversion"/>
  <conditionalFormatting sqref="D17:D30">
    <cfRule type="colorScale" priority="9">
      <colorScale>
        <cfvo type="min"/>
        <cfvo type="max"/>
        <color rgb="FFFCFCFF"/>
        <color rgb="FF63BE7B"/>
      </colorScale>
    </cfRule>
  </conditionalFormatting>
  <conditionalFormatting sqref="D48:D61">
    <cfRule type="colorScale" priority="4">
      <colorScale>
        <cfvo type="min"/>
        <cfvo type="max"/>
        <color rgb="FFFCFCFF"/>
        <color rgb="FF63BE7B"/>
      </colorScale>
    </cfRule>
  </conditionalFormatting>
  <conditionalFormatting sqref="I17:I30">
    <cfRule type="colorScale" priority="8">
      <colorScale>
        <cfvo type="min"/>
        <cfvo type="max"/>
        <color rgb="FFFCFCFF"/>
        <color rgb="FF63BE7B"/>
      </colorScale>
    </cfRule>
  </conditionalFormatting>
  <conditionalFormatting sqref="I48:I61">
    <cfRule type="colorScale" priority="3">
      <colorScale>
        <cfvo type="min"/>
        <cfvo type="max"/>
        <color rgb="FFFCFCFF"/>
        <color rgb="FF63BE7B"/>
      </colorScale>
    </cfRule>
  </conditionalFormatting>
  <conditionalFormatting sqref="N17:N30">
    <cfRule type="colorScale" priority="7">
      <colorScale>
        <cfvo type="min"/>
        <cfvo type="max"/>
        <color rgb="FFFCFCFF"/>
        <color rgb="FF63BE7B"/>
      </colorScale>
    </cfRule>
  </conditionalFormatting>
  <conditionalFormatting sqref="N48:N61">
    <cfRule type="colorScale" priority="2">
      <colorScale>
        <cfvo type="min"/>
        <cfvo type="max"/>
        <color rgb="FFFCFCFF"/>
        <color rgb="FF63BE7B"/>
      </colorScale>
    </cfRule>
  </conditionalFormatting>
  <conditionalFormatting sqref="S17:S30">
    <cfRule type="colorScale" priority="6">
      <colorScale>
        <cfvo type="min"/>
        <cfvo type="max"/>
        <color rgb="FFFCFCFF"/>
        <color rgb="FF63BE7B"/>
      </colorScale>
    </cfRule>
  </conditionalFormatting>
  <conditionalFormatting sqref="S48:S61">
    <cfRule type="colorScale" priority="1">
      <colorScale>
        <cfvo type="min"/>
        <cfvo type="max"/>
        <color rgb="FFFCFCFF"/>
        <color rgb="FF63BE7B"/>
      </colorScale>
    </cfRule>
  </conditionalFormatting>
  <conditionalFormatting sqref="X17:X30">
    <cfRule type="colorScale" priority="5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2:DP135"/>
  <sheetViews>
    <sheetView workbookViewId="0">
      <pane ySplit="4" topLeftCell="A103" activePane="bottomLeft" state="frozen"/>
      <selection pane="bottomLeft" activeCell="CI118" sqref="CI118:CO118"/>
    </sheetView>
  </sheetViews>
  <sheetFormatPr defaultColWidth="9.109375" defaultRowHeight="13.8" outlineLevelRow="1" x14ac:dyDescent="0.3"/>
  <cols>
    <col min="1" max="1" width="1.77734375" style="323" customWidth="1"/>
    <col min="2" max="4" width="1.77734375" style="375" customWidth="1"/>
    <col min="5" max="5" width="1.77734375" style="323" customWidth="1"/>
    <col min="6" max="6" width="26.44140625" style="323" customWidth="1"/>
    <col min="7" max="7" width="14.21875" style="323" bestFit="1" customWidth="1"/>
    <col min="8" max="8" width="14.21875" style="323" customWidth="1"/>
    <col min="9" max="9" width="13.21875" style="323" bestFit="1" customWidth="1"/>
    <col min="10" max="116" width="12.77734375" style="323" customWidth="1"/>
    <col min="117" max="117" width="5.109375" style="323" bestFit="1" customWidth="1"/>
    <col min="118" max="118" width="12.77734375" style="323" customWidth="1"/>
    <col min="119" max="119" width="1.77734375" style="323" customWidth="1"/>
    <col min="120" max="16384" width="9.109375" style="323"/>
  </cols>
  <sheetData>
    <row r="2" spans="2:119" outlineLevel="1" x14ac:dyDescent="0.3">
      <c r="H2" s="514">
        <v>45397</v>
      </c>
      <c r="I2" s="514">
        <v>45427</v>
      </c>
      <c r="J2" s="514">
        <v>45458</v>
      </c>
      <c r="K2" s="514">
        <v>45488</v>
      </c>
      <c r="L2" s="514">
        <v>45519</v>
      </c>
      <c r="M2" s="514">
        <v>45550</v>
      </c>
      <c r="N2" s="514">
        <v>45580</v>
      </c>
      <c r="O2" s="514">
        <v>45611</v>
      </c>
      <c r="P2" s="514">
        <v>45641</v>
      </c>
      <c r="Q2" s="514">
        <v>45672</v>
      </c>
      <c r="R2" s="514">
        <v>45703</v>
      </c>
      <c r="S2" s="514">
        <v>45731</v>
      </c>
      <c r="T2" s="514">
        <v>45762</v>
      </c>
      <c r="U2" s="514">
        <v>45792</v>
      </c>
      <c r="V2" s="514">
        <v>45823</v>
      </c>
      <c r="W2" s="514">
        <v>45853</v>
      </c>
      <c r="X2" s="514">
        <v>45884</v>
      </c>
      <c r="Y2" s="514">
        <v>45915</v>
      </c>
      <c r="Z2" s="514">
        <v>45945</v>
      </c>
      <c r="AA2" s="514">
        <v>45976</v>
      </c>
      <c r="AB2" s="514">
        <v>46006</v>
      </c>
      <c r="AC2" s="514">
        <v>46037</v>
      </c>
      <c r="AD2" s="514">
        <v>46068</v>
      </c>
      <c r="AE2" s="514">
        <v>46096</v>
      </c>
      <c r="AF2" s="514">
        <v>46127</v>
      </c>
      <c r="AG2" s="514">
        <v>46157</v>
      </c>
      <c r="AH2" s="514">
        <v>46188</v>
      </c>
      <c r="AI2" s="514">
        <v>46218</v>
      </c>
      <c r="AJ2" s="514">
        <v>46249</v>
      </c>
      <c r="AK2" s="514">
        <v>46280</v>
      </c>
      <c r="AL2" s="514">
        <v>46310</v>
      </c>
      <c r="AM2" s="514">
        <v>46341</v>
      </c>
      <c r="AN2" s="514">
        <v>46371</v>
      </c>
      <c r="AO2" s="514">
        <v>46402</v>
      </c>
      <c r="AP2" s="514">
        <v>46433</v>
      </c>
      <c r="AQ2" s="514">
        <v>46461</v>
      </c>
      <c r="AR2" s="514">
        <v>46492</v>
      </c>
      <c r="AS2" s="514">
        <v>46522</v>
      </c>
      <c r="AT2" s="514">
        <v>46553</v>
      </c>
      <c r="AU2" s="514">
        <v>46583</v>
      </c>
      <c r="AV2" s="514">
        <v>46614</v>
      </c>
      <c r="AW2" s="514">
        <v>46645</v>
      </c>
      <c r="AX2" s="514">
        <v>46675</v>
      </c>
      <c r="AY2" s="514">
        <v>46706</v>
      </c>
      <c r="AZ2" s="514">
        <v>46736</v>
      </c>
      <c r="BA2" s="514">
        <v>46767</v>
      </c>
      <c r="BB2" s="514">
        <v>46798</v>
      </c>
      <c r="BC2" s="514">
        <v>46827</v>
      </c>
      <c r="BD2" s="514">
        <v>46858</v>
      </c>
      <c r="BE2" s="514">
        <v>46888</v>
      </c>
      <c r="BF2" s="514">
        <v>46919</v>
      </c>
      <c r="BG2" s="514">
        <v>46949</v>
      </c>
      <c r="BH2" s="514">
        <v>46980</v>
      </c>
      <c r="BI2" s="514">
        <v>47011</v>
      </c>
      <c r="BJ2" s="514">
        <v>47041</v>
      </c>
      <c r="BK2" s="514">
        <v>47072</v>
      </c>
      <c r="BL2" s="514">
        <v>47102</v>
      </c>
      <c r="BM2" s="514">
        <v>47133</v>
      </c>
      <c r="BN2" s="514">
        <v>47164</v>
      </c>
      <c r="BO2" s="514">
        <v>47192</v>
      </c>
      <c r="BP2" s="514">
        <v>47223</v>
      </c>
      <c r="BQ2" s="514">
        <v>47253</v>
      </c>
      <c r="BR2" s="514">
        <v>47284</v>
      </c>
      <c r="BS2" s="514">
        <v>47314</v>
      </c>
      <c r="BT2" s="514">
        <v>47345</v>
      </c>
      <c r="BU2" s="514">
        <v>47376</v>
      </c>
      <c r="BV2" s="514">
        <v>47406</v>
      </c>
      <c r="BW2" s="514">
        <v>47437</v>
      </c>
      <c r="BX2" s="514">
        <v>47467</v>
      </c>
      <c r="BY2" s="514">
        <v>47498</v>
      </c>
      <c r="BZ2" s="514">
        <v>47529</v>
      </c>
      <c r="CA2" s="514">
        <v>47557</v>
      </c>
      <c r="CB2" s="514">
        <v>47588</v>
      </c>
      <c r="CC2" s="514">
        <v>47618</v>
      </c>
      <c r="CD2" s="514">
        <v>47649</v>
      </c>
      <c r="CE2" s="514">
        <v>47679</v>
      </c>
      <c r="CF2" s="514">
        <v>47710</v>
      </c>
      <c r="CG2" s="514">
        <v>47741</v>
      </c>
      <c r="CH2" s="514">
        <v>47771</v>
      </c>
      <c r="CI2" s="514">
        <v>47802</v>
      </c>
      <c r="CJ2" s="514">
        <v>47832</v>
      </c>
      <c r="CK2" s="514">
        <v>47863</v>
      </c>
      <c r="CL2" s="514">
        <v>47894</v>
      </c>
      <c r="CM2" s="514">
        <v>47922</v>
      </c>
      <c r="CN2" s="514">
        <v>47953</v>
      </c>
      <c r="CO2" s="514">
        <v>47983</v>
      </c>
      <c r="CP2" s="514">
        <v>48014</v>
      </c>
      <c r="CQ2" s="514">
        <v>48044</v>
      </c>
      <c r="CR2" s="514">
        <v>48075</v>
      </c>
      <c r="CS2" s="514">
        <v>48106</v>
      </c>
      <c r="CT2" s="514">
        <v>48136</v>
      </c>
      <c r="CU2" s="514">
        <v>48167</v>
      </c>
      <c r="CV2" s="514">
        <v>48197</v>
      </c>
      <c r="CW2" s="514">
        <v>48228</v>
      </c>
      <c r="CX2" s="514">
        <v>48259</v>
      </c>
      <c r="CY2" s="514">
        <v>48288</v>
      </c>
      <c r="CZ2" s="514">
        <v>48319</v>
      </c>
      <c r="DA2" s="514">
        <v>48349</v>
      </c>
      <c r="DB2" s="514">
        <v>48380</v>
      </c>
      <c r="DC2" s="514">
        <v>48410</v>
      </c>
      <c r="DD2" s="514">
        <v>48441</v>
      </c>
      <c r="DE2" s="514">
        <v>48472</v>
      </c>
      <c r="DF2" s="514">
        <v>48502</v>
      </c>
      <c r="DG2" s="514">
        <v>48533</v>
      </c>
      <c r="DH2" s="514">
        <v>48563</v>
      </c>
      <c r="DI2" s="514">
        <v>48594</v>
      </c>
      <c r="DJ2" s="514">
        <v>48625</v>
      </c>
      <c r="DK2" s="514">
        <v>48653</v>
      </c>
      <c r="DL2" s="514">
        <v>48684</v>
      </c>
    </row>
    <row r="3" spans="2:119" ht="14.4" thickBot="1" x14ac:dyDescent="0.35">
      <c r="B3" s="325"/>
      <c r="C3" s="325"/>
      <c r="D3" s="325"/>
      <c r="E3" s="327"/>
      <c r="F3" s="327"/>
      <c r="G3" s="327"/>
      <c r="H3" s="327"/>
      <c r="I3" s="890">
        <f>Monthly!K4</f>
        <v>45413</v>
      </c>
      <c r="J3" s="890">
        <f>Monthly!L4</f>
        <v>45444</v>
      </c>
      <c r="K3" s="890">
        <f>Monthly!M4</f>
        <v>45474</v>
      </c>
      <c r="L3" s="890">
        <f>Monthly!N4</f>
        <v>45505</v>
      </c>
      <c r="M3" s="890">
        <f>Monthly!O4</f>
        <v>45536</v>
      </c>
      <c r="N3" s="890">
        <f>Monthly!P4</f>
        <v>45566</v>
      </c>
      <c r="O3" s="890">
        <f>Monthly!Q4</f>
        <v>45597</v>
      </c>
      <c r="P3" s="890">
        <f>Monthly!R4</f>
        <v>45627</v>
      </c>
      <c r="Q3" s="890">
        <f>Monthly!S4</f>
        <v>45658</v>
      </c>
      <c r="R3" s="890">
        <f>Monthly!T4</f>
        <v>45689</v>
      </c>
      <c r="S3" s="890">
        <f>Monthly!U4</f>
        <v>45717</v>
      </c>
      <c r="T3" s="911">
        <f>Monthly!V4</f>
        <v>45748</v>
      </c>
      <c r="U3" s="890">
        <f>Monthly!W4</f>
        <v>45778</v>
      </c>
      <c r="V3" s="890">
        <f>Monthly!X4</f>
        <v>45809</v>
      </c>
      <c r="W3" s="890">
        <f>Monthly!Y4</f>
        <v>45839</v>
      </c>
      <c r="X3" s="890">
        <f>Monthly!Z4</f>
        <v>45870</v>
      </c>
      <c r="Y3" s="890">
        <f>Monthly!AA4</f>
        <v>45901</v>
      </c>
      <c r="Z3" s="890">
        <f>Monthly!AB4</f>
        <v>45931</v>
      </c>
      <c r="AA3" s="890">
        <f>Monthly!AC4</f>
        <v>45962</v>
      </c>
      <c r="AB3" s="890">
        <f>Monthly!AD4</f>
        <v>45992</v>
      </c>
      <c r="AC3" s="890">
        <f>Monthly!AE4</f>
        <v>46023</v>
      </c>
      <c r="AD3" s="890">
        <f>Monthly!AF4</f>
        <v>46054</v>
      </c>
      <c r="AE3" s="890">
        <f>Monthly!AG4</f>
        <v>46082</v>
      </c>
      <c r="AF3" s="890">
        <f>Monthly!AH4</f>
        <v>46113</v>
      </c>
      <c r="AG3" s="890">
        <f>Monthly!AI4</f>
        <v>46143</v>
      </c>
      <c r="AH3" s="890">
        <f>Monthly!AJ4</f>
        <v>46174</v>
      </c>
      <c r="AI3" s="890">
        <f>Monthly!AK4</f>
        <v>46204</v>
      </c>
      <c r="AJ3" s="890">
        <f>Monthly!AL4</f>
        <v>46235</v>
      </c>
      <c r="AK3" s="890">
        <f>Monthly!AM4</f>
        <v>46266</v>
      </c>
      <c r="AL3" s="890">
        <f>Monthly!AN4</f>
        <v>46296</v>
      </c>
      <c r="AM3" s="890">
        <f>Monthly!AO4</f>
        <v>46327</v>
      </c>
      <c r="AN3" s="890">
        <f>Monthly!AP4</f>
        <v>46357</v>
      </c>
      <c r="AO3" s="890">
        <f>Monthly!AQ4</f>
        <v>46388</v>
      </c>
      <c r="AP3" s="890">
        <f>Monthly!AR4</f>
        <v>46419</v>
      </c>
      <c r="AQ3" s="890">
        <f>Monthly!AS4</f>
        <v>46447</v>
      </c>
      <c r="AR3" s="890">
        <f>Monthly!AT4</f>
        <v>46478</v>
      </c>
      <c r="AS3" s="890">
        <f>Monthly!AU4</f>
        <v>46508</v>
      </c>
      <c r="AT3" s="890">
        <f>Monthly!AV4</f>
        <v>46539</v>
      </c>
      <c r="AU3" s="890">
        <f>Monthly!AW4</f>
        <v>46569</v>
      </c>
      <c r="AV3" s="890">
        <f>Monthly!AX4</f>
        <v>46600</v>
      </c>
      <c r="AW3" s="890">
        <f>Monthly!AY4</f>
        <v>46631</v>
      </c>
      <c r="AX3" s="890">
        <f>Monthly!AZ4</f>
        <v>46661</v>
      </c>
      <c r="AY3" s="890">
        <f>Monthly!BA4</f>
        <v>46692</v>
      </c>
      <c r="AZ3" s="890">
        <f>Monthly!BB4</f>
        <v>46722</v>
      </c>
      <c r="BA3" s="890">
        <f>Monthly!BC4</f>
        <v>46753</v>
      </c>
      <c r="BB3" s="890">
        <f>Monthly!BD4</f>
        <v>46784</v>
      </c>
      <c r="BC3" s="890">
        <f>Monthly!BE4</f>
        <v>46813</v>
      </c>
      <c r="BD3" s="890">
        <f>Monthly!BF4</f>
        <v>46844</v>
      </c>
      <c r="BE3" s="890">
        <f>Monthly!BG4</f>
        <v>46874</v>
      </c>
      <c r="BF3" s="890">
        <f>Monthly!BH4</f>
        <v>46905</v>
      </c>
      <c r="BG3" s="890">
        <f>Monthly!BI4</f>
        <v>46935</v>
      </c>
      <c r="BH3" s="890">
        <f>Monthly!BJ4</f>
        <v>46966</v>
      </c>
      <c r="BI3" s="890">
        <f>Monthly!BK4</f>
        <v>46997</v>
      </c>
      <c r="BJ3" s="890">
        <f>Monthly!BL4</f>
        <v>47027</v>
      </c>
      <c r="BK3" s="890">
        <f>Monthly!BM4</f>
        <v>47058</v>
      </c>
      <c r="BL3" s="890">
        <f>Monthly!BN4</f>
        <v>47088</v>
      </c>
      <c r="BM3" s="890">
        <f>Monthly!BO4</f>
        <v>47119</v>
      </c>
      <c r="BN3" s="890">
        <f>Monthly!BP4</f>
        <v>47150</v>
      </c>
      <c r="BO3" s="890">
        <f>Monthly!BQ4</f>
        <v>47178</v>
      </c>
      <c r="BP3" s="890">
        <f>Monthly!BR4</f>
        <v>47209</v>
      </c>
      <c r="BQ3" s="890">
        <f>Monthly!BS4</f>
        <v>47239</v>
      </c>
      <c r="BR3" s="890">
        <f>Monthly!BT4</f>
        <v>47270</v>
      </c>
      <c r="BS3" s="890">
        <f>Monthly!BU4</f>
        <v>47300</v>
      </c>
      <c r="BT3" s="890">
        <f>Monthly!BV4</f>
        <v>47331</v>
      </c>
      <c r="BU3" s="890">
        <f>Monthly!BW4</f>
        <v>47362</v>
      </c>
      <c r="BV3" s="890">
        <f>Monthly!BX4</f>
        <v>47392</v>
      </c>
      <c r="BW3" s="890">
        <f>Monthly!BY4</f>
        <v>47423</v>
      </c>
      <c r="BX3" s="890">
        <f>Monthly!BZ4</f>
        <v>47453</v>
      </c>
      <c r="BY3" s="890">
        <f>Monthly!CA4</f>
        <v>47484</v>
      </c>
      <c r="BZ3" s="890">
        <f>Monthly!CB4</f>
        <v>47515</v>
      </c>
      <c r="CA3" s="890">
        <f>Monthly!CC4</f>
        <v>47543</v>
      </c>
      <c r="CB3" s="890">
        <f>Monthly!CD4</f>
        <v>47574</v>
      </c>
      <c r="CC3" s="890">
        <f>Monthly!CE4</f>
        <v>47604</v>
      </c>
      <c r="CD3" s="890">
        <f>Monthly!CF4</f>
        <v>47635</v>
      </c>
      <c r="CE3" s="890">
        <f>Monthly!CG4</f>
        <v>47665</v>
      </c>
      <c r="CF3" s="890">
        <f>Monthly!CH4</f>
        <v>47696</v>
      </c>
      <c r="CG3" s="890">
        <f>Monthly!CI4</f>
        <v>47727</v>
      </c>
      <c r="CH3" s="890">
        <f>Monthly!CJ4</f>
        <v>47757</v>
      </c>
      <c r="CI3" s="890">
        <f>Monthly!CK4</f>
        <v>47788</v>
      </c>
      <c r="CJ3" s="890">
        <f>Monthly!CL4</f>
        <v>47818</v>
      </c>
      <c r="CK3" s="890">
        <f>Monthly!CM4</f>
        <v>47849</v>
      </c>
      <c r="CL3" s="890">
        <f>Monthly!CN4</f>
        <v>47880</v>
      </c>
      <c r="CM3" s="890">
        <f>Monthly!CO4</f>
        <v>47908</v>
      </c>
      <c r="CN3" s="890">
        <f>Monthly!CP4</f>
        <v>47939</v>
      </c>
      <c r="CO3" s="890">
        <f>Monthly!CQ4</f>
        <v>47969</v>
      </c>
      <c r="CP3" s="890">
        <f>Monthly!CR4</f>
        <v>48000</v>
      </c>
      <c r="CQ3" s="890">
        <f>Monthly!CS4</f>
        <v>48030</v>
      </c>
      <c r="CR3" s="890">
        <f>Monthly!CT4</f>
        <v>48061</v>
      </c>
      <c r="CS3" s="890">
        <f>Monthly!CU4</f>
        <v>48092</v>
      </c>
      <c r="CT3" s="890">
        <f>Monthly!CV4</f>
        <v>48122</v>
      </c>
      <c r="CU3" s="890">
        <f>Monthly!CW4</f>
        <v>48153</v>
      </c>
      <c r="CV3" s="890">
        <f>Monthly!CX4</f>
        <v>48183</v>
      </c>
      <c r="CW3" s="890">
        <f>Monthly!CY4</f>
        <v>48214</v>
      </c>
      <c r="CX3" s="890">
        <f>Monthly!CZ4</f>
        <v>48245</v>
      </c>
      <c r="CY3" s="890">
        <f>Monthly!DA4</f>
        <v>48274</v>
      </c>
      <c r="CZ3" s="890">
        <f>Monthly!DB4</f>
        <v>48305</v>
      </c>
      <c r="DA3" s="890">
        <f>Monthly!DC4</f>
        <v>48335</v>
      </c>
      <c r="DB3" s="890">
        <f>Monthly!DD4</f>
        <v>48366</v>
      </c>
      <c r="DC3" s="890">
        <f>Monthly!DE4</f>
        <v>48396</v>
      </c>
      <c r="DD3" s="890">
        <f>Monthly!DF4</f>
        <v>48427</v>
      </c>
      <c r="DE3" s="890">
        <f>Monthly!DG4</f>
        <v>48458</v>
      </c>
      <c r="DF3" s="890">
        <f>Monthly!DH4</f>
        <v>48488</v>
      </c>
      <c r="DG3" s="890">
        <f>Monthly!DI4</f>
        <v>48519</v>
      </c>
      <c r="DH3" s="890">
        <f>Monthly!DJ4</f>
        <v>48549</v>
      </c>
      <c r="DI3" s="890">
        <f>Monthly!DK4</f>
        <v>48580</v>
      </c>
      <c r="DJ3" s="890">
        <f>Monthly!DL4</f>
        <v>48611</v>
      </c>
      <c r="DK3" s="890">
        <f>Monthly!DM4</f>
        <v>48639</v>
      </c>
      <c r="DL3" s="890">
        <f>Monthly!DN4</f>
        <v>48670</v>
      </c>
      <c r="DM3" s="326"/>
      <c r="DN3" s="326" t="str">
        <f>Monthly!DP4</f>
        <v>Total</v>
      </c>
    </row>
    <row r="4" spans="2:119" x14ac:dyDescent="0.3">
      <c r="I4" s="535">
        <v>1</v>
      </c>
      <c r="J4" s="535">
        <v>2</v>
      </c>
      <c r="K4" s="535">
        <v>3</v>
      </c>
      <c r="L4" s="535">
        <v>4</v>
      </c>
      <c r="M4" s="535">
        <v>5</v>
      </c>
      <c r="N4" s="535">
        <v>6</v>
      </c>
      <c r="O4" s="535">
        <v>7</v>
      </c>
      <c r="P4" s="535">
        <v>8</v>
      </c>
      <c r="Q4" s="535">
        <v>9</v>
      </c>
      <c r="R4" s="535">
        <v>10</v>
      </c>
      <c r="S4" s="535">
        <v>11</v>
      </c>
      <c r="T4" s="912">
        <v>12</v>
      </c>
      <c r="U4" s="535">
        <v>13</v>
      </c>
      <c r="V4" s="535">
        <v>14</v>
      </c>
      <c r="W4" s="535">
        <v>15</v>
      </c>
      <c r="X4" s="535">
        <v>16</v>
      </c>
      <c r="Y4" s="535">
        <v>17</v>
      </c>
      <c r="Z4" s="535">
        <v>18</v>
      </c>
      <c r="AA4" s="535">
        <v>19</v>
      </c>
      <c r="AB4" s="535">
        <v>20</v>
      </c>
      <c r="AC4" s="535">
        <v>21</v>
      </c>
      <c r="AD4" s="535">
        <v>22</v>
      </c>
      <c r="AE4" s="535">
        <v>23</v>
      </c>
      <c r="AF4" s="923">
        <v>24</v>
      </c>
      <c r="AG4" s="535">
        <v>25</v>
      </c>
      <c r="AH4" s="535">
        <v>26</v>
      </c>
      <c r="AI4" s="535">
        <v>27</v>
      </c>
      <c r="AJ4" s="535">
        <v>28</v>
      </c>
      <c r="AK4" s="535">
        <v>29</v>
      </c>
      <c r="AL4" s="535">
        <v>30</v>
      </c>
      <c r="AM4" s="535">
        <v>31</v>
      </c>
      <c r="AN4" s="535">
        <v>32</v>
      </c>
      <c r="AO4" s="535">
        <v>33</v>
      </c>
      <c r="AP4" s="535">
        <v>34</v>
      </c>
      <c r="AQ4" s="535">
        <v>35</v>
      </c>
      <c r="AR4" s="923">
        <v>36</v>
      </c>
      <c r="AS4" s="535">
        <v>37</v>
      </c>
      <c r="AT4" s="535">
        <v>38</v>
      </c>
      <c r="AU4" s="535">
        <v>39</v>
      </c>
      <c r="AV4" s="535">
        <v>40</v>
      </c>
      <c r="AW4" s="535">
        <v>41</v>
      </c>
      <c r="AX4" s="535">
        <v>42</v>
      </c>
      <c r="AY4" s="535">
        <v>43</v>
      </c>
      <c r="AZ4" s="535">
        <v>44</v>
      </c>
      <c r="BA4" s="535">
        <v>45</v>
      </c>
      <c r="BB4" s="535">
        <v>46</v>
      </c>
      <c r="BC4" s="535">
        <v>47</v>
      </c>
      <c r="BD4" s="923">
        <v>48</v>
      </c>
      <c r="BE4" s="535">
        <v>49</v>
      </c>
      <c r="BF4" s="535">
        <v>50</v>
      </c>
      <c r="BG4" s="535">
        <v>51</v>
      </c>
      <c r="BH4" s="535">
        <v>52</v>
      </c>
      <c r="BI4" s="535">
        <v>53</v>
      </c>
      <c r="BJ4" s="535">
        <v>54</v>
      </c>
      <c r="BK4" s="535">
        <v>55</v>
      </c>
      <c r="BL4" s="535">
        <v>56</v>
      </c>
      <c r="BM4" s="535">
        <v>57</v>
      </c>
      <c r="BN4" s="535">
        <v>58</v>
      </c>
      <c r="BO4" s="535">
        <v>59</v>
      </c>
      <c r="BP4" s="923">
        <v>60</v>
      </c>
      <c r="BQ4" s="535">
        <v>61</v>
      </c>
      <c r="BR4" s="535">
        <v>62</v>
      </c>
      <c r="BS4" s="535">
        <v>63</v>
      </c>
      <c r="BT4" s="535">
        <v>64</v>
      </c>
      <c r="BU4" s="535">
        <v>65</v>
      </c>
      <c r="BV4" s="535">
        <v>66</v>
      </c>
      <c r="BW4" s="535">
        <v>67</v>
      </c>
      <c r="BX4" s="535">
        <v>68</v>
      </c>
      <c r="BY4" s="535">
        <v>69</v>
      </c>
      <c r="BZ4" s="535">
        <v>70</v>
      </c>
      <c r="CA4" s="535">
        <v>71</v>
      </c>
      <c r="CB4" s="923">
        <v>72</v>
      </c>
      <c r="CC4" s="535">
        <v>73</v>
      </c>
      <c r="CD4" s="535">
        <v>74</v>
      </c>
      <c r="CE4" s="535">
        <v>75</v>
      </c>
      <c r="CF4" s="535">
        <v>76</v>
      </c>
      <c r="CG4" s="535">
        <v>77</v>
      </c>
      <c r="CH4" s="535">
        <v>78</v>
      </c>
      <c r="CI4" s="535">
        <v>79</v>
      </c>
      <c r="CJ4" s="535">
        <v>80</v>
      </c>
      <c r="CK4" s="535">
        <v>81</v>
      </c>
      <c r="CL4" s="535">
        <v>82</v>
      </c>
      <c r="CM4" s="535">
        <v>83</v>
      </c>
      <c r="CN4" s="923">
        <v>84</v>
      </c>
      <c r="CO4" s="535">
        <v>85</v>
      </c>
      <c r="CP4" s="535">
        <v>86</v>
      </c>
      <c r="CQ4" s="535">
        <v>87</v>
      </c>
      <c r="CR4" s="535">
        <v>88</v>
      </c>
      <c r="CS4" s="535">
        <v>89</v>
      </c>
      <c r="CT4" s="535">
        <v>90</v>
      </c>
      <c r="CU4" s="535">
        <v>91</v>
      </c>
      <c r="CV4" s="535">
        <v>92</v>
      </c>
      <c r="CW4" s="535">
        <v>93</v>
      </c>
      <c r="CX4" s="535">
        <v>94</v>
      </c>
      <c r="CY4" s="535">
        <v>95</v>
      </c>
      <c r="CZ4" s="923">
        <v>96</v>
      </c>
      <c r="DA4" s="535">
        <v>97</v>
      </c>
      <c r="DB4" s="535">
        <v>98</v>
      </c>
      <c r="DC4" s="535">
        <v>99</v>
      </c>
      <c r="DD4" s="535">
        <v>100</v>
      </c>
      <c r="DE4" s="535">
        <v>101</v>
      </c>
      <c r="DF4" s="535">
        <v>102</v>
      </c>
      <c r="DG4" s="535">
        <v>103</v>
      </c>
      <c r="DH4" s="535">
        <v>104</v>
      </c>
      <c r="DI4" s="535">
        <v>105</v>
      </c>
      <c r="DJ4" s="535">
        <v>106</v>
      </c>
      <c r="DK4" s="535">
        <v>107</v>
      </c>
      <c r="DL4" s="535">
        <v>108</v>
      </c>
    </row>
    <row r="5" spans="2:119" ht="14.4" thickBot="1" x14ac:dyDescent="0.35">
      <c r="B5" s="375" t="s">
        <v>304</v>
      </c>
      <c r="T5" s="561"/>
      <c r="AF5" s="561"/>
      <c r="AR5" s="561"/>
      <c r="BD5" s="561"/>
      <c r="BP5" s="561"/>
      <c r="CB5" s="561"/>
      <c r="CN5" s="561"/>
      <c r="CZ5" s="561"/>
    </row>
    <row r="6" spans="2:119" x14ac:dyDescent="0.3">
      <c r="B6" s="412"/>
      <c r="C6" s="413"/>
      <c r="D6" s="413"/>
      <c r="E6" s="414"/>
      <c r="F6" s="414"/>
      <c r="G6" s="414"/>
      <c r="H6" s="414"/>
      <c r="I6" s="414"/>
      <c r="J6" s="414"/>
      <c r="K6" s="414"/>
      <c r="L6" s="414"/>
      <c r="M6" s="414"/>
      <c r="N6" s="414"/>
      <c r="O6" s="414"/>
      <c r="P6" s="414"/>
      <c r="Q6" s="414"/>
      <c r="R6" s="414"/>
      <c r="S6" s="414"/>
      <c r="T6" s="913"/>
      <c r="U6" s="414"/>
      <c r="V6" s="414"/>
      <c r="W6" s="414"/>
      <c r="X6" s="414"/>
      <c r="Y6" s="414"/>
      <c r="Z6" s="414"/>
      <c r="AA6" s="414"/>
      <c r="AB6" s="414"/>
      <c r="AC6" s="414"/>
      <c r="AD6" s="414"/>
      <c r="AE6" s="414"/>
      <c r="AF6" s="913"/>
      <c r="AG6" s="414"/>
      <c r="AH6" s="414"/>
      <c r="AI6" s="414"/>
      <c r="AJ6" s="414"/>
      <c r="AK6" s="414"/>
      <c r="AL6" s="414"/>
      <c r="AM6" s="414"/>
      <c r="AN6" s="414"/>
      <c r="AO6" s="414"/>
      <c r="AP6" s="414"/>
      <c r="AQ6" s="414"/>
      <c r="AR6" s="913"/>
      <c r="AS6" s="414"/>
      <c r="AT6" s="414"/>
      <c r="AU6" s="414"/>
      <c r="AV6" s="414"/>
      <c r="AW6" s="414"/>
      <c r="AX6" s="414"/>
      <c r="AY6" s="414"/>
      <c r="AZ6" s="414"/>
      <c r="BA6" s="414"/>
      <c r="BB6" s="414"/>
      <c r="BC6" s="414"/>
      <c r="BD6" s="913"/>
      <c r="BE6" s="414"/>
      <c r="BF6" s="414"/>
      <c r="BG6" s="414"/>
      <c r="BH6" s="414"/>
      <c r="BI6" s="414"/>
      <c r="BJ6" s="414"/>
      <c r="BK6" s="414"/>
      <c r="BL6" s="414"/>
      <c r="BM6" s="414"/>
      <c r="BN6" s="414"/>
      <c r="BO6" s="414"/>
      <c r="BP6" s="913"/>
      <c r="BQ6" s="414"/>
      <c r="BR6" s="414"/>
      <c r="BS6" s="414"/>
      <c r="BT6" s="414"/>
      <c r="BU6" s="414"/>
      <c r="BV6" s="414"/>
      <c r="BW6" s="414"/>
      <c r="BX6" s="414"/>
      <c r="BY6" s="414"/>
      <c r="BZ6" s="414"/>
      <c r="CA6" s="414"/>
      <c r="CB6" s="913"/>
      <c r="CC6" s="414"/>
      <c r="CD6" s="414"/>
      <c r="CE6" s="414"/>
      <c r="CF6" s="414"/>
      <c r="CG6" s="414"/>
      <c r="CH6" s="414"/>
      <c r="CI6" s="414"/>
      <c r="CJ6" s="414"/>
      <c r="CK6" s="414"/>
      <c r="CL6" s="414"/>
      <c r="CM6" s="414"/>
      <c r="CN6" s="913"/>
      <c r="CO6" s="414"/>
      <c r="CP6" s="414"/>
      <c r="CQ6" s="414"/>
      <c r="CR6" s="414"/>
      <c r="CS6" s="414"/>
      <c r="CT6" s="414"/>
      <c r="CU6" s="414"/>
      <c r="CV6" s="414"/>
      <c r="CW6" s="414"/>
      <c r="CX6" s="414"/>
      <c r="CY6" s="414"/>
      <c r="CZ6" s="913"/>
      <c r="DA6" s="414"/>
      <c r="DB6" s="414"/>
      <c r="DC6" s="414"/>
      <c r="DD6" s="414"/>
      <c r="DE6" s="414"/>
      <c r="DF6" s="414"/>
      <c r="DG6" s="414"/>
      <c r="DH6" s="414"/>
      <c r="DI6" s="414"/>
      <c r="DJ6" s="414"/>
      <c r="DK6" s="414"/>
      <c r="DL6" s="414"/>
      <c r="DM6" s="414"/>
      <c r="DN6" s="414"/>
      <c r="DO6" s="415"/>
    </row>
    <row r="7" spans="2:119" x14ac:dyDescent="0.3">
      <c r="B7" s="416"/>
      <c r="C7" s="375" t="s">
        <v>272</v>
      </c>
      <c r="T7" s="561"/>
      <c r="AF7" s="561"/>
      <c r="AR7" s="561"/>
      <c r="BD7" s="561"/>
      <c r="BP7" s="561"/>
      <c r="CB7" s="561"/>
      <c r="CN7" s="561"/>
      <c r="CZ7" s="561"/>
      <c r="DO7" s="330"/>
    </row>
    <row r="8" spans="2:119" x14ac:dyDescent="0.3">
      <c r="B8" s="416"/>
      <c r="C8" s="401"/>
      <c r="D8" s="402" t="s">
        <v>305</v>
      </c>
      <c r="E8" s="403"/>
      <c r="F8" s="403"/>
      <c r="G8" s="403"/>
      <c r="H8" s="403"/>
      <c r="I8" s="404">
        <f>-'Table 3.0'!G7</f>
        <v>1175000</v>
      </c>
      <c r="J8" s="404">
        <f t="shared" ref="J8:AF8" si="0">I11</f>
        <v>1175000</v>
      </c>
      <c r="K8" s="404">
        <f t="shared" si="0"/>
        <v>1175000</v>
      </c>
      <c r="L8" s="404">
        <f t="shared" si="0"/>
        <v>1175000</v>
      </c>
      <c r="M8" s="404">
        <f t="shared" si="0"/>
        <v>1175000</v>
      </c>
      <c r="N8" s="404">
        <f t="shared" si="0"/>
        <v>1175000</v>
      </c>
      <c r="O8" s="404">
        <f t="shared" si="0"/>
        <v>1175000</v>
      </c>
      <c r="P8" s="404">
        <f t="shared" si="0"/>
        <v>1175000</v>
      </c>
      <c r="Q8" s="404">
        <f t="shared" si="0"/>
        <v>1175000</v>
      </c>
      <c r="R8" s="404">
        <f t="shared" si="0"/>
        <v>1175000</v>
      </c>
      <c r="S8" s="404">
        <f t="shared" si="0"/>
        <v>1175000</v>
      </c>
      <c r="T8" s="914">
        <f t="shared" si="0"/>
        <v>1175000</v>
      </c>
      <c r="U8" s="404">
        <f t="shared" si="0"/>
        <v>1175000</v>
      </c>
      <c r="V8" s="404">
        <f t="shared" si="0"/>
        <v>1175000</v>
      </c>
      <c r="W8" s="404">
        <f t="shared" si="0"/>
        <v>1175000</v>
      </c>
      <c r="X8" s="404">
        <f t="shared" si="0"/>
        <v>1175000</v>
      </c>
      <c r="Y8" s="404">
        <f t="shared" si="0"/>
        <v>1175000</v>
      </c>
      <c r="Z8" s="404">
        <f t="shared" si="0"/>
        <v>1175000</v>
      </c>
      <c r="AA8" s="404">
        <f t="shared" si="0"/>
        <v>1175000</v>
      </c>
      <c r="AB8" s="404">
        <f t="shared" si="0"/>
        <v>1175000</v>
      </c>
      <c r="AC8" s="404">
        <f t="shared" si="0"/>
        <v>1175000</v>
      </c>
      <c r="AD8" s="404">
        <f t="shared" si="0"/>
        <v>1175000</v>
      </c>
      <c r="AE8" s="404">
        <f t="shared" si="0"/>
        <v>1175000</v>
      </c>
      <c r="AF8" s="914">
        <f t="shared" si="0"/>
        <v>1175000</v>
      </c>
      <c r="AG8" s="404">
        <f t="shared" ref="AG8" si="1">AF11</f>
        <v>965755.59582306445</v>
      </c>
      <c r="AH8" s="404">
        <f t="shared" ref="AH8" si="2">AG11</f>
        <v>964853.03006945061</v>
      </c>
      <c r="AI8" s="404">
        <f t="shared" ref="AI8" si="3">AH11</f>
        <v>961532.8690036207</v>
      </c>
      <c r="AJ8" s="404">
        <f t="shared" ref="AJ8" si="4">AI11</f>
        <v>954689.57332935289</v>
      </c>
      <c r="AK8" s="404">
        <f t="shared" ref="AK8" si="5">AJ11</f>
        <v>947792.10156433051</v>
      </c>
      <c r="AL8" s="404">
        <f t="shared" ref="AL8" si="6">AK11</f>
        <v>942860.04981450166</v>
      </c>
      <c r="AM8" s="404">
        <f t="shared" ref="AM8" si="7">AL11</f>
        <v>938822.57765498676</v>
      </c>
      <c r="AN8" s="404">
        <f t="shared" ref="AN8" si="8">AM11</f>
        <v>938249.99217420898</v>
      </c>
      <c r="AO8" s="404">
        <f t="shared" ref="AO8" si="9">AN11</f>
        <v>938249.99217420898</v>
      </c>
      <c r="AP8" s="404">
        <f t="shared" ref="AP8" si="10">AO11</f>
        <v>938249.99217420898</v>
      </c>
      <c r="AQ8" s="404">
        <f t="shared" ref="AQ8" si="11">AP11</f>
        <v>938249.99217420898</v>
      </c>
      <c r="AR8" s="914">
        <f t="shared" ref="AR8" si="12">AQ11</f>
        <v>938249.99217420898</v>
      </c>
      <c r="AS8" s="404">
        <f t="shared" ref="AS8" si="13">AR11</f>
        <v>938249.99217420898</v>
      </c>
      <c r="AT8" s="404">
        <f t="shared" ref="AT8" si="14">AS11</f>
        <v>938249.99217420898</v>
      </c>
      <c r="AU8" s="404">
        <f t="shared" ref="AU8" si="15">AT11</f>
        <v>938249.99217420898</v>
      </c>
      <c r="AV8" s="404">
        <f t="shared" ref="AV8" si="16">AU11</f>
        <v>938249.99217420898</v>
      </c>
      <c r="AW8" s="404">
        <f t="shared" ref="AW8" si="17">AV11</f>
        <v>938249.99217420898</v>
      </c>
      <c r="AX8" s="404">
        <f t="shared" ref="AX8" si="18">AW11</f>
        <v>938249.99217420898</v>
      </c>
      <c r="AY8" s="404">
        <f t="shared" ref="AY8" si="19">AX11</f>
        <v>938249.99217420898</v>
      </c>
      <c r="AZ8" s="404">
        <f t="shared" ref="AZ8" si="20">AY11</f>
        <v>938249.99217420898</v>
      </c>
      <c r="BA8" s="404">
        <f t="shared" ref="BA8" si="21">AZ11</f>
        <v>938249.99217420898</v>
      </c>
      <c r="BB8" s="404">
        <f t="shared" ref="BB8" si="22">BA11</f>
        <v>938249.99217420898</v>
      </c>
      <c r="BC8" s="404">
        <f t="shared" ref="BC8" si="23">BB11</f>
        <v>938249.99217420898</v>
      </c>
      <c r="BD8" s="914">
        <f t="shared" ref="BD8" si="24">BC11</f>
        <v>938249.99217420898</v>
      </c>
      <c r="BE8" s="404">
        <f t="shared" ref="BE8" si="25">BD11</f>
        <v>938249.99217420898</v>
      </c>
      <c r="BF8" s="404">
        <f t="shared" ref="BF8" si="26">BE11</f>
        <v>938249.99217420898</v>
      </c>
      <c r="BG8" s="404">
        <f t="shared" ref="BG8" si="27">BF11</f>
        <v>938249.99217420898</v>
      </c>
      <c r="BH8" s="404">
        <f t="shared" ref="BH8" si="28">BG11</f>
        <v>938249.99217420898</v>
      </c>
      <c r="BI8" s="404">
        <f t="shared" ref="BI8" si="29">BH11</f>
        <v>938249.99217420898</v>
      </c>
      <c r="BJ8" s="404">
        <f t="shared" ref="BJ8" si="30">BI11</f>
        <v>938249.99217420898</v>
      </c>
      <c r="BK8" s="404">
        <f t="shared" ref="BK8" si="31">BJ11</f>
        <v>938249.99217420898</v>
      </c>
      <c r="BL8" s="404">
        <f t="shared" ref="BL8" si="32">BK11</f>
        <v>938249.99217420898</v>
      </c>
      <c r="BM8" s="404">
        <f t="shared" ref="BM8" si="33">BL11</f>
        <v>938249.99217420898</v>
      </c>
      <c r="BN8" s="404">
        <f t="shared" ref="BN8" si="34">BM11</f>
        <v>938249.99217420898</v>
      </c>
      <c r="BO8" s="404">
        <f t="shared" ref="BO8" si="35">BN11</f>
        <v>938249.99217420898</v>
      </c>
      <c r="BP8" s="914">
        <f t="shared" ref="BP8" si="36">BO11</f>
        <v>938249.99217420898</v>
      </c>
      <c r="BQ8" s="404">
        <f t="shared" ref="BQ8" si="37">BP11</f>
        <v>938249.99217420898</v>
      </c>
      <c r="BR8" s="404">
        <f t="shared" ref="BR8" si="38">BQ11</f>
        <v>938249.99217420898</v>
      </c>
      <c r="BS8" s="404">
        <f t="shared" ref="BS8" si="39">BR11</f>
        <v>938249.99217420898</v>
      </c>
      <c r="BT8" s="404">
        <f t="shared" ref="BT8" si="40">BS11</f>
        <v>938249.99217420898</v>
      </c>
      <c r="BU8" s="404">
        <f t="shared" ref="BU8" si="41">BT11</f>
        <v>938249.99217420898</v>
      </c>
      <c r="BV8" s="404">
        <f t="shared" ref="BV8" si="42">BU11</f>
        <v>938249.99217420898</v>
      </c>
      <c r="BW8" s="404">
        <f t="shared" ref="BW8" si="43">BV11</f>
        <v>938249.99217420898</v>
      </c>
      <c r="BX8" s="404">
        <f t="shared" ref="BX8" si="44">BW11</f>
        <v>938249.99217420898</v>
      </c>
      <c r="BY8" s="404">
        <f t="shared" ref="BY8" si="45">BX11</f>
        <v>938249.99217420898</v>
      </c>
      <c r="BZ8" s="404">
        <f t="shared" ref="BZ8" si="46">BY11</f>
        <v>938249.99217420898</v>
      </c>
      <c r="CA8" s="404">
        <f t="shared" ref="CA8" si="47">BZ11</f>
        <v>938249.99217420898</v>
      </c>
      <c r="CB8" s="914">
        <f t="shared" ref="CB8" si="48">CA11</f>
        <v>938249.99217420898</v>
      </c>
      <c r="CC8" s="404">
        <f t="shared" ref="CC8" si="49">CB11</f>
        <v>938249.99217420898</v>
      </c>
      <c r="CD8" s="404">
        <f t="shared" ref="CD8" si="50">CC11</f>
        <v>938249.99217420898</v>
      </c>
      <c r="CE8" s="404">
        <f t="shared" ref="CE8" si="51">CD11</f>
        <v>938249.99217420898</v>
      </c>
      <c r="CF8" s="404">
        <f t="shared" ref="CF8" si="52">CE11</f>
        <v>938249.99217420898</v>
      </c>
      <c r="CG8" s="404">
        <f t="shared" ref="CG8" si="53">CF11</f>
        <v>938249.99217420898</v>
      </c>
      <c r="CH8" s="404">
        <f t="shared" ref="CH8" si="54">CG11</f>
        <v>938249.99217420898</v>
      </c>
      <c r="CI8" s="404">
        <f t="shared" ref="CI8" si="55">CH11</f>
        <v>938249.99217420898</v>
      </c>
      <c r="CJ8" s="404">
        <f t="shared" ref="CJ8" si="56">CI11</f>
        <v>938249.99217420898</v>
      </c>
      <c r="CK8" s="404">
        <f t="shared" ref="CK8" si="57">CJ11</f>
        <v>938249.99217420898</v>
      </c>
      <c r="CL8" s="404">
        <f t="shared" ref="CL8" si="58">CK11</f>
        <v>938249.99217420898</v>
      </c>
      <c r="CM8" s="404">
        <f t="shared" ref="CM8" si="59">CL11</f>
        <v>938249.99217420898</v>
      </c>
      <c r="CN8" s="914">
        <f t="shared" ref="CN8" si="60">CM11</f>
        <v>938249.99217420898</v>
      </c>
      <c r="CO8" s="404">
        <f t="shared" ref="CO8" si="61">CN11</f>
        <v>938249.99217420898</v>
      </c>
      <c r="CP8" s="404">
        <f t="shared" ref="CP8" si="62">CO11</f>
        <v>938249.99217420898</v>
      </c>
      <c r="CQ8" s="404">
        <f t="shared" ref="CQ8" si="63">CP11</f>
        <v>938249.99217420898</v>
      </c>
      <c r="CR8" s="404">
        <f t="shared" ref="CR8" si="64">CQ11</f>
        <v>938249.99217420898</v>
      </c>
      <c r="CS8" s="404">
        <f t="shared" ref="CS8" si="65">CR11</f>
        <v>938249.99217420898</v>
      </c>
      <c r="CT8" s="404">
        <f t="shared" ref="CT8" si="66">CS11</f>
        <v>938249.99217420898</v>
      </c>
      <c r="CU8" s="404">
        <f t="shared" ref="CU8" si="67">CT11</f>
        <v>938249.99217420898</v>
      </c>
      <c r="CV8" s="404">
        <f t="shared" ref="CV8" si="68">CU11</f>
        <v>938249.99217420898</v>
      </c>
      <c r="CW8" s="404">
        <f t="shared" ref="CW8" si="69">CV11</f>
        <v>938249.99217420898</v>
      </c>
      <c r="CX8" s="404">
        <f t="shared" ref="CX8" si="70">CW11</f>
        <v>938249.99217420898</v>
      </c>
      <c r="CY8" s="404">
        <f t="shared" ref="CY8" si="71">CX11</f>
        <v>938249.99217420898</v>
      </c>
      <c r="CZ8" s="914">
        <f t="shared" ref="CZ8" si="72">CY11</f>
        <v>938249.99217420898</v>
      </c>
      <c r="DA8" s="404">
        <f t="shared" ref="DA8" si="73">CZ11</f>
        <v>938249.99217420898</v>
      </c>
      <c r="DB8" s="404">
        <f t="shared" ref="DB8" si="74">DA11</f>
        <v>938249.99217420898</v>
      </c>
      <c r="DC8" s="404">
        <f t="shared" ref="DC8" si="75">DB11</f>
        <v>938249.99217420898</v>
      </c>
      <c r="DD8" s="404">
        <f t="shared" ref="DD8" si="76">DC11</f>
        <v>938249.99217420898</v>
      </c>
      <c r="DE8" s="404">
        <f t="shared" ref="DE8" si="77">DD11</f>
        <v>938249.99217420898</v>
      </c>
      <c r="DF8" s="404">
        <f t="shared" ref="DF8" si="78">DE11</f>
        <v>938249.99217420898</v>
      </c>
      <c r="DG8" s="404">
        <f t="shared" ref="DG8" si="79">DF11</f>
        <v>938249.99217420898</v>
      </c>
      <c r="DH8" s="404">
        <f t="shared" ref="DH8" si="80">DG11</f>
        <v>938249.99217420898</v>
      </c>
      <c r="DI8" s="404">
        <f t="shared" ref="DI8" si="81">DH11</f>
        <v>938249.99217420898</v>
      </c>
      <c r="DJ8" s="404">
        <f t="shared" ref="DJ8" si="82">DI11</f>
        <v>938249.99217420898</v>
      </c>
      <c r="DK8" s="404">
        <f t="shared" ref="DK8" si="83">DJ11</f>
        <v>938249.99217420898</v>
      </c>
      <c r="DL8" s="404">
        <f t="shared" ref="DL8" si="84">DK11</f>
        <v>938249.99217420898</v>
      </c>
      <c r="DM8" s="403"/>
      <c r="DN8" s="405"/>
      <c r="DO8" s="330"/>
    </row>
    <row r="9" spans="2:119" x14ac:dyDescent="0.3">
      <c r="B9" s="416"/>
      <c r="C9" s="406"/>
      <c r="E9" s="323" t="s">
        <v>306</v>
      </c>
      <c r="I9" s="492">
        <v>0</v>
      </c>
      <c r="J9" s="492">
        <v>0</v>
      </c>
      <c r="K9" s="492">
        <v>0</v>
      </c>
      <c r="L9" s="492">
        <v>0</v>
      </c>
      <c r="M9" s="492">
        <v>0</v>
      </c>
      <c r="N9" s="492">
        <v>0</v>
      </c>
      <c r="O9" s="492">
        <v>0</v>
      </c>
      <c r="P9" s="492">
        <v>0</v>
      </c>
      <c r="Q9" s="492">
        <v>0</v>
      </c>
      <c r="R9" s="492">
        <v>0</v>
      </c>
      <c r="S9" s="492">
        <v>0</v>
      </c>
      <c r="T9" s="904">
        <v>0</v>
      </c>
      <c r="U9" s="492">
        <v>0</v>
      </c>
      <c r="V9" s="492">
        <v>0</v>
      </c>
      <c r="W9" s="492">
        <v>0</v>
      </c>
      <c r="X9" s="492">
        <v>0</v>
      </c>
      <c r="Y9" s="492">
        <v>0</v>
      </c>
      <c r="Z9" s="492">
        <v>0</v>
      </c>
      <c r="AA9" s="492">
        <v>0</v>
      </c>
      <c r="AB9" s="492">
        <v>0</v>
      </c>
      <c r="AC9" s="492">
        <v>0</v>
      </c>
      <c r="AD9" s="492">
        <v>0</v>
      </c>
      <c r="AE9" s="492">
        <v>0</v>
      </c>
      <c r="AF9" s="904">
        <v>0</v>
      </c>
      <c r="AG9" s="492">
        <v>0</v>
      </c>
      <c r="AH9" s="492">
        <v>0</v>
      </c>
      <c r="AI9" s="492">
        <v>0</v>
      </c>
      <c r="AJ9" s="492">
        <v>0</v>
      </c>
      <c r="AK9" s="492">
        <v>0</v>
      </c>
      <c r="AL9" s="492">
        <v>0</v>
      </c>
      <c r="AM9" s="492">
        <v>0</v>
      </c>
      <c r="AN9" s="492">
        <v>0</v>
      </c>
      <c r="AO9" s="492">
        <v>0</v>
      </c>
      <c r="AP9" s="492">
        <v>0</v>
      </c>
      <c r="AQ9" s="492">
        <v>0</v>
      </c>
      <c r="AR9" s="904">
        <v>0</v>
      </c>
      <c r="AS9" s="492">
        <v>0</v>
      </c>
      <c r="AT9" s="492">
        <v>0</v>
      </c>
      <c r="AU9" s="492">
        <v>0</v>
      </c>
      <c r="AV9" s="492">
        <v>0</v>
      </c>
      <c r="AW9" s="492">
        <v>0</v>
      </c>
      <c r="AX9" s="492">
        <v>0</v>
      </c>
      <c r="AY9" s="492">
        <v>0</v>
      </c>
      <c r="AZ9" s="492">
        <v>0</v>
      </c>
      <c r="BA9" s="492">
        <v>0</v>
      </c>
      <c r="BB9" s="492">
        <v>0</v>
      </c>
      <c r="BC9" s="492">
        <v>0</v>
      </c>
      <c r="BD9" s="904">
        <v>0</v>
      </c>
      <c r="BE9" s="492">
        <v>0</v>
      </c>
      <c r="BF9" s="492">
        <v>0</v>
      </c>
      <c r="BG9" s="492">
        <v>0</v>
      </c>
      <c r="BH9" s="492">
        <v>0</v>
      </c>
      <c r="BI9" s="492">
        <v>0</v>
      </c>
      <c r="BJ9" s="492">
        <v>0</v>
      </c>
      <c r="BK9" s="492">
        <v>0</v>
      </c>
      <c r="BL9" s="492">
        <v>0</v>
      </c>
      <c r="BM9" s="492">
        <v>0</v>
      </c>
      <c r="BN9" s="492">
        <v>0</v>
      </c>
      <c r="BO9" s="492">
        <v>0</v>
      </c>
      <c r="BP9" s="904">
        <v>0</v>
      </c>
      <c r="BQ9" s="492">
        <v>0</v>
      </c>
      <c r="BR9" s="492">
        <v>0</v>
      </c>
      <c r="BS9" s="492">
        <v>0</v>
      </c>
      <c r="BT9" s="492">
        <v>0</v>
      </c>
      <c r="BU9" s="492">
        <v>0</v>
      </c>
      <c r="BV9" s="492">
        <v>0</v>
      </c>
      <c r="BW9" s="492">
        <v>0</v>
      </c>
      <c r="BX9" s="492">
        <v>0</v>
      </c>
      <c r="BY9" s="492">
        <v>0</v>
      </c>
      <c r="BZ9" s="492">
        <v>0</v>
      </c>
      <c r="CA9" s="492">
        <v>0</v>
      </c>
      <c r="CB9" s="904">
        <v>0</v>
      </c>
      <c r="CC9" s="492">
        <v>0</v>
      </c>
      <c r="CD9" s="492">
        <v>0</v>
      </c>
      <c r="CE9" s="492">
        <v>0</v>
      </c>
      <c r="CF9" s="492">
        <v>0</v>
      </c>
      <c r="CG9" s="492">
        <v>0</v>
      </c>
      <c r="CH9" s="492">
        <v>0</v>
      </c>
      <c r="CI9" s="492">
        <v>0</v>
      </c>
      <c r="CJ9" s="492">
        <v>0</v>
      </c>
      <c r="CK9" s="492">
        <v>0</v>
      </c>
      <c r="CL9" s="492">
        <v>0</v>
      </c>
      <c r="CM9" s="492">
        <v>0</v>
      </c>
      <c r="CN9" s="904">
        <v>0</v>
      </c>
      <c r="CO9" s="492">
        <v>0</v>
      </c>
      <c r="CP9" s="492">
        <v>0</v>
      </c>
      <c r="CQ9" s="492">
        <v>0</v>
      </c>
      <c r="CR9" s="492">
        <v>0</v>
      </c>
      <c r="CS9" s="492">
        <v>0</v>
      </c>
      <c r="CT9" s="492">
        <v>0</v>
      </c>
      <c r="CU9" s="492">
        <v>0</v>
      </c>
      <c r="CV9" s="492">
        <v>0</v>
      </c>
      <c r="CW9" s="492">
        <v>0</v>
      </c>
      <c r="CX9" s="492">
        <v>0</v>
      </c>
      <c r="CY9" s="492">
        <v>0</v>
      </c>
      <c r="CZ9" s="904">
        <v>0</v>
      </c>
      <c r="DA9" s="492">
        <v>0</v>
      </c>
      <c r="DB9" s="492">
        <v>0</v>
      </c>
      <c r="DC9" s="492">
        <v>0</v>
      </c>
      <c r="DD9" s="492">
        <v>0</v>
      </c>
      <c r="DE9" s="492">
        <v>0</v>
      </c>
      <c r="DF9" s="492">
        <v>0</v>
      </c>
      <c r="DG9" s="492">
        <v>0</v>
      </c>
      <c r="DH9" s="492">
        <v>0</v>
      </c>
      <c r="DI9" s="492">
        <v>0</v>
      </c>
      <c r="DJ9" s="492">
        <v>0</v>
      </c>
      <c r="DK9" s="492">
        <v>0</v>
      </c>
      <c r="DL9" s="492">
        <v>0</v>
      </c>
      <c r="DN9" s="407">
        <f>SUM(I9:DL9)</f>
        <v>0</v>
      </c>
      <c r="DO9" s="330"/>
    </row>
    <row r="10" spans="2:119" x14ac:dyDescent="0.3">
      <c r="B10" s="416"/>
      <c r="C10" s="406"/>
      <c r="D10" s="384"/>
      <c r="E10" s="342" t="s">
        <v>307</v>
      </c>
      <c r="F10" s="342"/>
      <c r="G10" s="342"/>
      <c r="H10" s="342"/>
      <c r="I10" s="347">
        <f>Monthly!K126</f>
        <v>0</v>
      </c>
      <c r="J10" s="347">
        <f>Monthly!L126</f>
        <v>0</v>
      </c>
      <c r="K10" s="347">
        <f>Monthly!M126</f>
        <v>0</v>
      </c>
      <c r="L10" s="347">
        <f>Monthly!N126</f>
        <v>0</v>
      </c>
      <c r="M10" s="347">
        <f>Monthly!O126</f>
        <v>0</v>
      </c>
      <c r="N10" s="347">
        <f>Monthly!P126</f>
        <v>0</v>
      </c>
      <c r="O10" s="347">
        <f>Monthly!Q126</f>
        <v>0</v>
      </c>
      <c r="P10" s="347">
        <f>Monthly!R126</f>
        <v>0</v>
      </c>
      <c r="Q10" s="347">
        <f>Monthly!S126</f>
        <v>0</v>
      </c>
      <c r="R10" s="347">
        <f>Monthly!T126</f>
        <v>0</v>
      </c>
      <c r="S10" s="347">
        <f>Monthly!U126</f>
        <v>0</v>
      </c>
      <c r="T10" s="347">
        <f>Monthly!V126</f>
        <v>0</v>
      </c>
      <c r="U10" s="347">
        <f>Monthly!W126</f>
        <v>0</v>
      </c>
      <c r="V10" s="347">
        <f>Monthly!X126</f>
        <v>0</v>
      </c>
      <c r="W10" s="347">
        <f>Monthly!Y126</f>
        <v>0</v>
      </c>
      <c r="X10" s="347">
        <f>Monthly!Z126</f>
        <v>0</v>
      </c>
      <c r="Y10" s="347">
        <f>Monthly!AA126</f>
        <v>0</v>
      </c>
      <c r="Z10" s="347">
        <f>Monthly!AB126</f>
        <v>0</v>
      </c>
      <c r="AA10" s="347">
        <f>Monthly!AC126</f>
        <v>0</v>
      </c>
      <c r="AB10" s="347">
        <f>Monthly!AD126</f>
        <v>0</v>
      </c>
      <c r="AC10" s="347">
        <f>Monthly!AE126</f>
        <v>0</v>
      </c>
      <c r="AD10" s="347">
        <f>Monthly!AF126</f>
        <v>0</v>
      </c>
      <c r="AE10" s="347">
        <f>Monthly!AG126</f>
        <v>0</v>
      </c>
      <c r="AF10" s="347">
        <f>Monthly!AH126</f>
        <v>209244.40417693555</v>
      </c>
      <c r="AG10" s="347">
        <f>Monthly!AI126</f>
        <v>902.56575361384284</v>
      </c>
      <c r="AH10" s="347">
        <f>Monthly!AJ126</f>
        <v>3320.1610658299473</v>
      </c>
      <c r="AI10" s="347">
        <f>Monthly!AK126</f>
        <v>6843.2956742677652</v>
      </c>
      <c r="AJ10" s="347">
        <f>Monthly!AL126</f>
        <v>6897.4717650223847</v>
      </c>
      <c r="AK10" s="347">
        <f>Monthly!AM126</f>
        <v>4932.0517498288136</v>
      </c>
      <c r="AL10" s="347">
        <f>Monthly!AN126</f>
        <v>4037.4721595149567</v>
      </c>
      <c r="AM10" s="347">
        <f>Monthly!AO126</f>
        <v>572.58548077778278</v>
      </c>
      <c r="AN10" s="347">
        <f>Monthly!AP126</f>
        <v>0</v>
      </c>
      <c r="AO10" s="347">
        <f>Monthly!AQ126</f>
        <v>0</v>
      </c>
      <c r="AP10" s="347">
        <f>Monthly!AR126</f>
        <v>0</v>
      </c>
      <c r="AQ10" s="347">
        <f>Monthly!AS126</f>
        <v>0</v>
      </c>
      <c r="AR10" s="347">
        <f>Monthly!AT126</f>
        <v>0</v>
      </c>
      <c r="AS10" s="347">
        <f>Monthly!AU126</f>
        <v>0</v>
      </c>
      <c r="AT10" s="347">
        <f>Monthly!AV126</f>
        <v>0</v>
      </c>
      <c r="AU10" s="347">
        <f>Monthly!AW126</f>
        <v>0</v>
      </c>
      <c r="AV10" s="347">
        <f>Monthly!AX126</f>
        <v>0</v>
      </c>
      <c r="AW10" s="347">
        <f>Monthly!AY126</f>
        <v>0</v>
      </c>
      <c r="AX10" s="347">
        <f>Monthly!AZ126</f>
        <v>0</v>
      </c>
      <c r="AY10" s="347">
        <f>Monthly!BA126</f>
        <v>0</v>
      </c>
      <c r="AZ10" s="347">
        <f>Monthly!BB126</f>
        <v>0</v>
      </c>
      <c r="BA10" s="347">
        <f>Monthly!BC126</f>
        <v>0</v>
      </c>
      <c r="BB10" s="347">
        <f>Monthly!BD126</f>
        <v>0</v>
      </c>
      <c r="BC10" s="347">
        <f>Monthly!BE126</f>
        <v>0</v>
      </c>
      <c r="BD10" s="347">
        <f>Monthly!BF126</f>
        <v>0</v>
      </c>
      <c r="BE10" s="347">
        <f>Monthly!BG126</f>
        <v>0</v>
      </c>
      <c r="BF10" s="347">
        <f>Monthly!BH126</f>
        <v>0</v>
      </c>
      <c r="BG10" s="347">
        <f>Monthly!BI126</f>
        <v>0</v>
      </c>
      <c r="BH10" s="347">
        <f>Monthly!BJ126</f>
        <v>0</v>
      </c>
      <c r="BI10" s="347">
        <f>Monthly!BK126</f>
        <v>0</v>
      </c>
      <c r="BJ10" s="347">
        <f>Monthly!BL126</f>
        <v>0</v>
      </c>
      <c r="BK10" s="347">
        <f>Monthly!BM126</f>
        <v>0</v>
      </c>
      <c r="BL10" s="347">
        <f>Monthly!BN126</f>
        <v>0</v>
      </c>
      <c r="BM10" s="347">
        <f>Monthly!BO126</f>
        <v>0</v>
      </c>
      <c r="BN10" s="347">
        <f>Monthly!BP126</f>
        <v>0</v>
      </c>
      <c r="BO10" s="347">
        <f>Monthly!BQ126</f>
        <v>0</v>
      </c>
      <c r="BP10" s="347">
        <f>Monthly!BR126</f>
        <v>0</v>
      </c>
      <c r="BQ10" s="347">
        <f>Monthly!BS126</f>
        <v>0</v>
      </c>
      <c r="BR10" s="347">
        <f>Monthly!BT126</f>
        <v>0</v>
      </c>
      <c r="BS10" s="347">
        <f>Monthly!BU126</f>
        <v>0</v>
      </c>
      <c r="BT10" s="347">
        <f>Monthly!BV126</f>
        <v>0</v>
      </c>
      <c r="BU10" s="347">
        <f>Monthly!BW126</f>
        <v>0</v>
      </c>
      <c r="BV10" s="347">
        <f>Monthly!BX126</f>
        <v>0</v>
      </c>
      <c r="BW10" s="347">
        <f>Monthly!BY126</f>
        <v>0</v>
      </c>
      <c r="BX10" s="347">
        <f>Monthly!BZ126</f>
        <v>0</v>
      </c>
      <c r="BY10" s="347">
        <f>Monthly!CA126</f>
        <v>0</v>
      </c>
      <c r="BZ10" s="347">
        <f>Monthly!CB126</f>
        <v>0</v>
      </c>
      <c r="CA10" s="347">
        <f>Monthly!CC126</f>
        <v>0</v>
      </c>
      <c r="CB10" s="347">
        <f>Monthly!CD126</f>
        <v>0</v>
      </c>
      <c r="CC10" s="347">
        <f>Monthly!CE126</f>
        <v>0</v>
      </c>
      <c r="CD10" s="347">
        <f>Monthly!CF126</f>
        <v>0</v>
      </c>
      <c r="CE10" s="347">
        <f>Monthly!CG126</f>
        <v>0</v>
      </c>
      <c r="CF10" s="347">
        <f>Monthly!CH126</f>
        <v>0</v>
      </c>
      <c r="CG10" s="347">
        <f>Monthly!CI126</f>
        <v>0</v>
      </c>
      <c r="CH10" s="347">
        <f>Monthly!CJ126</f>
        <v>0</v>
      </c>
      <c r="CI10" s="347">
        <f>Monthly!CK126</f>
        <v>0</v>
      </c>
      <c r="CJ10" s="347">
        <f>Monthly!CL126</f>
        <v>0</v>
      </c>
      <c r="CK10" s="347">
        <f>Monthly!CM126</f>
        <v>0</v>
      </c>
      <c r="CL10" s="347">
        <f>Monthly!CN126</f>
        <v>0</v>
      </c>
      <c r="CM10" s="347">
        <f>Monthly!CO126</f>
        <v>0</v>
      </c>
      <c r="CN10" s="347">
        <f>Monthly!CP126</f>
        <v>0</v>
      </c>
      <c r="CO10" s="347">
        <f>Monthly!CQ126</f>
        <v>0</v>
      </c>
      <c r="CP10" s="347">
        <f>Monthly!CR126</f>
        <v>0</v>
      </c>
      <c r="CQ10" s="347">
        <f>Monthly!CS126</f>
        <v>0</v>
      </c>
      <c r="CR10" s="347">
        <f>Monthly!CT126</f>
        <v>0</v>
      </c>
      <c r="CS10" s="347">
        <f>Monthly!CU126</f>
        <v>0</v>
      </c>
      <c r="CT10" s="347">
        <f>Monthly!CV126</f>
        <v>0</v>
      </c>
      <c r="CU10" s="347">
        <f>Monthly!CW126</f>
        <v>0</v>
      </c>
      <c r="CV10" s="347">
        <f>Monthly!CX126</f>
        <v>0</v>
      </c>
      <c r="CW10" s="347">
        <f>Monthly!CY126</f>
        <v>0</v>
      </c>
      <c r="CX10" s="347">
        <f>Monthly!CZ126</f>
        <v>0</v>
      </c>
      <c r="CY10" s="347">
        <f>Monthly!DA126</f>
        <v>0</v>
      </c>
      <c r="CZ10" s="347">
        <f>Monthly!DB126</f>
        <v>0</v>
      </c>
      <c r="DA10" s="347">
        <f>Monthly!DC126</f>
        <v>0</v>
      </c>
      <c r="DB10" s="347">
        <f>Monthly!DD126</f>
        <v>0</v>
      </c>
      <c r="DC10" s="347">
        <f>Monthly!DE126</f>
        <v>0</v>
      </c>
      <c r="DD10" s="347">
        <f>Monthly!DF126</f>
        <v>0</v>
      </c>
      <c r="DE10" s="347">
        <f>Monthly!DG126</f>
        <v>0</v>
      </c>
      <c r="DF10" s="347">
        <f>Monthly!DH126</f>
        <v>0</v>
      </c>
      <c r="DG10" s="347">
        <f>Monthly!DI126</f>
        <v>0</v>
      </c>
      <c r="DH10" s="347">
        <f>Monthly!DJ126</f>
        <v>0</v>
      </c>
      <c r="DI10" s="347">
        <f>Monthly!DK126</f>
        <v>0</v>
      </c>
      <c r="DJ10" s="347">
        <f>Monthly!DL126</f>
        <v>0</v>
      </c>
      <c r="DK10" s="347">
        <f>Monthly!DM126</f>
        <v>0</v>
      </c>
      <c r="DL10" s="347">
        <f>Monthly!DN126</f>
        <v>0</v>
      </c>
      <c r="DM10" s="342"/>
      <c r="DN10" s="408">
        <f>SUM(I10:DL10)</f>
        <v>236750.00782579105</v>
      </c>
      <c r="DO10" s="330"/>
    </row>
    <row r="11" spans="2:119" x14ac:dyDescent="0.3">
      <c r="B11" s="416"/>
      <c r="C11" s="409"/>
      <c r="D11" s="384" t="s">
        <v>308</v>
      </c>
      <c r="E11" s="342"/>
      <c r="F11" s="342"/>
      <c r="G11" s="342"/>
      <c r="H11" s="342"/>
      <c r="I11" s="347">
        <f t="shared" ref="I11:AF11" si="85">I8+I9-I10</f>
        <v>1175000</v>
      </c>
      <c r="J11" s="347">
        <f t="shared" si="85"/>
        <v>1175000</v>
      </c>
      <c r="K11" s="347">
        <f t="shared" si="85"/>
        <v>1175000</v>
      </c>
      <c r="L11" s="347">
        <f t="shared" si="85"/>
        <v>1175000</v>
      </c>
      <c r="M11" s="347">
        <f t="shared" si="85"/>
        <v>1175000</v>
      </c>
      <c r="N11" s="347">
        <f t="shared" si="85"/>
        <v>1175000</v>
      </c>
      <c r="O11" s="347">
        <f t="shared" si="85"/>
        <v>1175000</v>
      </c>
      <c r="P11" s="347">
        <f t="shared" si="85"/>
        <v>1175000</v>
      </c>
      <c r="Q11" s="347">
        <f t="shared" si="85"/>
        <v>1175000</v>
      </c>
      <c r="R11" s="347">
        <f t="shared" si="85"/>
        <v>1175000</v>
      </c>
      <c r="S11" s="347">
        <f t="shared" si="85"/>
        <v>1175000</v>
      </c>
      <c r="T11" s="567">
        <f t="shared" si="85"/>
        <v>1175000</v>
      </c>
      <c r="U11" s="347">
        <f t="shared" si="85"/>
        <v>1175000</v>
      </c>
      <c r="V11" s="347">
        <f t="shared" si="85"/>
        <v>1175000</v>
      </c>
      <c r="W11" s="347">
        <f t="shared" si="85"/>
        <v>1175000</v>
      </c>
      <c r="X11" s="347">
        <f t="shared" si="85"/>
        <v>1175000</v>
      </c>
      <c r="Y11" s="347">
        <f t="shared" si="85"/>
        <v>1175000</v>
      </c>
      <c r="Z11" s="347">
        <f t="shared" si="85"/>
        <v>1175000</v>
      </c>
      <c r="AA11" s="347">
        <f t="shared" si="85"/>
        <v>1175000</v>
      </c>
      <c r="AB11" s="347">
        <f t="shared" si="85"/>
        <v>1175000</v>
      </c>
      <c r="AC11" s="347">
        <f t="shared" si="85"/>
        <v>1175000</v>
      </c>
      <c r="AD11" s="347">
        <f t="shared" si="85"/>
        <v>1175000</v>
      </c>
      <c r="AE11" s="347">
        <f t="shared" si="85"/>
        <v>1175000</v>
      </c>
      <c r="AF11" s="567">
        <f t="shared" si="85"/>
        <v>965755.59582306445</v>
      </c>
      <c r="AG11" s="347">
        <f t="shared" ref="AG11:AI11" si="86">AG8+AG9-AG10</f>
        <v>964853.03006945061</v>
      </c>
      <c r="AH11" s="347">
        <f t="shared" si="86"/>
        <v>961532.8690036207</v>
      </c>
      <c r="AI11" s="347">
        <f t="shared" si="86"/>
        <v>954689.57332935289</v>
      </c>
      <c r="AJ11" s="347">
        <f t="shared" ref="AJ11:BD11" si="87">AJ8+AJ9-AJ10</f>
        <v>947792.10156433051</v>
      </c>
      <c r="AK11" s="347">
        <f t="shared" si="87"/>
        <v>942860.04981450166</v>
      </c>
      <c r="AL11" s="347">
        <f t="shared" si="87"/>
        <v>938822.57765498676</v>
      </c>
      <c r="AM11" s="347">
        <f t="shared" si="87"/>
        <v>938249.99217420898</v>
      </c>
      <c r="AN11" s="347">
        <f t="shared" si="87"/>
        <v>938249.99217420898</v>
      </c>
      <c r="AO11" s="347">
        <f t="shared" si="87"/>
        <v>938249.99217420898</v>
      </c>
      <c r="AP11" s="347">
        <f t="shared" si="87"/>
        <v>938249.99217420898</v>
      </c>
      <c r="AQ11" s="347">
        <f t="shared" si="87"/>
        <v>938249.99217420898</v>
      </c>
      <c r="AR11" s="567">
        <f t="shared" si="87"/>
        <v>938249.99217420898</v>
      </c>
      <c r="AS11" s="347">
        <f t="shared" si="87"/>
        <v>938249.99217420898</v>
      </c>
      <c r="AT11" s="347">
        <f t="shared" si="87"/>
        <v>938249.99217420898</v>
      </c>
      <c r="AU11" s="347">
        <f t="shared" si="87"/>
        <v>938249.99217420898</v>
      </c>
      <c r="AV11" s="347">
        <f t="shared" si="87"/>
        <v>938249.99217420898</v>
      </c>
      <c r="AW11" s="347">
        <f t="shared" si="87"/>
        <v>938249.99217420898</v>
      </c>
      <c r="AX11" s="347">
        <f t="shared" si="87"/>
        <v>938249.99217420898</v>
      </c>
      <c r="AY11" s="347">
        <f t="shared" si="87"/>
        <v>938249.99217420898</v>
      </c>
      <c r="AZ11" s="347">
        <f t="shared" si="87"/>
        <v>938249.99217420898</v>
      </c>
      <c r="BA11" s="347">
        <f t="shared" si="87"/>
        <v>938249.99217420898</v>
      </c>
      <c r="BB11" s="347">
        <f t="shared" si="87"/>
        <v>938249.99217420898</v>
      </c>
      <c r="BC11" s="347">
        <f t="shared" si="87"/>
        <v>938249.99217420898</v>
      </c>
      <c r="BD11" s="567">
        <f t="shared" si="87"/>
        <v>938249.99217420898</v>
      </c>
      <c r="BE11" s="347">
        <f t="shared" ref="BE11:CB11" si="88">BE8+BE9-BE10</f>
        <v>938249.99217420898</v>
      </c>
      <c r="BF11" s="347">
        <f t="shared" si="88"/>
        <v>938249.99217420898</v>
      </c>
      <c r="BG11" s="347">
        <f t="shared" si="88"/>
        <v>938249.99217420898</v>
      </c>
      <c r="BH11" s="347">
        <f t="shared" si="88"/>
        <v>938249.99217420898</v>
      </c>
      <c r="BI11" s="347">
        <f t="shared" si="88"/>
        <v>938249.99217420898</v>
      </c>
      <c r="BJ11" s="347">
        <f t="shared" si="88"/>
        <v>938249.99217420898</v>
      </c>
      <c r="BK11" s="347">
        <f t="shared" si="88"/>
        <v>938249.99217420898</v>
      </c>
      <c r="BL11" s="347">
        <f t="shared" si="88"/>
        <v>938249.99217420898</v>
      </c>
      <c r="BM11" s="347">
        <f t="shared" si="88"/>
        <v>938249.99217420898</v>
      </c>
      <c r="BN11" s="347">
        <f t="shared" si="88"/>
        <v>938249.99217420898</v>
      </c>
      <c r="BO11" s="347">
        <f t="shared" si="88"/>
        <v>938249.99217420898</v>
      </c>
      <c r="BP11" s="567">
        <f t="shared" si="88"/>
        <v>938249.99217420898</v>
      </c>
      <c r="BQ11" s="347">
        <f t="shared" si="88"/>
        <v>938249.99217420898</v>
      </c>
      <c r="BR11" s="347">
        <f t="shared" si="88"/>
        <v>938249.99217420898</v>
      </c>
      <c r="BS11" s="347">
        <f t="shared" si="88"/>
        <v>938249.99217420898</v>
      </c>
      <c r="BT11" s="347">
        <f t="shared" si="88"/>
        <v>938249.99217420898</v>
      </c>
      <c r="BU11" s="347">
        <f t="shared" si="88"/>
        <v>938249.99217420898</v>
      </c>
      <c r="BV11" s="347">
        <f t="shared" si="88"/>
        <v>938249.99217420898</v>
      </c>
      <c r="BW11" s="347">
        <f t="shared" si="88"/>
        <v>938249.99217420898</v>
      </c>
      <c r="BX11" s="347">
        <f t="shared" si="88"/>
        <v>938249.99217420898</v>
      </c>
      <c r="BY11" s="347">
        <f t="shared" si="88"/>
        <v>938249.99217420898</v>
      </c>
      <c r="BZ11" s="347">
        <f t="shared" si="88"/>
        <v>938249.99217420898</v>
      </c>
      <c r="CA11" s="347">
        <f t="shared" si="88"/>
        <v>938249.99217420898</v>
      </c>
      <c r="CB11" s="567">
        <f t="shared" si="88"/>
        <v>938249.99217420898</v>
      </c>
      <c r="CC11" s="347">
        <f t="shared" ref="CC11:CZ11" si="89">CC8+CC9-CC10</f>
        <v>938249.99217420898</v>
      </c>
      <c r="CD11" s="347">
        <f t="shared" si="89"/>
        <v>938249.99217420898</v>
      </c>
      <c r="CE11" s="347">
        <f t="shared" si="89"/>
        <v>938249.99217420898</v>
      </c>
      <c r="CF11" s="347">
        <f t="shared" si="89"/>
        <v>938249.99217420898</v>
      </c>
      <c r="CG11" s="347">
        <f t="shared" si="89"/>
        <v>938249.99217420898</v>
      </c>
      <c r="CH11" s="347">
        <f t="shared" si="89"/>
        <v>938249.99217420898</v>
      </c>
      <c r="CI11" s="347">
        <f t="shared" si="89"/>
        <v>938249.99217420898</v>
      </c>
      <c r="CJ11" s="347">
        <f t="shared" si="89"/>
        <v>938249.99217420898</v>
      </c>
      <c r="CK11" s="347">
        <f t="shared" si="89"/>
        <v>938249.99217420898</v>
      </c>
      <c r="CL11" s="347">
        <f t="shared" si="89"/>
        <v>938249.99217420898</v>
      </c>
      <c r="CM11" s="347">
        <f t="shared" si="89"/>
        <v>938249.99217420898</v>
      </c>
      <c r="CN11" s="567">
        <f t="shared" si="89"/>
        <v>938249.99217420898</v>
      </c>
      <c r="CO11" s="347">
        <f t="shared" si="89"/>
        <v>938249.99217420898</v>
      </c>
      <c r="CP11" s="347">
        <f t="shared" si="89"/>
        <v>938249.99217420898</v>
      </c>
      <c r="CQ11" s="347">
        <f t="shared" si="89"/>
        <v>938249.99217420898</v>
      </c>
      <c r="CR11" s="347">
        <f t="shared" si="89"/>
        <v>938249.99217420898</v>
      </c>
      <c r="CS11" s="347">
        <f t="shared" si="89"/>
        <v>938249.99217420898</v>
      </c>
      <c r="CT11" s="347">
        <f t="shared" si="89"/>
        <v>938249.99217420898</v>
      </c>
      <c r="CU11" s="347">
        <f t="shared" si="89"/>
        <v>938249.99217420898</v>
      </c>
      <c r="CV11" s="347">
        <f t="shared" si="89"/>
        <v>938249.99217420898</v>
      </c>
      <c r="CW11" s="347">
        <f t="shared" si="89"/>
        <v>938249.99217420898</v>
      </c>
      <c r="CX11" s="347">
        <f t="shared" si="89"/>
        <v>938249.99217420898</v>
      </c>
      <c r="CY11" s="347">
        <f t="shared" si="89"/>
        <v>938249.99217420898</v>
      </c>
      <c r="CZ11" s="567">
        <f t="shared" si="89"/>
        <v>938249.99217420898</v>
      </c>
      <c r="DA11" s="347">
        <f t="shared" ref="DA11:DL11" si="90">DA8+DA9-DA10</f>
        <v>938249.99217420898</v>
      </c>
      <c r="DB11" s="347">
        <f t="shared" si="90"/>
        <v>938249.99217420898</v>
      </c>
      <c r="DC11" s="347">
        <f t="shared" si="90"/>
        <v>938249.99217420898</v>
      </c>
      <c r="DD11" s="347">
        <f t="shared" si="90"/>
        <v>938249.99217420898</v>
      </c>
      <c r="DE11" s="347">
        <f t="shared" si="90"/>
        <v>938249.99217420898</v>
      </c>
      <c r="DF11" s="347">
        <f t="shared" si="90"/>
        <v>938249.99217420898</v>
      </c>
      <c r="DG11" s="347">
        <f t="shared" si="90"/>
        <v>938249.99217420898</v>
      </c>
      <c r="DH11" s="347">
        <f t="shared" si="90"/>
        <v>938249.99217420898</v>
      </c>
      <c r="DI11" s="347">
        <f t="shared" si="90"/>
        <v>938249.99217420898</v>
      </c>
      <c r="DJ11" s="347">
        <f t="shared" si="90"/>
        <v>938249.99217420898</v>
      </c>
      <c r="DK11" s="347">
        <f t="shared" si="90"/>
        <v>938249.99217420898</v>
      </c>
      <c r="DL11" s="347">
        <f t="shared" si="90"/>
        <v>938249.99217420898</v>
      </c>
      <c r="DM11" s="342"/>
      <c r="DN11" s="408"/>
      <c r="DO11" s="330"/>
    </row>
    <row r="12" spans="2:119" x14ac:dyDescent="0.3">
      <c r="B12" s="416"/>
      <c r="T12" s="561"/>
      <c r="AF12" s="561"/>
      <c r="AR12" s="561"/>
      <c r="BD12" s="561"/>
      <c r="BP12" s="561"/>
      <c r="CB12" s="561"/>
      <c r="CN12" s="561"/>
      <c r="CZ12" s="561"/>
      <c r="DN12" s="345"/>
      <c r="DO12" s="330"/>
    </row>
    <row r="13" spans="2:119" x14ac:dyDescent="0.3">
      <c r="B13" s="416"/>
      <c r="T13" s="561"/>
      <c r="AF13" s="561"/>
      <c r="AR13" s="561"/>
      <c r="BD13" s="561"/>
      <c r="BP13" s="561"/>
      <c r="CB13" s="561"/>
      <c r="CN13" s="561"/>
      <c r="CZ13" s="561"/>
      <c r="DN13" s="345"/>
      <c r="DO13" s="330"/>
    </row>
    <row r="14" spans="2:119" x14ac:dyDescent="0.3">
      <c r="B14" s="416"/>
      <c r="C14" s="375" t="s">
        <v>293</v>
      </c>
      <c r="T14" s="561"/>
      <c r="AF14" s="561"/>
      <c r="AR14" s="561"/>
      <c r="BD14" s="561"/>
      <c r="BP14" s="561"/>
      <c r="CB14" s="561"/>
      <c r="CN14" s="561"/>
      <c r="CZ14" s="561"/>
      <c r="DN14" s="345"/>
      <c r="DO14" s="330"/>
    </row>
    <row r="15" spans="2:119" x14ac:dyDescent="0.3">
      <c r="B15" s="416"/>
      <c r="C15" s="401"/>
      <c r="D15" s="402" t="s">
        <v>305</v>
      </c>
      <c r="E15" s="403"/>
      <c r="F15" s="403"/>
      <c r="G15" s="403"/>
      <c r="H15" s="403"/>
      <c r="I15" s="404">
        <f>-'Table 3.0'!G8</f>
        <v>0</v>
      </c>
      <c r="J15" s="404">
        <f t="shared" ref="J15:AF15" si="91">I18</f>
        <v>0</v>
      </c>
      <c r="K15" s="404">
        <f t="shared" si="91"/>
        <v>0</v>
      </c>
      <c r="L15" s="404">
        <f t="shared" si="91"/>
        <v>0</v>
      </c>
      <c r="M15" s="404">
        <f t="shared" si="91"/>
        <v>0</v>
      </c>
      <c r="N15" s="404">
        <f t="shared" si="91"/>
        <v>0</v>
      </c>
      <c r="O15" s="404">
        <f t="shared" si="91"/>
        <v>0</v>
      </c>
      <c r="P15" s="404">
        <f t="shared" si="91"/>
        <v>0</v>
      </c>
      <c r="Q15" s="404">
        <f t="shared" si="91"/>
        <v>0</v>
      </c>
      <c r="R15" s="404">
        <f t="shared" si="91"/>
        <v>0</v>
      </c>
      <c r="S15" s="404">
        <f t="shared" si="91"/>
        <v>0</v>
      </c>
      <c r="T15" s="914">
        <f t="shared" si="91"/>
        <v>0</v>
      </c>
      <c r="U15" s="404">
        <f t="shared" si="91"/>
        <v>0</v>
      </c>
      <c r="V15" s="404">
        <f t="shared" si="91"/>
        <v>0</v>
      </c>
      <c r="W15" s="404">
        <f t="shared" si="91"/>
        <v>0</v>
      </c>
      <c r="X15" s="404">
        <f t="shared" si="91"/>
        <v>0</v>
      </c>
      <c r="Y15" s="404">
        <f t="shared" si="91"/>
        <v>0</v>
      </c>
      <c r="Z15" s="404">
        <f t="shared" si="91"/>
        <v>0</v>
      </c>
      <c r="AA15" s="404">
        <f t="shared" si="91"/>
        <v>0</v>
      </c>
      <c r="AB15" s="404">
        <f t="shared" si="91"/>
        <v>0</v>
      </c>
      <c r="AC15" s="404">
        <f t="shared" si="91"/>
        <v>0</v>
      </c>
      <c r="AD15" s="404">
        <f t="shared" si="91"/>
        <v>0</v>
      </c>
      <c r="AE15" s="404">
        <f t="shared" si="91"/>
        <v>0</v>
      </c>
      <c r="AF15" s="914">
        <f t="shared" si="91"/>
        <v>0</v>
      </c>
      <c r="AG15" s="404">
        <f t="shared" ref="AG15" si="92">AF18</f>
        <v>0</v>
      </c>
      <c r="AH15" s="404">
        <f t="shared" ref="AH15" si="93">AG18</f>
        <v>0</v>
      </c>
      <c r="AI15" s="404">
        <f t="shared" ref="AI15" si="94">AH18</f>
        <v>0</v>
      </c>
      <c r="AJ15" s="404">
        <f t="shared" ref="AJ15" si="95">AI18</f>
        <v>0</v>
      </c>
      <c r="AK15" s="404">
        <f t="shared" ref="AK15" si="96">AJ18</f>
        <v>0</v>
      </c>
      <c r="AL15" s="404">
        <f t="shared" ref="AL15" si="97">AK18</f>
        <v>0</v>
      </c>
      <c r="AM15" s="404">
        <f t="shared" ref="AM15" si="98">AL18</f>
        <v>0</v>
      </c>
      <c r="AN15" s="404">
        <f t="shared" ref="AN15" si="99">AM18</f>
        <v>0</v>
      </c>
      <c r="AO15" s="404">
        <f t="shared" ref="AO15" si="100">AN18</f>
        <v>0</v>
      </c>
      <c r="AP15" s="404">
        <f t="shared" ref="AP15" si="101">AO18</f>
        <v>0</v>
      </c>
      <c r="AQ15" s="404">
        <f t="shared" ref="AQ15" si="102">AP18</f>
        <v>0</v>
      </c>
      <c r="AR15" s="914">
        <f t="shared" ref="AR15" si="103">AQ18</f>
        <v>0</v>
      </c>
      <c r="AS15" s="404">
        <f t="shared" ref="AS15" si="104">AR18</f>
        <v>0</v>
      </c>
      <c r="AT15" s="404">
        <f t="shared" ref="AT15" si="105">AS18</f>
        <v>0</v>
      </c>
      <c r="AU15" s="404">
        <f t="shared" ref="AU15" si="106">AT18</f>
        <v>0</v>
      </c>
      <c r="AV15" s="404">
        <f t="shared" ref="AV15" si="107">AU18</f>
        <v>0</v>
      </c>
      <c r="AW15" s="404">
        <f t="shared" ref="AW15" si="108">AV18</f>
        <v>0</v>
      </c>
      <c r="AX15" s="404">
        <f t="shared" ref="AX15" si="109">AW18</f>
        <v>0</v>
      </c>
      <c r="AY15" s="404">
        <f t="shared" ref="AY15" si="110">AX18</f>
        <v>0</v>
      </c>
      <c r="AZ15" s="404">
        <f t="shared" ref="AZ15" si="111">AY18</f>
        <v>0</v>
      </c>
      <c r="BA15" s="404">
        <f t="shared" ref="BA15" si="112">AZ18</f>
        <v>0</v>
      </c>
      <c r="BB15" s="404">
        <f t="shared" ref="BB15" si="113">BA18</f>
        <v>0</v>
      </c>
      <c r="BC15" s="404">
        <f t="shared" ref="BC15" si="114">BB18</f>
        <v>0</v>
      </c>
      <c r="BD15" s="914">
        <f t="shared" ref="BD15" si="115">BC18</f>
        <v>0</v>
      </c>
      <c r="BE15" s="404">
        <f t="shared" ref="BE15" si="116">BD18</f>
        <v>0</v>
      </c>
      <c r="BF15" s="404">
        <f t="shared" ref="BF15" si="117">BE18</f>
        <v>0</v>
      </c>
      <c r="BG15" s="404">
        <f t="shared" ref="BG15" si="118">BF18</f>
        <v>0</v>
      </c>
      <c r="BH15" s="404">
        <f t="shared" ref="BH15" si="119">BG18</f>
        <v>0</v>
      </c>
      <c r="BI15" s="404">
        <f t="shared" ref="BI15" si="120">BH18</f>
        <v>0</v>
      </c>
      <c r="BJ15" s="404">
        <f t="shared" ref="BJ15" si="121">BI18</f>
        <v>0</v>
      </c>
      <c r="BK15" s="404">
        <f t="shared" ref="BK15" si="122">BJ18</f>
        <v>0</v>
      </c>
      <c r="BL15" s="404">
        <f t="shared" ref="BL15" si="123">BK18</f>
        <v>0</v>
      </c>
      <c r="BM15" s="404">
        <f t="shared" ref="BM15" si="124">BL18</f>
        <v>0</v>
      </c>
      <c r="BN15" s="404">
        <f t="shared" ref="BN15" si="125">BM18</f>
        <v>0</v>
      </c>
      <c r="BO15" s="404">
        <f t="shared" ref="BO15" si="126">BN18</f>
        <v>0</v>
      </c>
      <c r="BP15" s="914">
        <f t="shared" ref="BP15" si="127">BO18</f>
        <v>0</v>
      </c>
      <c r="BQ15" s="404">
        <f t="shared" ref="BQ15" si="128">BP18</f>
        <v>0</v>
      </c>
      <c r="BR15" s="404">
        <f t="shared" ref="BR15" si="129">BQ18</f>
        <v>0</v>
      </c>
      <c r="BS15" s="404">
        <f t="shared" ref="BS15" si="130">BR18</f>
        <v>0</v>
      </c>
      <c r="BT15" s="404">
        <f t="shared" ref="BT15" si="131">BS18</f>
        <v>0</v>
      </c>
      <c r="BU15" s="404">
        <f t="shared" ref="BU15" si="132">BT18</f>
        <v>0</v>
      </c>
      <c r="BV15" s="404">
        <f t="shared" ref="BV15" si="133">BU18</f>
        <v>0</v>
      </c>
      <c r="BW15" s="404">
        <f t="shared" ref="BW15" si="134">BV18</f>
        <v>0</v>
      </c>
      <c r="BX15" s="404">
        <f t="shared" ref="BX15" si="135">BW18</f>
        <v>0</v>
      </c>
      <c r="BY15" s="404">
        <f t="shared" ref="BY15" si="136">BX18</f>
        <v>0</v>
      </c>
      <c r="BZ15" s="404">
        <f t="shared" ref="BZ15" si="137">BY18</f>
        <v>0</v>
      </c>
      <c r="CA15" s="404">
        <f t="shared" ref="CA15" si="138">BZ18</f>
        <v>0</v>
      </c>
      <c r="CB15" s="914">
        <f t="shared" ref="CB15" si="139">CA18</f>
        <v>0</v>
      </c>
      <c r="CC15" s="404">
        <f t="shared" ref="CC15" si="140">CB18</f>
        <v>0</v>
      </c>
      <c r="CD15" s="404">
        <f t="shared" ref="CD15" si="141">CC18</f>
        <v>0</v>
      </c>
      <c r="CE15" s="404">
        <f t="shared" ref="CE15" si="142">CD18</f>
        <v>0</v>
      </c>
      <c r="CF15" s="404">
        <f t="shared" ref="CF15" si="143">CE18</f>
        <v>0</v>
      </c>
      <c r="CG15" s="404">
        <f t="shared" ref="CG15" si="144">CF18</f>
        <v>0</v>
      </c>
      <c r="CH15" s="404">
        <f t="shared" ref="CH15" si="145">CG18</f>
        <v>0</v>
      </c>
      <c r="CI15" s="404">
        <f t="shared" ref="CI15" si="146">CH18</f>
        <v>0</v>
      </c>
      <c r="CJ15" s="404">
        <f t="shared" ref="CJ15" si="147">CI18</f>
        <v>0</v>
      </c>
      <c r="CK15" s="404">
        <f t="shared" ref="CK15" si="148">CJ18</f>
        <v>0</v>
      </c>
      <c r="CL15" s="404">
        <f t="shared" ref="CL15" si="149">CK18</f>
        <v>0</v>
      </c>
      <c r="CM15" s="404">
        <f t="shared" ref="CM15" si="150">CL18</f>
        <v>0</v>
      </c>
      <c r="CN15" s="914">
        <f t="shared" ref="CN15" si="151">CM18</f>
        <v>0</v>
      </c>
      <c r="CO15" s="404">
        <f t="shared" ref="CO15" si="152">CN18</f>
        <v>0</v>
      </c>
      <c r="CP15" s="404">
        <f t="shared" ref="CP15" si="153">CO18</f>
        <v>0</v>
      </c>
      <c r="CQ15" s="404">
        <f t="shared" ref="CQ15" si="154">CP18</f>
        <v>0</v>
      </c>
      <c r="CR15" s="404">
        <f t="shared" ref="CR15" si="155">CQ18</f>
        <v>0</v>
      </c>
      <c r="CS15" s="404">
        <f t="shared" ref="CS15" si="156">CR18</f>
        <v>0</v>
      </c>
      <c r="CT15" s="404">
        <f t="shared" ref="CT15" si="157">CS18</f>
        <v>0</v>
      </c>
      <c r="CU15" s="404">
        <f t="shared" ref="CU15" si="158">CT18</f>
        <v>0</v>
      </c>
      <c r="CV15" s="404">
        <f t="shared" ref="CV15" si="159">CU18</f>
        <v>0</v>
      </c>
      <c r="CW15" s="404">
        <f t="shared" ref="CW15" si="160">CV18</f>
        <v>0</v>
      </c>
      <c r="CX15" s="404">
        <f t="shared" ref="CX15" si="161">CW18</f>
        <v>0</v>
      </c>
      <c r="CY15" s="404">
        <f t="shared" ref="CY15" si="162">CX18</f>
        <v>0</v>
      </c>
      <c r="CZ15" s="914">
        <f t="shared" ref="CZ15" si="163">CY18</f>
        <v>0</v>
      </c>
      <c r="DA15" s="404">
        <f t="shared" ref="DA15" si="164">CZ18</f>
        <v>0</v>
      </c>
      <c r="DB15" s="404">
        <f t="shared" ref="DB15" si="165">DA18</f>
        <v>0</v>
      </c>
      <c r="DC15" s="404">
        <f t="shared" ref="DC15" si="166">DB18</f>
        <v>0</v>
      </c>
      <c r="DD15" s="404">
        <f t="shared" ref="DD15" si="167">DC18</f>
        <v>0</v>
      </c>
      <c r="DE15" s="404">
        <f t="shared" ref="DE15" si="168">DD18</f>
        <v>0</v>
      </c>
      <c r="DF15" s="404">
        <f t="shared" ref="DF15" si="169">DE18</f>
        <v>0</v>
      </c>
      <c r="DG15" s="404">
        <f t="shared" ref="DG15" si="170">DF18</f>
        <v>0</v>
      </c>
      <c r="DH15" s="404">
        <f t="shared" ref="DH15" si="171">DG18</f>
        <v>0</v>
      </c>
      <c r="DI15" s="404">
        <f t="shared" ref="DI15" si="172">DH18</f>
        <v>0</v>
      </c>
      <c r="DJ15" s="404">
        <f t="shared" ref="DJ15" si="173">DI18</f>
        <v>0</v>
      </c>
      <c r="DK15" s="404">
        <f t="shared" ref="DK15" si="174">DJ18</f>
        <v>0</v>
      </c>
      <c r="DL15" s="404">
        <f t="shared" ref="DL15" si="175">DK18</f>
        <v>0</v>
      </c>
      <c r="DM15" s="403"/>
      <c r="DN15" s="405"/>
      <c r="DO15" s="330"/>
    </row>
    <row r="16" spans="2:119" x14ac:dyDescent="0.3">
      <c r="B16" s="416"/>
      <c r="C16" s="406"/>
      <c r="E16" s="323" t="s">
        <v>306</v>
      </c>
      <c r="I16" s="492">
        <v>0</v>
      </c>
      <c r="J16" s="492">
        <v>0</v>
      </c>
      <c r="K16" s="492">
        <v>0</v>
      </c>
      <c r="L16" s="492">
        <v>0</v>
      </c>
      <c r="M16" s="492">
        <v>0</v>
      </c>
      <c r="N16" s="492">
        <v>0</v>
      </c>
      <c r="O16" s="492">
        <v>0</v>
      </c>
      <c r="P16" s="492">
        <v>0</v>
      </c>
      <c r="Q16" s="492">
        <v>0</v>
      </c>
      <c r="R16" s="492">
        <v>0</v>
      </c>
      <c r="S16" s="492">
        <v>0</v>
      </c>
      <c r="T16" s="904">
        <v>0</v>
      </c>
      <c r="U16" s="492">
        <v>0</v>
      </c>
      <c r="V16" s="492">
        <v>0</v>
      </c>
      <c r="W16" s="492">
        <v>0</v>
      </c>
      <c r="X16" s="492">
        <v>0</v>
      </c>
      <c r="Y16" s="492">
        <v>0</v>
      </c>
      <c r="Z16" s="492">
        <v>0</v>
      </c>
      <c r="AA16" s="492">
        <v>0</v>
      </c>
      <c r="AB16" s="492">
        <v>0</v>
      </c>
      <c r="AC16" s="492">
        <v>0</v>
      </c>
      <c r="AD16" s="492">
        <v>0</v>
      </c>
      <c r="AE16" s="492">
        <v>0</v>
      </c>
      <c r="AF16" s="904">
        <v>0</v>
      </c>
      <c r="AG16" s="492">
        <v>0</v>
      </c>
      <c r="AH16" s="492">
        <v>0</v>
      </c>
      <c r="AI16" s="492">
        <v>0</v>
      </c>
      <c r="AJ16" s="492">
        <v>0</v>
      </c>
      <c r="AK16" s="492">
        <v>0</v>
      </c>
      <c r="AL16" s="492">
        <v>0</v>
      </c>
      <c r="AM16" s="492">
        <v>0</v>
      </c>
      <c r="AN16" s="492">
        <v>0</v>
      </c>
      <c r="AO16" s="492">
        <v>0</v>
      </c>
      <c r="AP16" s="492">
        <v>0</v>
      </c>
      <c r="AQ16" s="492">
        <v>0</v>
      </c>
      <c r="AR16" s="904">
        <v>0</v>
      </c>
      <c r="AS16" s="492">
        <v>0</v>
      </c>
      <c r="AT16" s="492">
        <v>0</v>
      </c>
      <c r="AU16" s="492">
        <v>0</v>
      </c>
      <c r="AV16" s="492">
        <v>0</v>
      </c>
      <c r="AW16" s="492">
        <v>0</v>
      </c>
      <c r="AX16" s="492">
        <v>0</v>
      </c>
      <c r="AY16" s="492">
        <v>0</v>
      </c>
      <c r="AZ16" s="492">
        <v>0</v>
      </c>
      <c r="BA16" s="492">
        <v>0</v>
      </c>
      <c r="BB16" s="492">
        <v>0</v>
      </c>
      <c r="BC16" s="492">
        <v>0</v>
      </c>
      <c r="BD16" s="904">
        <v>0</v>
      </c>
      <c r="BE16" s="492">
        <v>0</v>
      </c>
      <c r="BF16" s="492">
        <v>0</v>
      </c>
      <c r="BG16" s="492">
        <v>0</v>
      </c>
      <c r="BH16" s="492">
        <v>0</v>
      </c>
      <c r="BI16" s="492">
        <v>0</v>
      </c>
      <c r="BJ16" s="492">
        <v>0</v>
      </c>
      <c r="BK16" s="492">
        <v>0</v>
      </c>
      <c r="BL16" s="492">
        <v>0</v>
      </c>
      <c r="BM16" s="492">
        <v>0</v>
      </c>
      <c r="BN16" s="492">
        <v>0</v>
      </c>
      <c r="BO16" s="492">
        <v>0</v>
      </c>
      <c r="BP16" s="904">
        <v>0</v>
      </c>
      <c r="BQ16" s="492">
        <v>0</v>
      </c>
      <c r="BR16" s="492">
        <v>0</v>
      </c>
      <c r="BS16" s="492">
        <v>0</v>
      </c>
      <c r="BT16" s="492">
        <v>0</v>
      </c>
      <c r="BU16" s="492">
        <v>0</v>
      </c>
      <c r="BV16" s="492">
        <v>0</v>
      </c>
      <c r="BW16" s="492">
        <v>0</v>
      </c>
      <c r="BX16" s="492">
        <v>0</v>
      </c>
      <c r="BY16" s="492">
        <v>0</v>
      </c>
      <c r="BZ16" s="492">
        <v>0</v>
      </c>
      <c r="CA16" s="492">
        <v>0</v>
      </c>
      <c r="CB16" s="904">
        <v>0</v>
      </c>
      <c r="CC16" s="492">
        <v>0</v>
      </c>
      <c r="CD16" s="492">
        <v>0</v>
      </c>
      <c r="CE16" s="492">
        <v>0</v>
      </c>
      <c r="CF16" s="492">
        <v>0</v>
      </c>
      <c r="CG16" s="492">
        <v>0</v>
      </c>
      <c r="CH16" s="492">
        <v>0</v>
      </c>
      <c r="CI16" s="492">
        <v>0</v>
      </c>
      <c r="CJ16" s="492">
        <v>0</v>
      </c>
      <c r="CK16" s="492">
        <v>0</v>
      </c>
      <c r="CL16" s="492">
        <v>0</v>
      </c>
      <c r="CM16" s="492">
        <v>0</v>
      </c>
      <c r="CN16" s="904">
        <v>0</v>
      </c>
      <c r="CO16" s="492">
        <v>0</v>
      </c>
      <c r="CP16" s="492">
        <v>0</v>
      </c>
      <c r="CQ16" s="492">
        <v>0</v>
      </c>
      <c r="CR16" s="492">
        <v>0</v>
      </c>
      <c r="CS16" s="492">
        <v>0</v>
      </c>
      <c r="CT16" s="492">
        <v>0</v>
      </c>
      <c r="CU16" s="492">
        <v>0</v>
      </c>
      <c r="CV16" s="492">
        <v>0</v>
      </c>
      <c r="CW16" s="492">
        <v>0</v>
      </c>
      <c r="CX16" s="492">
        <v>0</v>
      </c>
      <c r="CY16" s="492">
        <v>0</v>
      </c>
      <c r="CZ16" s="904">
        <v>0</v>
      </c>
      <c r="DA16" s="492">
        <v>0</v>
      </c>
      <c r="DB16" s="492">
        <v>0</v>
      </c>
      <c r="DC16" s="492">
        <v>0</v>
      </c>
      <c r="DD16" s="492">
        <v>0</v>
      </c>
      <c r="DE16" s="492">
        <v>0</v>
      </c>
      <c r="DF16" s="492">
        <v>0</v>
      </c>
      <c r="DG16" s="492">
        <v>0</v>
      </c>
      <c r="DH16" s="492">
        <v>0</v>
      </c>
      <c r="DI16" s="492">
        <v>0</v>
      </c>
      <c r="DJ16" s="492">
        <v>0</v>
      </c>
      <c r="DK16" s="492">
        <v>0</v>
      </c>
      <c r="DL16" s="492">
        <v>0</v>
      </c>
      <c r="DN16" s="407">
        <f>SUM(I16:DL16)</f>
        <v>0</v>
      </c>
      <c r="DO16" s="330"/>
    </row>
    <row r="17" spans="2:119" x14ac:dyDescent="0.3">
      <c r="B17" s="416"/>
      <c r="C17" s="406"/>
      <c r="D17" s="384"/>
      <c r="E17" s="342" t="s">
        <v>307</v>
      </c>
      <c r="F17" s="342"/>
      <c r="G17" s="342"/>
      <c r="H17" s="342"/>
      <c r="I17" s="347">
        <f>Monthly!K127</f>
        <v>0</v>
      </c>
      <c r="J17" s="347">
        <f>Monthly!L127</f>
        <v>0</v>
      </c>
      <c r="K17" s="347">
        <f>Monthly!M127</f>
        <v>0</v>
      </c>
      <c r="L17" s="347">
        <f>Monthly!N127</f>
        <v>0</v>
      </c>
      <c r="M17" s="347">
        <f>Monthly!O127</f>
        <v>0</v>
      </c>
      <c r="N17" s="347">
        <f>Monthly!P127</f>
        <v>0</v>
      </c>
      <c r="O17" s="347">
        <f>Monthly!Q127</f>
        <v>0</v>
      </c>
      <c r="P17" s="347">
        <f>Monthly!R127</f>
        <v>0</v>
      </c>
      <c r="Q17" s="347">
        <f>Monthly!S127</f>
        <v>0</v>
      </c>
      <c r="R17" s="347">
        <f>Monthly!T127</f>
        <v>0</v>
      </c>
      <c r="S17" s="347">
        <f>Monthly!U127</f>
        <v>0</v>
      </c>
      <c r="T17" s="347">
        <f>Monthly!V127</f>
        <v>0</v>
      </c>
      <c r="U17" s="347">
        <f>Monthly!W127</f>
        <v>0</v>
      </c>
      <c r="V17" s="347">
        <f>Monthly!X127</f>
        <v>0</v>
      </c>
      <c r="W17" s="347">
        <f>Monthly!Y127</f>
        <v>0</v>
      </c>
      <c r="X17" s="347">
        <f>Monthly!Z127</f>
        <v>0</v>
      </c>
      <c r="Y17" s="347">
        <f>Monthly!AA127</f>
        <v>0</v>
      </c>
      <c r="Z17" s="347">
        <f>Monthly!AB127</f>
        <v>0</v>
      </c>
      <c r="AA17" s="347">
        <f>Monthly!AC127</f>
        <v>0</v>
      </c>
      <c r="AB17" s="347">
        <f>Monthly!AD127</f>
        <v>0</v>
      </c>
      <c r="AC17" s="347">
        <f>Monthly!AE127</f>
        <v>0</v>
      </c>
      <c r="AD17" s="347">
        <f>Monthly!AF127</f>
        <v>0</v>
      </c>
      <c r="AE17" s="347">
        <f>Monthly!AG127</f>
        <v>0</v>
      </c>
      <c r="AF17" s="347">
        <f>Monthly!AH127</f>
        <v>0</v>
      </c>
      <c r="AG17" s="347">
        <f>Monthly!AI127</f>
        <v>0</v>
      </c>
      <c r="AH17" s="347">
        <f>Monthly!AJ127</f>
        <v>0</v>
      </c>
      <c r="AI17" s="347">
        <f>Monthly!AK127</f>
        <v>0</v>
      </c>
      <c r="AJ17" s="347">
        <f>Monthly!AL127</f>
        <v>0</v>
      </c>
      <c r="AK17" s="347">
        <f>Monthly!AM127</f>
        <v>0</v>
      </c>
      <c r="AL17" s="347">
        <f>Monthly!AN127</f>
        <v>0</v>
      </c>
      <c r="AM17" s="347">
        <f>Monthly!AO127</f>
        <v>0</v>
      </c>
      <c r="AN17" s="347">
        <f>Monthly!AP127</f>
        <v>0</v>
      </c>
      <c r="AO17" s="347">
        <f>Monthly!AQ127</f>
        <v>0</v>
      </c>
      <c r="AP17" s="347">
        <f>Monthly!AR127</f>
        <v>0</v>
      </c>
      <c r="AQ17" s="347">
        <f>Monthly!AS127</f>
        <v>0</v>
      </c>
      <c r="AR17" s="347">
        <f>Monthly!AT127</f>
        <v>0</v>
      </c>
      <c r="AS17" s="347">
        <f>Monthly!AU127</f>
        <v>0</v>
      </c>
      <c r="AT17" s="347">
        <f>Monthly!AV127</f>
        <v>0</v>
      </c>
      <c r="AU17" s="347">
        <f>Monthly!AW127</f>
        <v>0</v>
      </c>
      <c r="AV17" s="347">
        <f>Monthly!AX127</f>
        <v>0</v>
      </c>
      <c r="AW17" s="347">
        <f>Monthly!AY127</f>
        <v>0</v>
      </c>
      <c r="AX17" s="347">
        <f>Monthly!AZ127</f>
        <v>0</v>
      </c>
      <c r="AY17" s="347">
        <f>Monthly!BA127</f>
        <v>0</v>
      </c>
      <c r="AZ17" s="347">
        <f>Monthly!BB127</f>
        <v>0</v>
      </c>
      <c r="BA17" s="347">
        <f>Monthly!BC127</f>
        <v>0</v>
      </c>
      <c r="BB17" s="347">
        <f>Monthly!BD127</f>
        <v>0</v>
      </c>
      <c r="BC17" s="347">
        <f>Monthly!BE127</f>
        <v>0</v>
      </c>
      <c r="BD17" s="347">
        <f>Monthly!BF127</f>
        <v>0</v>
      </c>
      <c r="BE17" s="347">
        <f>Monthly!BG127</f>
        <v>0</v>
      </c>
      <c r="BF17" s="347">
        <f>Monthly!BH127</f>
        <v>0</v>
      </c>
      <c r="BG17" s="347">
        <f>Monthly!BI127</f>
        <v>0</v>
      </c>
      <c r="BH17" s="347">
        <f>Monthly!BJ127</f>
        <v>0</v>
      </c>
      <c r="BI17" s="347">
        <f>Monthly!BK127</f>
        <v>0</v>
      </c>
      <c r="BJ17" s="347">
        <f>Monthly!BL127</f>
        <v>0</v>
      </c>
      <c r="BK17" s="347">
        <f>Monthly!BM127</f>
        <v>0</v>
      </c>
      <c r="BL17" s="347">
        <f>Monthly!BN127</f>
        <v>0</v>
      </c>
      <c r="BM17" s="347">
        <f>Monthly!BO127</f>
        <v>0</v>
      </c>
      <c r="BN17" s="347">
        <f>Monthly!BP127</f>
        <v>0</v>
      </c>
      <c r="BO17" s="347">
        <f>Monthly!BQ127</f>
        <v>0</v>
      </c>
      <c r="BP17" s="347">
        <f>Monthly!BR127</f>
        <v>0</v>
      </c>
      <c r="BQ17" s="347">
        <f>Monthly!BS127</f>
        <v>0</v>
      </c>
      <c r="BR17" s="347">
        <f>Monthly!BT127</f>
        <v>0</v>
      </c>
      <c r="BS17" s="347">
        <f>Monthly!BU127</f>
        <v>0</v>
      </c>
      <c r="BT17" s="347">
        <f>Monthly!BV127</f>
        <v>0</v>
      </c>
      <c r="BU17" s="347">
        <f>Monthly!BW127</f>
        <v>0</v>
      </c>
      <c r="BV17" s="347">
        <f>Monthly!BX127</f>
        <v>0</v>
      </c>
      <c r="BW17" s="347">
        <f>Monthly!BY127</f>
        <v>0</v>
      </c>
      <c r="BX17" s="347">
        <f>Monthly!BZ127</f>
        <v>0</v>
      </c>
      <c r="BY17" s="347">
        <f>Monthly!CA127</f>
        <v>0</v>
      </c>
      <c r="BZ17" s="347">
        <f>Monthly!CB127</f>
        <v>0</v>
      </c>
      <c r="CA17" s="347">
        <f>Monthly!CC127</f>
        <v>0</v>
      </c>
      <c r="CB17" s="347">
        <f>Monthly!CD127</f>
        <v>0</v>
      </c>
      <c r="CC17" s="347">
        <f>Monthly!CE127</f>
        <v>0</v>
      </c>
      <c r="CD17" s="347">
        <f>Monthly!CF127</f>
        <v>0</v>
      </c>
      <c r="CE17" s="347">
        <f>Monthly!CG127</f>
        <v>0</v>
      </c>
      <c r="CF17" s="347">
        <f>Monthly!CH127</f>
        <v>0</v>
      </c>
      <c r="CG17" s="347">
        <f>Monthly!CI127</f>
        <v>0</v>
      </c>
      <c r="CH17" s="347">
        <f>Monthly!CJ127</f>
        <v>0</v>
      </c>
      <c r="CI17" s="347">
        <f>Monthly!CK127</f>
        <v>0</v>
      </c>
      <c r="CJ17" s="347">
        <f>Monthly!CL127</f>
        <v>0</v>
      </c>
      <c r="CK17" s="347">
        <f>Monthly!CM127</f>
        <v>0</v>
      </c>
      <c r="CL17" s="347">
        <f>Monthly!CN127</f>
        <v>0</v>
      </c>
      <c r="CM17" s="347">
        <f>Monthly!CO127</f>
        <v>0</v>
      </c>
      <c r="CN17" s="347">
        <f>Monthly!CP127</f>
        <v>0</v>
      </c>
      <c r="CO17" s="347">
        <f>Monthly!CQ127</f>
        <v>0</v>
      </c>
      <c r="CP17" s="347">
        <f>Monthly!CR127</f>
        <v>0</v>
      </c>
      <c r="CQ17" s="347">
        <f>Monthly!CS127</f>
        <v>0</v>
      </c>
      <c r="CR17" s="347">
        <f>Monthly!CT127</f>
        <v>0</v>
      </c>
      <c r="CS17" s="347">
        <f>Monthly!CU127</f>
        <v>0</v>
      </c>
      <c r="CT17" s="347">
        <f>Monthly!CV127</f>
        <v>0</v>
      </c>
      <c r="CU17" s="347">
        <f>Monthly!CW127</f>
        <v>0</v>
      </c>
      <c r="CV17" s="347">
        <f>Monthly!CX127</f>
        <v>0</v>
      </c>
      <c r="CW17" s="347">
        <f>Monthly!CY127</f>
        <v>0</v>
      </c>
      <c r="CX17" s="347">
        <f>Monthly!CZ127</f>
        <v>0</v>
      </c>
      <c r="CY17" s="347">
        <f>Monthly!DA127</f>
        <v>0</v>
      </c>
      <c r="CZ17" s="347">
        <f>Monthly!DB127</f>
        <v>0</v>
      </c>
      <c r="DA17" s="347">
        <f>Monthly!DC127</f>
        <v>0</v>
      </c>
      <c r="DB17" s="347">
        <f>Monthly!DD127</f>
        <v>0</v>
      </c>
      <c r="DC17" s="347">
        <f>Monthly!DE127</f>
        <v>0</v>
      </c>
      <c r="DD17" s="347">
        <f>Monthly!DF127</f>
        <v>0</v>
      </c>
      <c r="DE17" s="347">
        <f>Monthly!DG127</f>
        <v>0</v>
      </c>
      <c r="DF17" s="347">
        <f>Monthly!DH127</f>
        <v>0</v>
      </c>
      <c r="DG17" s="347">
        <f>Monthly!DI127</f>
        <v>0</v>
      </c>
      <c r="DH17" s="347">
        <f>Monthly!DJ127</f>
        <v>0</v>
      </c>
      <c r="DI17" s="347">
        <f>Monthly!DK127</f>
        <v>0</v>
      </c>
      <c r="DJ17" s="347">
        <f>Monthly!DL127</f>
        <v>0</v>
      </c>
      <c r="DK17" s="347">
        <f>Monthly!DM127</f>
        <v>0</v>
      </c>
      <c r="DL17" s="347">
        <f>Monthly!DN127</f>
        <v>0</v>
      </c>
      <c r="DM17" s="342"/>
      <c r="DN17" s="408">
        <f>SUM(I17:DL17)</f>
        <v>0</v>
      </c>
      <c r="DO17" s="330"/>
    </row>
    <row r="18" spans="2:119" x14ac:dyDescent="0.3">
      <c r="B18" s="416"/>
      <c r="C18" s="409"/>
      <c r="D18" s="384" t="s">
        <v>308</v>
      </c>
      <c r="E18" s="342"/>
      <c r="F18" s="342"/>
      <c r="G18" s="342"/>
      <c r="H18" s="342"/>
      <c r="I18" s="347">
        <f t="shared" ref="I18:AF18" si="176">I15+I16-I17</f>
        <v>0</v>
      </c>
      <c r="J18" s="347">
        <f t="shared" si="176"/>
        <v>0</v>
      </c>
      <c r="K18" s="347">
        <f t="shared" si="176"/>
        <v>0</v>
      </c>
      <c r="L18" s="347">
        <f t="shared" si="176"/>
        <v>0</v>
      </c>
      <c r="M18" s="347">
        <f t="shared" si="176"/>
        <v>0</v>
      </c>
      <c r="N18" s="347">
        <f t="shared" si="176"/>
        <v>0</v>
      </c>
      <c r="O18" s="347">
        <f t="shared" si="176"/>
        <v>0</v>
      </c>
      <c r="P18" s="347">
        <f t="shared" si="176"/>
        <v>0</v>
      </c>
      <c r="Q18" s="347">
        <f t="shared" si="176"/>
        <v>0</v>
      </c>
      <c r="R18" s="347">
        <f t="shared" si="176"/>
        <v>0</v>
      </c>
      <c r="S18" s="347">
        <f t="shared" si="176"/>
        <v>0</v>
      </c>
      <c r="T18" s="567">
        <f t="shared" si="176"/>
        <v>0</v>
      </c>
      <c r="U18" s="347">
        <f t="shared" si="176"/>
        <v>0</v>
      </c>
      <c r="V18" s="347">
        <f t="shared" si="176"/>
        <v>0</v>
      </c>
      <c r="W18" s="347">
        <f t="shared" si="176"/>
        <v>0</v>
      </c>
      <c r="X18" s="347">
        <f t="shared" si="176"/>
        <v>0</v>
      </c>
      <c r="Y18" s="347">
        <f t="shared" si="176"/>
        <v>0</v>
      </c>
      <c r="Z18" s="347">
        <f t="shared" si="176"/>
        <v>0</v>
      </c>
      <c r="AA18" s="347">
        <f t="shared" si="176"/>
        <v>0</v>
      </c>
      <c r="AB18" s="347">
        <f t="shared" si="176"/>
        <v>0</v>
      </c>
      <c r="AC18" s="347">
        <f t="shared" si="176"/>
        <v>0</v>
      </c>
      <c r="AD18" s="347">
        <f t="shared" si="176"/>
        <v>0</v>
      </c>
      <c r="AE18" s="347">
        <f t="shared" si="176"/>
        <v>0</v>
      </c>
      <c r="AF18" s="567">
        <f t="shared" si="176"/>
        <v>0</v>
      </c>
      <c r="AG18" s="347">
        <f t="shared" ref="AG18:AI18" si="177">AG15+AG16-AG17</f>
        <v>0</v>
      </c>
      <c r="AH18" s="347">
        <f t="shared" si="177"/>
        <v>0</v>
      </c>
      <c r="AI18" s="347">
        <f t="shared" si="177"/>
        <v>0</v>
      </c>
      <c r="AJ18" s="347">
        <f t="shared" ref="AJ18:BD18" si="178">AJ15+AJ16-AJ17</f>
        <v>0</v>
      </c>
      <c r="AK18" s="347">
        <f t="shared" si="178"/>
        <v>0</v>
      </c>
      <c r="AL18" s="347">
        <f t="shared" si="178"/>
        <v>0</v>
      </c>
      <c r="AM18" s="347">
        <f t="shared" si="178"/>
        <v>0</v>
      </c>
      <c r="AN18" s="347">
        <f t="shared" si="178"/>
        <v>0</v>
      </c>
      <c r="AO18" s="347">
        <f t="shared" si="178"/>
        <v>0</v>
      </c>
      <c r="AP18" s="347">
        <f t="shared" si="178"/>
        <v>0</v>
      </c>
      <c r="AQ18" s="347">
        <f t="shared" si="178"/>
        <v>0</v>
      </c>
      <c r="AR18" s="567">
        <f t="shared" si="178"/>
        <v>0</v>
      </c>
      <c r="AS18" s="347">
        <f t="shared" si="178"/>
        <v>0</v>
      </c>
      <c r="AT18" s="347">
        <f t="shared" si="178"/>
        <v>0</v>
      </c>
      <c r="AU18" s="347">
        <f t="shared" si="178"/>
        <v>0</v>
      </c>
      <c r="AV18" s="347">
        <f t="shared" si="178"/>
        <v>0</v>
      </c>
      <c r="AW18" s="347">
        <f t="shared" si="178"/>
        <v>0</v>
      </c>
      <c r="AX18" s="347">
        <f t="shared" si="178"/>
        <v>0</v>
      </c>
      <c r="AY18" s="347">
        <f t="shared" si="178"/>
        <v>0</v>
      </c>
      <c r="AZ18" s="347">
        <f t="shared" si="178"/>
        <v>0</v>
      </c>
      <c r="BA18" s="347">
        <f t="shared" si="178"/>
        <v>0</v>
      </c>
      <c r="BB18" s="347">
        <f t="shared" si="178"/>
        <v>0</v>
      </c>
      <c r="BC18" s="347">
        <f t="shared" si="178"/>
        <v>0</v>
      </c>
      <c r="BD18" s="567">
        <f t="shared" si="178"/>
        <v>0</v>
      </c>
      <c r="BE18" s="347">
        <f t="shared" ref="BE18:CB18" si="179">BE15+BE16-BE17</f>
        <v>0</v>
      </c>
      <c r="BF18" s="347">
        <f t="shared" si="179"/>
        <v>0</v>
      </c>
      <c r="BG18" s="347">
        <f t="shared" si="179"/>
        <v>0</v>
      </c>
      <c r="BH18" s="347">
        <f t="shared" si="179"/>
        <v>0</v>
      </c>
      <c r="BI18" s="347">
        <f t="shared" si="179"/>
        <v>0</v>
      </c>
      <c r="BJ18" s="347">
        <f t="shared" si="179"/>
        <v>0</v>
      </c>
      <c r="BK18" s="347">
        <f t="shared" si="179"/>
        <v>0</v>
      </c>
      <c r="BL18" s="347">
        <f t="shared" si="179"/>
        <v>0</v>
      </c>
      <c r="BM18" s="347">
        <f t="shared" si="179"/>
        <v>0</v>
      </c>
      <c r="BN18" s="347">
        <f t="shared" si="179"/>
        <v>0</v>
      </c>
      <c r="BO18" s="347">
        <f t="shared" si="179"/>
        <v>0</v>
      </c>
      <c r="BP18" s="567">
        <f t="shared" si="179"/>
        <v>0</v>
      </c>
      <c r="BQ18" s="347">
        <f t="shared" si="179"/>
        <v>0</v>
      </c>
      <c r="BR18" s="347">
        <f t="shared" si="179"/>
        <v>0</v>
      </c>
      <c r="BS18" s="347">
        <f t="shared" si="179"/>
        <v>0</v>
      </c>
      <c r="BT18" s="347">
        <f t="shared" si="179"/>
        <v>0</v>
      </c>
      <c r="BU18" s="347">
        <f t="shared" si="179"/>
        <v>0</v>
      </c>
      <c r="BV18" s="347">
        <f t="shared" si="179"/>
        <v>0</v>
      </c>
      <c r="BW18" s="347">
        <f t="shared" si="179"/>
        <v>0</v>
      </c>
      <c r="BX18" s="347">
        <f t="shared" si="179"/>
        <v>0</v>
      </c>
      <c r="BY18" s="347">
        <f t="shared" si="179"/>
        <v>0</v>
      </c>
      <c r="BZ18" s="347">
        <f t="shared" si="179"/>
        <v>0</v>
      </c>
      <c r="CA18" s="347">
        <f t="shared" si="179"/>
        <v>0</v>
      </c>
      <c r="CB18" s="567">
        <f t="shared" si="179"/>
        <v>0</v>
      </c>
      <c r="CC18" s="347">
        <f t="shared" ref="CC18:CZ18" si="180">CC15+CC16-CC17</f>
        <v>0</v>
      </c>
      <c r="CD18" s="347">
        <f t="shared" si="180"/>
        <v>0</v>
      </c>
      <c r="CE18" s="347">
        <f t="shared" si="180"/>
        <v>0</v>
      </c>
      <c r="CF18" s="347">
        <f t="shared" si="180"/>
        <v>0</v>
      </c>
      <c r="CG18" s="347">
        <f t="shared" si="180"/>
        <v>0</v>
      </c>
      <c r="CH18" s="347">
        <f t="shared" si="180"/>
        <v>0</v>
      </c>
      <c r="CI18" s="347">
        <f t="shared" si="180"/>
        <v>0</v>
      </c>
      <c r="CJ18" s="347">
        <f t="shared" si="180"/>
        <v>0</v>
      </c>
      <c r="CK18" s="347">
        <f t="shared" si="180"/>
        <v>0</v>
      </c>
      <c r="CL18" s="347">
        <f t="shared" si="180"/>
        <v>0</v>
      </c>
      <c r="CM18" s="347">
        <f t="shared" si="180"/>
        <v>0</v>
      </c>
      <c r="CN18" s="567">
        <f t="shared" si="180"/>
        <v>0</v>
      </c>
      <c r="CO18" s="347">
        <f t="shared" si="180"/>
        <v>0</v>
      </c>
      <c r="CP18" s="347">
        <f t="shared" si="180"/>
        <v>0</v>
      </c>
      <c r="CQ18" s="347">
        <f t="shared" si="180"/>
        <v>0</v>
      </c>
      <c r="CR18" s="347">
        <f t="shared" si="180"/>
        <v>0</v>
      </c>
      <c r="CS18" s="347">
        <f t="shared" si="180"/>
        <v>0</v>
      </c>
      <c r="CT18" s="347">
        <f t="shared" si="180"/>
        <v>0</v>
      </c>
      <c r="CU18" s="347">
        <f t="shared" si="180"/>
        <v>0</v>
      </c>
      <c r="CV18" s="347">
        <f t="shared" si="180"/>
        <v>0</v>
      </c>
      <c r="CW18" s="347">
        <f t="shared" si="180"/>
        <v>0</v>
      </c>
      <c r="CX18" s="347">
        <f t="shared" si="180"/>
        <v>0</v>
      </c>
      <c r="CY18" s="347">
        <f t="shared" si="180"/>
        <v>0</v>
      </c>
      <c r="CZ18" s="567">
        <f t="shared" si="180"/>
        <v>0</v>
      </c>
      <c r="DA18" s="347">
        <f t="shared" ref="DA18:DL18" si="181">DA15+DA16-DA17</f>
        <v>0</v>
      </c>
      <c r="DB18" s="347">
        <f t="shared" si="181"/>
        <v>0</v>
      </c>
      <c r="DC18" s="347">
        <f t="shared" si="181"/>
        <v>0</v>
      </c>
      <c r="DD18" s="347">
        <f t="shared" si="181"/>
        <v>0</v>
      </c>
      <c r="DE18" s="347">
        <f t="shared" si="181"/>
        <v>0</v>
      </c>
      <c r="DF18" s="347">
        <f t="shared" si="181"/>
        <v>0</v>
      </c>
      <c r="DG18" s="347">
        <f t="shared" si="181"/>
        <v>0</v>
      </c>
      <c r="DH18" s="347">
        <f t="shared" si="181"/>
        <v>0</v>
      </c>
      <c r="DI18" s="347">
        <f t="shared" si="181"/>
        <v>0</v>
      </c>
      <c r="DJ18" s="347">
        <f t="shared" si="181"/>
        <v>0</v>
      </c>
      <c r="DK18" s="347">
        <f t="shared" si="181"/>
        <v>0</v>
      </c>
      <c r="DL18" s="347">
        <f t="shared" si="181"/>
        <v>0</v>
      </c>
      <c r="DM18" s="342"/>
      <c r="DN18" s="408"/>
      <c r="DO18" s="330"/>
    </row>
    <row r="19" spans="2:119" x14ac:dyDescent="0.3">
      <c r="B19" s="416"/>
      <c r="T19" s="561"/>
      <c r="AF19" s="561"/>
      <c r="AR19" s="561"/>
      <c r="BD19" s="561"/>
      <c r="BP19" s="561"/>
      <c r="CB19" s="561"/>
      <c r="CN19" s="561"/>
      <c r="CZ19" s="561"/>
      <c r="DN19" s="345"/>
      <c r="DO19" s="330"/>
    </row>
    <row r="20" spans="2:119" x14ac:dyDescent="0.3">
      <c r="B20" s="416"/>
      <c r="T20" s="561"/>
      <c r="AF20" s="561"/>
      <c r="AR20" s="561"/>
      <c r="BD20" s="561"/>
      <c r="BP20" s="561"/>
      <c r="CB20" s="561"/>
      <c r="CN20" s="561"/>
      <c r="CZ20" s="561"/>
      <c r="DN20" s="345"/>
      <c r="DO20" s="330"/>
    </row>
    <row r="21" spans="2:119" x14ac:dyDescent="0.3">
      <c r="B21" s="416"/>
      <c r="C21" s="375" t="s">
        <v>301</v>
      </c>
      <c r="T21" s="561"/>
      <c r="AF21" s="561"/>
      <c r="AR21" s="561"/>
      <c r="BD21" s="561"/>
      <c r="BP21" s="561"/>
      <c r="CB21" s="561"/>
      <c r="CN21" s="561"/>
      <c r="CZ21" s="561"/>
      <c r="DN21" s="345"/>
      <c r="DO21" s="330"/>
    </row>
    <row r="22" spans="2:119" x14ac:dyDescent="0.3">
      <c r="B22" s="416"/>
      <c r="C22" s="401"/>
      <c r="D22" s="402" t="s">
        <v>305</v>
      </c>
      <c r="E22" s="403"/>
      <c r="F22" s="403"/>
      <c r="G22" s="403"/>
      <c r="H22" s="403"/>
      <c r="I22" s="539">
        <v>0</v>
      </c>
      <c r="J22" s="404">
        <f t="shared" ref="J22:AF22" si="182">I25</f>
        <v>0</v>
      </c>
      <c r="K22" s="404">
        <f t="shared" si="182"/>
        <v>0</v>
      </c>
      <c r="L22" s="404">
        <f t="shared" si="182"/>
        <v>0</v>
      </c>
      <c r="M22" s="404">
        <f t="shared" si="182"/>
        <v>0</v>
      </c>
      <c r="N22" s="404">
        <f t="shared" si="182"/>
        <v>81027.416666666541</v>
      </c>
      <c r="O22" s="404">
        <f t="shared" si="182"/>
        <v>453089.46704861103</v>
      </c>
      <c r="P22" s="404">
        <f t="shared" si="182"/>
        <v>773401.00866274582</v>
      </c>
      <c r="Q22" s="404">
        <f t="shared" si="182"/>
        <v>1452105.5999813259</v>
      </c>
      <c r="R22" s="404">
        <f t="shared" si="182"/>
        <v>1567669.5193145114</v>
      </c>
      <c r="S22" s="404">
        <f t="shared" si="182"/>
        <v>1726655.3196757513</v>
      </c>
      <c r="T22" s="914">
        <f t="shared" si="182"/>
        <v>1891254.7576231842</v>
      </c>
      <c r="U22" s="404">
        <f t="shared" si="182"/>
        <v>2035990.5244543678</v>
      </c>
      <c r="V22" s="404">
        <f t="shared" si="182"/>
        <v>2039330.1977729648</v>
      </c>
      <c r="W22" s="404">
        <f t="shared" si="182"/>
        <v>2040370.2501720008</v>
      </c>
      <c r="X22" s="404">
        <f t="shared" si="182"/>
        <v>2038006.0763191958</v>
      </c>
      <c r="Y22" s="404">
        <f t="shared" si="182"/>
        <v>2035623.1860900561</v>
      </c>
      <c r="Z22" s="404">
        <f t="shared" si="182"/>
        <v>2035199.2613132691</v>
      </c>
      <c r="AA22" s="404">
        <f t="shared" si="182"/>
        <v>2035663.4104653324</v>
      </c>
      <c r="AB22" s="404">
        <f t="shared" si="182"/>
        <v>2039543.6941315164</v>
      </c>
      <c r="AC22" s="404">
        <f t="shared" si="182"/>
        <v>2045780.7567100576</v>
      </c>
      <c r="AD22" s="404">
        <f t="shared" si="182"/>
        <v>2105566.4560340121</v>
      </c>
      <c r="AE22" s="404">
        <f t="shared" si="182"/>
        <v>2116825.0588109479</v>
      </c>
      <c r="AF22" s="914">
        <f t="shared" si="182"/>
        <v>2123673.9321932015</v>
      </c>
      <c r="AG22" s="404">
        <f t="shared" ref="AG22" si="183">AF25</f>
        <v>0</v>
      </c>
      <c r="AH22" s="404">
        <f t="shared" ref="AH22" si="184">AG25</f>
        <v>0</v>
      </c>
      <c r="AI22" s="404">
        <f t="shared" ref="AI22" si="185">AH25</f>
        <v>0</v>
      </c>
      <c r="AJ22" s="404">
        <f t="shared" ref="AJ22" si="186">AI25</f>
        <v>0</v>
      </c>
      <c r="AK22" s="404">
        <f t="shared" ref="AK22" si="187">AJ25</f>
        <v>0</v>
      </c>
      <c r="AL22" s="404">
        <f t="shared" ref="AL22" si="188">AK25</f>
        <v>0</v>
      </c>
      <c r="AM22" s="404">
        <f t="shared" ref="AM22" si="189">AL25</f>
        <v>0</v>
      </c>
      <c r="AN22" s="404">
        <f t="shared" ref="AN22" si="190">AM25</f>
        <v>0</v>
      </c>
      <c r="AO22" s="404">
        <f t="shared" ref="AO22" si="191">AN25</f>
        <v>1833.3315508327323</v>
      </c>
      <c r="AP22" s="404">
        <f t="shared" ref="AP22" si="192">AO25</f>
        <v>63223.826976442899</v>
      </c>
      <c r="AQ22" s="404">
        <f t="shared" ref="AQ22" si="193">AP25</f>
        <v>70140.930490839135</v>
      </c>
      <c r="AR22" s="914">
        <f t="shared" ref="AR22" si="194">AQ25</f>
        <v>72529.544408057671</v>
      </c>
      <c r="AS22" s="404">
        <f t="shared" ref="AS22" si="195">AR25</f>
        <v>59244.476137437101</v>
      </c>
      <c r="AT22" s="404">
        <f t="shared" ref="AT22" si="196">AS25</f>
        <v>58070.435409674115</v>
      </c>
      <c r="AU22" s="404">
        <f t="shared" ref="AU22" si="197">AT25</f>
        <v>54392.260192816335</v>
      </c>
      <c r="AV22" s="404">
        <f t="shared" ref="AV22" si="198">AU25</f>
        <v>47103.726088825097</v>
      </c>
      <c r="AW22" s="404">
        <f t="shared" ref="AW22" si="199">AV25</f>
        <v>39757.491089843927</v>
      </c>
      <c r="AX22" s="404">
        <f t="shared" ref="AX22" si="200">AW25</f>
        <v>34415.318397120827</v>
      </c>
      <c r="AY22" s="404">
        <f t="shared" ref="AY22" si="201">AX25</f>
        <v>30006.673503913669</v>
      </c>
      <c r="AZ22" s="404">
        <f t="shared" ref="AZ22" si="202">AY25</f>
        <v>29144.366838635287</v>
      </c>
      <c r="BA22" s="404">
        <f t="shared" ref="BA22" si="203">AZ25</f>
        <v>30770.073578923457</v>
      </c>
      <c r="BB22" s="404">
        <f t="shared" ref="BB22" si="204">BA25</f>
        <v>98698.11049757227</v>
      </c>
      <c r="BC22" s="404">
        <f t="shared" ref="BC22" si="205">BB25</f>
        <v>104998.89104182702</v>
      </c>
      <c r="BD22" s="914">
        <f t="shared" ref="BD22" si="206">BC25</f>
        <v>107225.11276539046</v>
      </c>
      <c r="BE22" s="404">
        <f t="shared" ref="BE22" si="207">BD25</f>
        <v>108493.13874426544</v>
      </c>
      <c r="BF22" s="404">
        <f t="shared" ref="BF22" si="208">BE25</f>
        <v>107099.23634213985</v>
      </c>
      <c r="BG22" s="404">
        <f t="shared" ref="BG22" si="209">BF25</f>
        <v>103115.06887933076</v>
      </c>
      <c r="BH22" s="404">
        <f t="shared" ref="BH22" si="210">BG25</f>
        <v>95433.730090774436</v>
      </c>
      <c r="BI22" s="404">
        <f t="shared" ref="BI22" si="211">BH25</f>
        <v>87691.580703475382</v>
      </c>
      <c r="BJ22" s="404">
        <f t="shared" ref="BJ22" si="212">BI25</f>
        <v>81992.554300193544</v>
      </c>
      <c r="BK22" s="404">
        <f t="shared" ref="BK22" si="213">BJ25</f>
        <v>77266.42560455238</v>
      </c>
      <c r="BL22" s="404">
        <f t="shared" ref="BL22" si="214">BK25</f>
        <v>76168.511723404052</v>
      </c>
      <c r="BM22" s="404">
        <f t="shared" ref="BM22" si="215">BL25</f>
        <v>77641.136024029969</v>
      </c>
      <c r="BN22" s="404">
        <f t="shared" ref="BN22" si="216">BM25</f>
        <v>152948.35300036921</v>
      </c>
      <c r="BO22" s="404">
        <f t="shared" ref="BO22" si="217">BN25</f>
        <v>159780.84771110443</v>
      </c>
      <c r="BP22" s="914">
        <f t="shared" ref="BP22" si="218">BO25</f>
        <v>161915.40300496633</v>
      </c>
      <c r="BQ22" s="404">
        <f t="shared" ref="BQ22" si="219">BP25</f>
        <v>163025.13436412127</v>
      </c>
      <c r="BR22" s="404">
        <f t="shared" ref="BR22" si="220">BQ25</f>
        <v>161364.53706893619</v>
      </c>
      <c r="BS22" s="404">
        <f t="shared" ref="BS22" si="221">BR25</f>
        <v>157027.17337849757</v>
      </c>
      <c r="BT22" s="404">
        <f t="shared" ref="BT22" si="222">BS25</f>
        <v>148905.45222550962</v>
      </c>
      <c r="BU22" s="404">
        <f t="shared" ref="BU22" si="223">BT25</f>
        <v>140719.43411339386</v>
      </c>
      <c r="BV22" s="404">
        <f t="shared" ref="BV22" si="224">BU25</f>
        <v>134615.2200245572</v>
      </c>
      <c r="BW22" s="404">
        <f t="shared" ref="BW22" si="225">BV25</f>
        <v>129522.89090751726</v>
      </c>
      <c r="BX22" s="404">
        <f t="shared" ref="BX22" si="226">BW25</f>
        <v>128140.26751830074</v>
      </c>
      <c r="BY22" s="404">
        <f t="shared" ref="BY22" si="227">BX25</f>
        <v>149410.31836058624</v>
      </c>
      <c r="BZ22" s="404">
        <f t="shared" ref="BZ22" si="228">BY25</f>
        <v>233084.94743337325</v>
      </c>
      <c r="CA22" s="404">
        <f t="shared" ref="CA22" si="229">BZ25</f>
        <v>240022.23032498642</v>
      </c>
      <c r="CB22" s="914">
        <f t="shared" ref="CB22" si="230">CA25</f>
        <v>242178.01337282488</v>
      </c>
      <c r="CC22" s="404">
        <f t="shared" ref="CC22" si="231">CB25</f>
        <v>243252.89845043246</v>
      </c>
      <c r="CD22" s="404">
        <f t="shared" ref="CD22" si="232">CC25</f>
        <v>241501.08333647644</v>
      </c>
      <c r="CE22" s="404">
        <f t="shared" ref="CE22" si="233">CD25</f>
        <v>236987.38968620161</v>
      </c>
      <c r="CF22" s="404">
        <f t="shared" ref="CF22" si="234">CE25</f>
        <v>228603.55262786208</v>
      </c>
      <c r="CG22" s="404">
        <f t="shared" ref="CG22" si="235">CF25</f>
        <v>220153.34352614405</v>
      </c>
      <c r="CH22" s="404">
        <f t="shared" ref="CH22" si="236">CG25</f>
        <v>213825.04193570407</v>
      </c>
      <c r="CI22" s="404">
        <f t="shared" ref="CI22" si="237">CH25</f>
        <v>208549.04629100644</v>
      </c>
      <c r="CJ22" s="404">
        <f t="shared" ref="CJ22" si="238">CI25</f>
        <v>207065.69234745495</v>
      </c>
      <c r="CK22" s="404">
        <f t="shared" ref="CK22" si="239">CJ25</f>
        <v>238318.6051851837</v>
      </c>
      <c r="CL22" s="404">
        <f t="shared" ref="CL22" si="240">CK25</f>
        <v>331452.32762357115</v>
      </c>
      <c r="CM22" s="404">
        <f t="shared" ref="CM22" si="241">CL25</f>
        <v>338610.77799056913</v>
      </c>
      <c r="CN22" s="914">
        <f t="shared" ref="CN22" si="242">CM25</f>
        <v>340905.08942297252</v>
      </c>
      <c r="CO22" s="404">
        <f t="shared" ref="CO22" si="243">CN25</f>
        <v>342048.35381041543</v>
      </c>
      <c r="CP22" s="404">
        <f t="shared" ref="CP22" si="244">CO25</f>
        <v>340260.44665154477</v>
      </c>
      <c r="CQ22" s="404">
        <f t="shared" ref="CQ22" si="245">CP25</f>
        <v>335625.98522766639</v>
      </c>
      <c r="CR22" s="404">
        <f t="shared" ref="CR22" si="246">CQ25</f>
        <v>327036.03431751562</v>
      </c>
      <c r="CS22" s="404">
        <f t="shared" ref="CS22" si="247">CR25</f>
        <v>318378.07962932618</v>
      </c>
      <c r="CT22" s="404">
        <f t="shared" ref="CT22" si="248">CS25</f>
        <v>311882.58279985521</v>
      </c>
      <c r="CU22" s="404">
        <f t="shared" ref="CU22" si="249">CT25</f>
        <v>306480.26328715094</v>
      </c>
      <c r="CV22" s="404">
        <f t="shared" ref="CV22" si="250">CU25</f>
        <v>304953.97541163774</v>
      </c>
      <c r="CW22" s="404">
        <f t="shared" ref="CW22" si="251">CV25</f>
        <v>356248.00442377676</v>
      </c>
      <c r="CX22" s="404">
        <f t="shared" ref="CX22" si="252">CW25</f>
        <v>460079.16809183848</v>
      </c>
      <c r="CY22" s="404">
        <f t="shared" ref="CY22" si="253">CX25</f>
        <v>467606.47154602909</v>
      </c>
      <c r="CZ22" s="914">
        <f t="shared" ref="CZ22" si="254">CY25</f>
        <v>470188.16615256539</v>
      </c>
      <c r="DA22" s="404">
        <f t="shared" ref="DA22" si="255">CZ25</f>
        <v>471560.58827326458</v>
      </c>
      <c r="DB22" s="404">
        <f t="shared" ref="DB22" si="256">DA25</f>
        <v>469949.75579135708</v>
      </c>
      <c r="DC22" s="404">
        <f t="shared" ref="DC22" si="257">DB25</f>
        <v>465409.38088563445</v>
      </c>
      <c r="DD22" s="404">
        <f t="shared" ref="DD22" si="258">DC25</f>
        <v>456829.87134524155</v>
      </c>
      <c r="DE22" s="404">
        <f t="shared" ref="DE22" si="259">DD25</f>
        <v>448182.44068765384</v>
      </c>
      <c r="DF22" s="404">
        <f t="shared" ref="DF22" si="260">DE25</f>
        <v>441739.74620402692</v>
      </c>
      <c r="DG22" s="404">
        <f t="shared" ref="DG22" si="261">DF25</f>
        <v>436432.84205573797</v>
      </c>
      <c r="DH22" s="404">
        <f t="shared" ref="DH22" si="262">DG25</f>
        <v>435087.11491627502</v>
      </c>
      <c r="DI22" s="404">
        <f t="shared" ref="DI22" si="263">DH25</f>
        <v>496647.52410362469</v>
      </c>
      <c r="DJ22" s="404">
        <f t="shared" ref="DJ22" si="264">DI25</f>
        <v>591186.73378058174</v>
      </c>
      <c r="DK22" s="404">
        <f t="shared" ref="DK22" si="265">DJ25</f>
        <v>576972.53829730616</v>
      </c>
      <c r="DL22" s="404">
        <f t="shared" ref="DL22" si="266">DK25</f>
        <v>557685.37811151322</v>
      </c>
      <c r="DM22" s="403"/>
      <c r="DN22" s="405"/>
      <c r="DO22" s="330"/>
    </row>
    <row r="23" spans="2:119" x14ac:dyDescent="0.3">
      <c r="B23" s="416"/>
      <c r="C23" s="406"/>
      <c r="E23" s="323" t="s">
        <v>306</v>
      </c>
      <c r="I23" s="345">
        <f>Monthly!K118</f>
        <v>0</v>
      </c>
      <c r="J23" s="345">
        <f>Monthly!L118</f>
        <v>0</v>
      </c>
      <c r="K23" s="345">
        <f>Monthly!M118</f>
        <v>0</v>
      </c>
      <c r="L23" s="345">
        <f>Monthly!N118</f>
        <v>0</v>
      </c>
      <c r="M23" s="345">
        <f>Monthly!O118</f>
        <v>81027.416666666541</v>
      </c>
      <c r="N23" s="345">
        <f>Monthly!P118</f>
        <v>372062.05038194446</v>
      </c>
      <c r="O23" s="345">
        <f>Monthly!Q118</f>
        <v>320311.54161413485</v>
      </c>
      <c r="P23" s="345">
        <f>Monthly!R118</f>
        <v>678704.59131858009</v>
      </c>
      <c r="Q23" s="345">
        <f>Monthly!S118</f>
        <v>115563.91933318551</v>
      </c>
      <c r="R23" s="345">
        <f>Monthly!T118</f>
        <v>158985.80036123988</v>
      </c>
      <c r="S23" s="345">
        <f>Monthly!U118</f>
        <v>164599.43794743303</v>
      </c>
      <c r="T23" s="345">
        <f>Monthly!V118</f>
        <v>144735.76683118354</v>
      </c>
      <c r="U23" s="345">
        <f>Monthly!W118</f>
        <v>3339.6733185970879</v>
      </c>
      <c r="V23" s="345">
        <f>Monthly!X118</f>
        <v>1040.0523990359725</v>
      </c>
      <c r="W23" s="345">
        <f>Monthly!Y118</f>
        <v>0</v>
      </c>
      <c r="X23" s="345">
        <f>Monthly!Z118</f>
        <v>0</v>
      </c>
      <c r="Y23" s="345">
        <f>Monthly!AA118</f>
        <v>0</v>
      </c>
      <c r="Z23" s="345">
        <f>Monthly!AB118</f>
        <v>464.14915206338628</v>
      </c>
      <c r="AA23" s="345">
        <f>Monthly!AC118</f>
        <v>3880.2836661838883</v>
      </c>
      <c r="AB23" s="345">
        <f>Monthly!AD118</f>
        <v>6237.062578541183</v>
      </c>
      <c r="AC23" s="345">
        <f>Monthly!AE118</f>
        <v>59785.699323954643</v>
      </c>
      <c r="AD23" s="345">
        <f>Monthly!AF118</f>
        <v>11258.602776935943</v>
      </c>
      <c r="AE23" s="345">
        <f>Monthly!AG118</f>
        <v>6848.8733822533468</v>
      </c>
      <c r="AF23" s="345">
        <f>Monthly!AH118</f>
        <v>37081.663629862851</v>
      </c>
      <c r="AG23" s="345">
        <f>Monthly!AI118</f>
        <v>0</v>
      </c>
      <c r="AH23" s="345">
        <f>Monthly!AJ118</f>
        <v>0</v>
      </c>
      <c r="AI23" s="345">
        <f>Monthly!AK118</f>
        <v>0</v>
      </c>
      <c r="AJ23" s="345">
        <f>Monthly!AL118</f>
        <v>0</v>
      </c>
      <c r="AK23" s="345">
        <f>Monthly!AM118</f>
        <v>0</v>
      </c>
      <c r="AL23" s="345">
        <f>Monthly!AN118</f>
        <v>0</v>
      </c>
      <c r="AM23" s="345">
        <f>Monthly!AO118</f>
        <v>0</v>
      </c>
      <c r="AN23" s="345">
        <f>Monthly!AP118</f>
        <v>1833.3315508327323</v>
      </c>
      <c r="AO23" s="345">
        <f>Monthly!AQ118</f>
        <v>61390.495425610163</v>
      </c>
      <c r="AP23" s="345">
        <f>Monthly!AR118</f>
        <v>6917.1035143962408</v>
      </c>
      <c r="AQ23" s="345">
        <f>Monthly!AS118</f>
        <v>2388.6139172185417</v>
      </c>
      <c r="AR23" s="345">
        <f>Monthly!AT118</f>
        <v>6714.9317293794338</v>
      </c>
      <c r="AS23" s="345">
        <f>Monthly!AU118</f>
        <v>0</v>
      </c>
      <c r="AT23" s="345">
        <f>Monthly!AV118</f>
        <v>0</v>
      </c>
      <c r="AU23" s="345">
        <f>Monthly!AW118</f>
        <v>0</v>
      </c>
      <c r="AV23" s="345">
        <f>Monthly!AX118</f>
        <v>0</v>
      </c>
      <c r="AW23" s="345">
        <f>Monthly!AY118</f>
        <v>0</v>
      </c>
      <c r="AX23" s="345">
        <f>Monthly!AZ118</f>
        <v>0</v>
      </c>
      <c r="AY23" s="345">
        <f>Monthly!BA118</f>
        <v>0</v>
      </c>
      <c r="AZ23" s="345">
        <f>Monthly!BB118</f>
        <v>1625.706740288168</v>
      </c>
      <c r="BA23" s="345">
        <f>Monthly!BC118</f>
        <v>67928.03691864881</v>
      </c>
      <c r="BB23" s="345">
        <f>Monthly!BD118</f>
        <v>6300.7805442547506</v>
      </c>
      <c r="BC23" s="345">
        <f>Monthly!BE118</f>
        <v>2226.221723563438</v>
      </c>
      <c r="BD23" s="345">
        <f>Monthly!BF118</f>
        <v>1268.0259788749759</v>
      </c>
      <c r="BE23" s="345">
        <f>Monthly!BG118</f>
        <v>0</v>
      </c>
      <c r="BF23" s="345">
        <f>Monthly!BH118</f>
        <v>0</v>
      </c>
      <c r="BG23" s="345">
        <f>Monthly!BI118</f>
        <v>0</v>
      </c>
      <c r="BH23" s="345">
        <f>Monthly!BJ118</f>
        <v>0</v>
      </c>
      <c r="BI23" s="345">
        <f>Monthly!BK118</f>
        <v>0</v>
      </c>
      <c r="BJ23" s="345">
        <f>Monthly!BL118</f>
        <v>0</v>
      </c>
      <c r="BK23" s="345">
        <f>Monthly!BM118</f>
        <v>0</v>
      </c>
      <c r="BL23" s="345">
        <f>Monthly!BN118</f>
        <v>1472.6243006259219</v>
      </c>
      <c r="BM23" s="345">
        <f>Monthly!BO118</f>
        <v>75307.216976339245</v>
      </c>
      <c r="BN23" s="345">
        <f>Monthly!BP118</f>
        <v>6832.4947107352309</v>
      </c>
      <c r="BO23" s="345">
        <f>Monthly!BQ118</f>
        <v>2134.5552938618821</v>
      </c>
      <c r="BP23" s="345">
        <f>Monthly!BR118</f>
        <v>1109.7313591549546</v>
      </c>
      <c r="BQ23" s="345">
        <f>Monthly!BS118</f>
        <v>0</v>
      </c>
      <c r="BR23" s="345">
        <f>Monthly!BT118</f>
        <v>0</v>
      </c>
      <c r="BS23" s="345">
        <f>Monthly!BU118</f>
        <v>0</v>
      </c>
      <c r="BT23" s="345">
        <f>Monthly!BV118</f>
        <v>0</v>
      </c>
      <c r="BU23" s="345">
        <f>Monthly!BW118</f>
        <v>0</v>
      </c>
      <c r="BV23" s="345">
        <f>Monthly!BX118</f>
        <v>0</v>
      </c>
      <c r="BW23" s="345">
        <f>Monthly!BY118</f>
        <v>0</v>
      </c>
      <c r="BX23" s="345">
        <f>Monthly!BZ118</f>
        <v>21270.050842285516</v>
      </c>
      <c r="BY23" s="345">
        <f>Monthly!CA118</f>
        <v>83674.629072786993</v>
      </c>
      <c r="BZ23" s="345">
        <f>Monthly!CB118</f>
        <v>6937.2828916131675</v>
      </c>
      <c r="CA23" s="345">
        <f>Monthly!CC118</f>
        <v>2155.7830478384431</v>
      </c>
      <c r="CB23" s="345">
        <f>Monthly!CD118</f>
        <v>1074.8850776075756</v>
      </c>
      <c r="CC23" s="345">
        <f>Monthly!CE118</f>
        <v>0</v>
      </c>
      <c r="CD23" s="345">
        <f>Monthly!CF118</f>
        <v>0</v>
      </c>
      <c r="CE23" s="345">
        <f>Monthly!CG118</f>
        <v>0</v>
      </c>
      <c r="CF23" s="345">
        <f>Monthly!CH118</f>
        <v>0</v>
      </c>
      <c r="CG23" s="345">
        <f>Monthly!CI118</f>
        <v>0</v>
      </c>
      <c r="CH23" s="345">
        <f>Monthly!CJ118</f>
        <v>0</v>
      </c>
      <c r="CI23" s="345">
        <f>Monthly!CK118</f>
        <v>0</v>
      </c>
      <c r="CJ23" s="345">
        <f>Monthly!CL118</f>
        <v>31252.912837728745</v>
      </c>
      <c r="CK23" s="345">
        <f>Monthly!CM118</f>
        <v>93133.722438387456</v>
      </c>
      <c r="CL23" s="345">
        <f>Monthly!CN118</f>
        <v>7158.4503669979931</v>
      </c>
      <c r="CM23" s="345">
        <f>Monthly!CO118</f>
        <v>2294.3114324033982</v>
      </c>
      <c r="CN23" s="345">
        <f>Monthly!CP118</f>
        <v>1143.26438744293</v>
      </c>
      <c r="CO23" s="345">
        <f>Monthly!CQ118</f>
        <v>0</v>
      </c>
      <c r="CP23" s="345">
        <f>Monthly!CR118</f>
        <v>0</v>
      </c>
      <c r="CQ23" s="345">
        <f>Monthly!CS118</f>
        <v>0</v>
      </c>
      <c r="CR23" s="345">
        <f>Monthly!CT118</f>
        <v>0</v>
      </c>
      <c r="CS23" s="345">
        <f>Monthly!CU118</f>
        <v>0</v>
      </c>
      <c r="CT23" s="345">
        <f>Monthly!CV118</f>
        <v>0</v>
      </c>
      <c r="CU23" s="345">
        <f>Monthly!CW118</f>
        <v>0</v>
      </c>
      <c r="CV23" s="345">
        <f>Monthly!CX118</f>
        <v>51294.029012139014</v>
      </c>
      <c r="CW23" s="345">
        <f>Monthly!CY118</f>
        <v>103831.16366806172</v>
      </c>
      <c r="CX23" s="345">
        <f>Monthly!CZ118</f>
        <v>7527.3034541906036</v>
      </c>
      <c r="CY23" s="345">
        <f>Monthly!DA118</f>
        <v>2581.6946065362804</v>
      </c>
      <c r="CZ23" s="345">
        <f>Monthly!DB118</f>
        <v>1372.4221206992111</v>
      </c>
      <c r="DA23" s="345">
        <f>Monthly!DC118</f>
        <v>0</v>
      </c>
      <c r="DB23" s="345">
        <f>Monthly!DD118</f>
        <v>0</v>
      </c>
      <c r="DC23" s="345">
        <f>Monthly!DE118</f>
        <v>0</v>
      </c>
      <c r="DD23" s="345">
        <f>Monthly!DF118</f>
        <v>0</v>
      </c>
      <c r="DE23" s="345">
        <f>Monthly!DG118</f>
        <v>0</v>
      </c>
      <c r="DF23" s="345">
        <f>Monthly!DH118</f>
        <v>0</v>
      </c>
      <c r="DG23" s="345">
        <f>Monthly!DI118</f>
        <v>0</v>
      </c>
      <c r="DH23" s="345">
        <f>Monthly!DJ118</f>
        <v>61560.409187349665</v>
      </c>
      <c r="DI23" s="345">
        <f>Monthly!DK118</f>
        <v>94539.20967695702</v>
      </c>
      <c r="DJ23" s="345">
        <f>Monthly!DL118</f>
        <v>0</v>
      </c>
      <c r="DK23" s="345">
        <f>Monthly!DM118</f>
        <v>0</v>
      </c>
      <c r="DL23" s="345">
        <f>Monthly!DN118</f>
        <v>0</v>
      </c>
      <c r="DN23" s="407">
        <f>SUM(I23:DL23)</f>
        <v>2984177.9794866065</v>
      </c>
      <c r="DO23" s="330"/>
    </row>
    <row r="24" spans="2:119" x14ac:dyDescent="0.3">
      <c r="B24" s="416"/>
      <c r="C24" s="406"/>
      <c r="D24" s="384"/>
      <c r="E24" s="342" t="s">
        <v>307</v>
      </c>
      <c r="F24" s="342"/>
      <c r="G24" s="342"/>
      <c r="H24" s="342"/>
      <c r="I24" s="347">
        <f>Monthly!K125</f>
        <v>0</v>
      </c>
      <c r="J24" s="347">
        <f>Monthly!L125</f>
        <v>0</v>
      </c>
      <c r="K24" s="347">
        <f>Monthly!M125</f>
        <v>0</v>
      </c>
      <c r="L24" s="347">
        <f>Monthly!N125</f>
        <v>0</v>
      </c>
      <c r="M24" s="347">
        <f>Monthly!O125</f>
        <v>0</v>
      </c>
      <c r="N24" s="347">
        <f>Monthly!P125</f>
        <v>0</v>
      </c>
      <c r="O24" s="347">
        <f>Monthly!Q125</f>
        <v>0</v>
      </c>
      <c r="P24" s="347">
        <f>Monthly!R125</f>
        <v>0</v>
      </c>
      <c r="Q24" s="347">
        <f>Monthly!S125</f>
        <v>0</v>
      </c>
      <c r="R24" s="347">
        <f>Monthly!T125</f>
        <v>0</v>
      </c>
      <c r="S24" s="347">
        <f>Monthly!U125</f>
        <v>0</v>
      </c>
      <c r="T24" s="347">
        <f>Monthly!V125</f>
        <v>0</v>
      </c>
      <c r="U24" s="347">
        <f>Monthly!W125</f>
        <v>0</v>
      </c>
      <c r="V24" s="347">
        <f>Monthly!X125</f>
        <v>0</v>
      </c>
      <c r="W24" s="347">
        <f>Monthly!Y125</f>
        <v>2364.1738528049827</v>
      </c>
      <c r="X24" s="347">
        <f>Monthly!Z125</f>
        <v>2382.890229139688</v>
      </c>
      <c r="Y24" s="347">
        <f>Monthly!AA125</f>
        <v>423.92477678705109</v>
      </c>
      <c r="Z24" s="347">
        <f>Monthly!AB125</f>
        <v>0</v>
      </c>
      <c r="AA24" s="347">
        <f>Monthly!AC125</f>
        <v>0</v>
      </c>
      <c r="AB24" s="347">
        <f>Monthly!AD125</f>
        <v>0</v>
      </c>
      <c r="AC24" s="347">
        <f>Monthly!AE125</f>
        <v>0</v>
      </c>
      <c r="AD24" s="347">
        <f>Monthly!AF125</f>
        <v>0</v>
      </c>
      <c r="AE24" s="347">
        <f>Monthly!AG125</f>
        <v>0</v>
      </c>
      <c r="AF24" s="347">
        <f>Monthly!AH125</f>
        <v>2160755.5958230644</v>
      </c>
      <c r="AG24" s="347">
        <f>Monthly!AI125</f>
        <v>0</v>
      </c>
      <c r="AH24" s="347">
        <f>Monthly!AJ125</f>
        <v>0</v>
      </c>
      <c r="AI24" s="347">
        <f>Monthly!AK125</f>
        <v>0</v>
      </c>
      <c r="AJ24" s="347">
        <f>Monthly!AL125</f>
        <v>0</v>
      </c>
      <c r="AK24" s="347">
        <f>Monthly!AM125</f>
        <v>0</v>
      </c>
      <c r="AL24" s="347">
        <f>Monthly!AN125</f>
        <v>0</v>
      </c>
      <c r="AM24" s="347">
        <f>Monthly!AO125</f>
        <v>0</v>
      </c>
      <c r="AN24" s="347">
        <f>Monthly!AP125</f>
        <v>0</v>
      </c>
      <c r="AO24" s="347">
        <f>Monthly!AQ125</f>
        <v>0</v>
      </c>
      <c r="AP24" s="347">
        <f>Monthly!AR125</f>
        <v>0</v>
      </c>
      <c r="AQ24" s="347">
        <f>Monthly!AS125</f>
        <v>0</v>
      </c>
      <c r="AR24" s="347">
        <f>Monthly!AT125</f>
        <v>20000</v>
      </c>
      <c r="AS24" s="347">
        <f>Monthly!AU125</f>
        <v>1174.0407277629852</v>
      </c>
      <c r="AT24" s="347">
        <f>Monthly!AV125</f>
        <v>3678.1752168577796</v>
      </c>
      <c r="AU24" s="347">
        <f>Monthly!AW125</f>
        <v>7288.5341039912364</v>
      </c>
      <c r="AV24" s="347">
        <f>Monthly!AX125</f>
        <v>7346.2349989811673</v>
      </c>
      <c r="AW24" s="347">
        <f>Monthly!AY125</f>
        <v>5342.1726927230993</v>
      </c>
      <c r="AX24" s="347">
        <f>Monthly!AZ125</f>
        <v>4408.6448932071562</v>
      </c>
      <c r="AY24" s="347">
        <f>Monthly!BA125</f>
        <v>862.30666527838184</v>
      </c>
      <c r="AZ24" s="347">
        <f>Monthly!BB125</f>
        <v>0</v>
      </c>
      <c r="BA24" s="347">
        <f>Monthly!BC125</f>
        <v>0</v>
      </c>
      <c r="BB24" s="347">
        <f>Monthly!BD125</f>
        <v>0</v>
      </c>
      <c r="BC24" s="347">
        <f>Monthly!BE125</f>
        <v>0</v>
      </c>
      <c r="BD24" s="347">
        <f>Monthly!BF125</f>
        <v>0</v>
      </c>
      <c r="BE24" s="347">
        <f>Monthly!BG125</f>
        <v>1393.9024021255909</v>
      </c>
      <c r="BF24" s="347">
        <f>Monthly!BH125</f>
        <v>3984.1674628090886</v>
      </c>
      <c r="BG24" s="347">
        <f>Monthly!BI125</f>
        <v>7681.3387885563261</v>
      </c>
      <c r="BH24" s="347">
        <f>Monthly!BJ125</f>
        <v>7742.1493872990595</v>
      </c>
      <c r="BI24" s="347">
        <f>Monthly!BK125</f>
        <v>5699.0264032818432</v>
      </c>
      <c r="BJ24" s="347">
        <f>Monthly!BL125</f>
        <v>4726.1286956411623</v>
      </c>
      <c r="BK24" s="347">
        <f>Monthly!BM125</f>
        <v>1097.9138811483208</v>
      </c>
      <c r="BL24" s="347">
        <f>Monthly!BN125</f>
        <v>0</v>
      </c>
      <c r="BM24" s="347">
        <f>Monthly!BO125</f>
        <v>0</v>
      </c>
      <c r="BN24" s="347">
        <f>Monthly!BP125</f>
        <v>0</v>
      </c>
      <c r="BO24" s="347">
        <f>Monthly!BQ125</f>
        <v>0</v>
      </c>
      <c r="BP24" s="347">
        <f>Monthly!BR125</f>
        <v>0</v>
      </c>
      <c r="BQ24" s="347">
        <f>Monthly!BS125</f>
        <v>1660.5972951850767</v>
      </c>
      <c r="BR24" s="347">
        <f>Monthly!BT125</f>
        <v>4337.3636904386221</v>
      </c>
      <c r="BS24" s="347">
        <f>Monthly!BU125</f>
        <v>8121.7211529879351</v>
      </c>
      <c r="BT24" s="347">
        <f>Monthly!BV125</f>
        <v>8186.018112115753</v>
      </c>
      <c r="BU24" s="347">
        <f>Monthly!BW125</f>
        <v>6104.2140888366703</v>
      </c>
      <c r="BV24" s="347">
        <f>Monthly!BX125</f>
        <v>5092.3291170399534</v>
      </c>
      <c r="BW24" s="347">
        <f>Monthly!BY125</f>
        <v>1382.6233892165224</v>
      </c>
      <c r="BX24" s="347">
        <f>Monthly!BZ125</f>
        <v>0</v>
      </c>
      <c r="BY24" s="347">
        <f>Monthly!CA125</f>
        <v>0</v>
      </c>
      <c r="BZ24" s="347">
        <f>Monthly!CB125</f>
        <v>0</v>
      </c>
      <c r="CA24" s="347">
        <f>Monthly!CC125</f>
        <v>0</v>
      </c>
      <c r="CB24" s="347">
        <f>Monthly!CD125</f>
        <v>0</v>
      </c>
      <c r="CC24" s="347">
        <f>Monthly!CE125</f>
        <v>1751.8151139560223</v>
      </c>
      <c r="CD24" s="347">
        <f>Monthly!CF125</f>
        <v>4513.6936502748322</v>
      </c>
      <c r="CE24" s="347">
        <f>Monthly!CG125</f>
        <v>8383.8370583395154</v>
      </c>
      <c r="CF24" s="347">
        <f>Monthly!CH125</f>
        <v>8450.2091017180337</v>
      </c>
      <c r="CG24" s="347">
        <f>Monthly!CI125</f>
        <v>6328.3015904399708</v>
      </c>
      <c r="CH24" s="347">
        <f>Monthly!CJ125</f>
        <v>5275.995644697623</v>
      </c>
      <c r="CI24" s="347">
        <f>Monthly!CK125</f>
        <v>1483.353943551474</v>
      </c>
      <c r="CJ24" s="347">
        <f>Monthly!CL125</f>
        <v>0</v>
      </c>
      <c r="CK24" s="347">
        <f>Monthly!CM125</f>
        <v>0</v>
      </c>
      <c r="CL24" s="347">
        <f>Monthly!CN125</f>
        <v>0</v>
      </c>
      <c r="CM24" s="347">
        <f>Monthly!CO125</f>
        <v>0</v>
      </c>
      <c r="CN24" s="347">
        <f>Monthly!CP125</f>
        <v>0</v>
      </c>
      <c r="CO24" s="347">
        <f>Monthly!CQ125</f>
        <v>1787.9071588706674</v>
      </c>
      <c r="CP24" s="347">
        <f>Monthly!CR125</f>
        <v>4634.4614238783906</v>
      </c>
      <c r="CQ24" s="347">
        <f>Monthly!CS125</f>
        <v>8589.950910150761</v>
      </c>
      <c r="CR24" s="347">
        <f>Monthly!CT125</f>
        <v>8657.954688189453</v>
      </c>
      <c r="CS24" s="347">
        <f>Monthly!CU125</f>
        <v>6495.4968294709561</v>
      </c>
      <c r="CT24" s="347">
        <f>Monthly!CV125</f>
        <v>5402.3195127042591</v>
      </c>
      <c r="CU24" s="347">
        <f>Monthly!CW125</f>
        <v>1526.2878755131751</v>
      </c>
      <c r="CV24" s="347">
        <f>Monthly!CX125</f>
        <v>0</v>
      </c>
      <c r="CW24" s="347">
        <f>Monthly!CY125</f>
        <v>0</v>
      </c>
      <c r="CX24" s="347">
        <f>Monthly!CZ125</f>
        <v>0</v>
      </c>
      <c r="CY24" s="347">
        <f>Monthly!DA125</f>
        <v>0</v>
      </c>
      <c r="CZ24" s="347">
        <f>Monthly!DB125</f>
        <v>0</v>
      </c>
      <c r="DA24" s="347">
        <f>Monthly!DC125</f>
        <v>1610.8324819075069</v>
      </c>
      <c r="DB24" s="347">
        <f>Monthly!DD125</f>
        <v>4540.3749057226069</v>
      </c>
      <c r="DC24" s="347">
        <f>Monthly!DE125</f>
        <v>8579.5095403929099</v>
      </c>
      <c r="DD24" s="347">
        <f>Monthly!DF125</f>
        <v>8647.4306575876872</v>
      </c>
      <c r="DE24" s="347">
        <f>Monthly!DG125</f>
        <v>6442.6944836269304</v>
      </c>
      <c r="DF24" s="347">
        <f>Monthly!DH125</f>
        <v>5306.9041482889734</v>
      </c>
      <c r="DG24" s="347">
        <f>Monthly!DI125</f>
        <v>1345.7271394629311</v>
      </c>
      <c r="DH24" s="347">
        <f>Monthly!DJ125</f>
        <v>0</v>
      </c>
      <c r="DI24" s="347">
        <f>Monthly!DK125</f>
        <v>0</v>
      </c>
      <c r="DJ24" s="347">
        <f>Monthly!DL125</f>
        <v>14214.195483275587</v>
      </c>
      <c r="DK24" s="347">
        <f>Monthly!DM125</f>
        <v>19287.160185792938</v>
      </c>
      <c r="DL24" s="347">
        <f>Monthly!DN125</f>
        <v>20457.246761822887</v>
      </c>
      <c r="DM24" s="342"/>
      <c r="DN24" s="408">
        <f>SUM(I24:DL24)</f>
        <v>2446949.8481369172</v>
      </c>
      <c r="DO24" s="330"/>
    </row>
    <row r="25" spans="2:119" x14ac:dyDescent="0.3">
      <c r="B25" s="416"/>
      <c r="C25" s="409"/>
      <c r="D25" s="384" t="s">
        <v>308</v>
      </c>
      <c r="E25" s="342"/>
      <c r="F25" s="342"/>
      <c r="G25" s="342"/>
      <c r="H25" s="342"/>
      <c r="I25" s="347">
        <f t="shared" ref="I25:AF25" si="267">I22+I23-I24</f>
        <v>0</v>
      </c>
      <c r="J25" s="347">
        <f t="shared" si="267"/>
        <v>0</v>
      </c>
      <c r="K25" s="347">
        <f t="shared" si="267"/>
        <v>0</v>
      </c>
      <c r="L25" s="347">
        <f t="shared" si="267"/>
        <v>0</v>
      </c>
      <c r="M25" s="347">
        <f t="shared" si="267"/>
        <v>81027.416666666541</v>
      </c>
      <c r="N25" s="347">
        <f t="shared" si="267"/>
        <v>453089.46704861103</v>
      </c>
      <c r="O25" s="347">
        <f t="shared" si="267"/>
        <v>773401.00866274582</v>
      </c>
      <c r="P25" s="347">
        <f t="shared" si="267"/>
        <v>1452105.5999813259</v>
      </c>
      <c r="Q25" s="347">
        <f t="shared" si="267"/>
        <v>1567669.5193145114</v>
      </c>
      <c r="R25" s="347">
        <f t="shared" si="267"/>
        <v>1726655.3196757513</v>
      </c>
      <c r="S25" s="347">
        <f t="shared" si="267"/>
        <v>1891254.7576231842</v>
      </c>
      <c r="T25" s="567">
        <f t="shared" si="267"/>
        <v>2035990.5244543678</v>
      </c>
      <c r="U25" s="347">
        <f t="shared" si="267"/>
        <v>2039330.1977729648</v>
      </c>
      <c r="V25" s="347">
        <f t="shared" si="267"/>
        <v>2040370.2501720008</v>
      </c>
      <c r="W25" s="347">
        <f t="shared" si="267"/>
        <v>2038006.0763191958</v>
      </c>
      <c r="X25" s="347">
        <f t="shared" si="267"/>
        <v>2035623.1860900561</v>
      </c>
      <c r="Y25" s="347">
        <f t="shared" si="267"/>
        <v>2035199.2613132691</v>
      </c>
      <c r="Z25" s="347">
        <f t="shared" si="267"/>
        <v>2035663.4104653324</v>
      </c>
      <c r="AA25" s="347">
        <f t="shared" si="267"/>
        <v>2039543.6941315164</v>
      </c>
      <c r="AB25" s="347">
        <f t="shared" si="267"/>
        <v>2045780.7567100576</v>
      </c>
      <c r="AC25" s="347">
        <f t="shared" si="267"/>
        <v>2105566.4560340121</v>
      </c>
      <c r="AD25" s="347">
        <f t="shared" si="267"/>
        <v>2116825.0588109479</v>
      </c>
      <c r="AE25" s="347">
        <f t="shared" si="267"/>
        <v>2123673.9321932015</v>
      </c>
      <c r="AF25" s="567">
        <f t="shared" si="267"/>
        <v>0</v>
      </c>
      <c r="AG25" s="347">
        <f t="shared" ref="AG25:AI25" si="268">AG22+AG23-AG24</f>
        <v>0</v>
      </c>
      <c r="AH25" s="347">
        <f t="shared" si="268"/>
        <v>0</v>
      </c>
      <c r="AI25" s="347">
        <f t="shared" si="268"/>
        <v>0</v>
      </c>
      <c r="AJ25" s="347">
        <f t="shared" ref="AJ25:BD25" si="269">AJ22+AJ23-AJ24</f>
        <v>0</v>
      </c>
      <c r="AK25" s="347">
        <f t="shared" si="269"/>
        <v>0</v>
      </c>
      <c r="AL25" s="347">
        <f t="shared" si="269"/>
        <v>0</v>
      </c>
      <c r="AM25" s="347">
        <f t="shared" si="269"/>
        <v>0</v>
      </c>
      <c r="AN25" s="347">
        <f t="shared" si="269"/>
        <v>1833.3315508327323</v>
      </c>
      <c r="AO25" s="347">
        <f t="shared" si="269"/>
        <v>63223.826976442899</v>
      </c>
      <c r="AP25" s="347">
        <f t="shared" si="269"/>
        <v>70140.930490839135</v>
      </c>
      <c r="AQ25" s="347">
        <f t="shared" si="269"/>
        <v>72529.544408057671</v>
      </c>
      <c r="AR25" s="567">
        <f t="shared" si="269"/>
        <v>59244.476137437101</v>
      </c>
      <c r="AS25" s="347">
        <f t="shared" si="269"/>
        <v>58070.435409674115</v>
      </c>
      <c r="AT25" s="347">
        <f t="shared" si="269"/>
        <v>54392.260192816335</v>
      </c>
      <c r="AU25" s="347">
        <f t="shared" si="269"/>
        <v>47103.726088825097</v>
      </c>
      <c r="AV25" s="347">
        <f t="shared" si="269"/>
        <v>39757.491089843927</v>
      </c>
      <c r="AW25" s="347">
        <f t="shared" si="269"/>
        <v>34415.318397120827</v>
      </c>
      <c r="AX25" s="347">
        <f t="shared" si="269"/>
        <v>30006.673503913669</v>
      </c>
      <c r="AY25" s="347">
        <f t="shared" si="269"/>
        <v>29144.366838635287</v>
      </c>
      <c r="AZ25" s="347">
        <f t="shared" si="269"/>
        <v>30770.073578923457</v>
      </c>
      <c r="BA25" s="347">
        <f t="shared" si="269"/>
        <v>98698.11049757227</v>
      </c>
      <c r="BB25" s="347">
        <f t="shared" si="269"/>
        <v>104998.89104182702</v>
      </c>
      <c r="BC25" s="347">
        <f t="shared" si="269"/>
        <v>107225.11276539046</v>
      </c>
      <c r="BD25" s="567">
        <f t="shared" si="269"/>
        <v>108493.13874426544</v>
      </c>
      <c r="BE25" s="347">
        <f t="shared" ref="BE25:CB25" si="270">BE22+BE23-BE24</f>
        <v>107099.23634213985</v>
      </c>
      <c r="BF25" s="347">
        <f t="shared" si="270"/>
        <v>103115.06887933076</v>
      </c>
      <c r="BG25" s="347">
        <f t="shared" si="270"/>
        <v>95433.730090774436</v>
      </c>
      <c r="BH25" s="347">
        <f t="shared" si="270"/>
        <v>87691.580703475382</v>
      </c>
      <c r="BI25" s="347">
        <f t="shared" si="270"/>
        <v>81992.554300193544</v>
      </c>
      <c r="BJ25" s="347">
        <f t="shared" si="270"/>
        <v>77266.42560455238</v>
      </c>
      <c r="BK25" s="347">
        <f t="shared" si="270"/>
        <v>76168.511723404052</v>
      </c>
      <c r="BL25" s="347">
        <f t="shared" si="270"/>
        <v>77641.136024029969</v>
      </c>
      <c r="BM25" s="347">
        <f t="shared" si="270"/>
        <v>152948.35300036921</v>
      </c>
      <c r="BN25" s="347">
        <f t="shared" si="270"/>
        <v>159780.84771110443</v>
      </c>
      <c r="BO25" s="347">
        <f t="shared" si="270"/>
        <v>161915.40300496633</v>
      </c>
      <c r="BP25" s="567">
        <f t="shared" si="270"/>
        <v>163025.13436412127</v>
      </c>
      <c r="BQ25" s="347">
        <f t="shared" si="270"/>
        <v>161364.53706893619</v>
      </c>
      <c r="BR25" s="347">
        <f t="shared" si="270"/>
        <v>157027.17337849757</v>
      </c>
      <c r="BS25" s="347">
        <f t="shared" si="270"/>
        <v>148905.45222550962</v>
      </c>
      <c r="BT25" s="347">
        <f t="shared" si="270"/>
        <v>140719.43411339386</v>
      </c>
      <c r="BU25" s="347">
        <f t="shared" si="270"/>
        <v>134615.2200245572</v>
      </c>
      <c r="BV25" s="347">
        <f t="shared" si="270"/>
        <v>129522.89090751726</v>
      </c>
      <c r="BW25" s="347">
        <f t="shared" si="270"/>
        <v>128140.26751830074</v>
      </c>
      <c r="BX25" s="347">
        <f t="shared" si="270"/>
        <v>149410.31836058624</v>
      </c>
      <c r="BY25" s="347">
        <f t="shared" si="270"/>
        <v>233084.94743337325</v>
      </c>
      <c r="BZ25" s="347">
        <f t="shared" si="270"/>
        <v>240022.23032498642</v>
      </c>
      <c r="CA25" s="347">
        <f t="shared" si="270"/>
        <v>242178.01337282488</v>
      </c>
      <c r="CB25" s="567">
        <f t="shared" si="270"/>
        <v>243252.89845043246</v>
      </c>
      <c r="CC25" s="347">
        <f t="shared" ref="CC25:CZ25" si="271">CC22+CC23-CC24</f>
        <v>241501.08333647644</v>
      </c>
      <c r="CD25" s="347">
        <f t="shared" si="271"/>
        <v>236987.38968620161</v>
      </c>
      <c r="CE25" s="347">
        <f t="shared" si="271"/>
        <v>228603.55262786208</v>
      </c>
      <c r="CF25" s="347">
        <f t="shared" si="271"/>
        <v>220153.34352614405</v>
      </c>
      <c r="CG25" s="347">
        <f t="shared" si="271"/>
        <v>213825.04193570407</v>
      </c>
      <c r="CH25" s="347">
        <f t="shared" si="271"/>
        <v>208549.04629100644</v>
      </c>
      <c r="CI25" s="347">
        <f t="shared" si="271"/>
        <v>207065.69234745495</v>
      </c>
      <c r="CJ25" s="347">
        <f t="shared" si="271"/>
        <v>238318.6051851837</v>
      </c>
      <c r="CK25" s="347">
        <f t="shared" si="271"/>
        <v>331452.32762357115</v>
      </c>
      <c r="CL25" s="347">
        <f t="shared" si="271"/>
        <v>338610.77799056913</v>
      </c>
      <c r="CM25" s="347">
        <f t="shared" si="271"/>
        <v>340905.08942297252</v>
      </c>
      <c r="CN25" s="567">
        <f t="shared" si="271"/>
        <v>342048.35381041543</v>
      </c>
      <c r="CO25" s="347">
        <f t="shared" si="271"/>
        <v>340260.44665154477</v>
      </c>
      <c r="CP25" s="347">
        <f t="shared" si="271"/>
        <v>335625.98522766639</v>
      </c>
      <c r="CQ25" s="347">
        <f t="shared" si="271"/>
        <v>327036.03431751562</v>
      </c>
      <c r="CR25" s="347">
        <f t="shared" si="271"/>
        <v>318378.07962932618</v>
      </c>
      <c r="CS25" s="347">
        <f t="shared" si="271"/>
        <v>311882.58279985521</v>
      </c>
      <c r="CT25" s="347">
        <f t="shared" si="271"/>
        <v>306480.26328715094</v>
      </c>
      <c r="CU25" s="347">
        <f t="shared" si="271"/>
        <v>304953.97541163774</v>
      </c>
      <c r="CV25" s="347">
        <f t="shared" si="271"/>
        <v>356248.00442377676</v>
      </c>
      <c r="CW25" s="347">
        <f t="shared" si="271"/>
        <v>460079.16809183848</v>
      </c>
      <c r="CX25" s="347">
        <f t="shared" si="271"/>
        <v>467606.47154602909</v>
      </c>
      <c r="CY25" s="347">
        <f t="shared" si="271"/>
        <v>470188.16615256539</v>
      </c>
      <c r="CZ25" s="567">
        <f t="shared" si="271"/>
        <v>471560.58827326458</v>
      </c>
      <c r="DA25" s="347">
        <f t="shared" ref="DA25:DL25" si="272">DA22+DA23-DA24</f>
        <v>469949.75579135708</v>
      </c>
      <c r="DB25" s="347">
        <f t="shared" si="272"/>
        <v>465409.38088563445</v>
      </c>
      <c r="DC25" s="347">
        <f t="shared" si="272"/>
        <v>456829.87134524155</v>
      </c>
      <c r="DD25" s="347">
        <f t="shared" si="272"/>
        <v>448182.44068765384</v>
      </c>
      <c r="DE25" s="347">
        <f t="shared" si="272"/>
        <v>441739.74620402692</v>
      </c>
      <c r="DF25" s="347">
        <f t="shared" si="272"/>
        <v>436432.84205573797</v>
      </c>
      <c r="DG25" s="347">
        <f t="shared" si="272"/>
        <v>435087.11491627502</v>
      </c>
      <c r="DH25" s="347">
        <f t="shared" si="272"/>
        <v>496647.52410362469</v>
      </c>
      <c r="DI25" s="347">
        <f t="shared" si="272"/>
        <v>591186.73378058174</v>
      </c>
      <c r="DJ25" s="347">
        <f t="shared" si="272"/>
        <v>576972.53829730616</v>
      </c>
      <c r="DK25" s="347">
        <f t="shared" si="272"/>
        <v>557685.37811151322</v>
      </c>
      <c r="DL25" s="347">
        <f t="shared" si="272"/>
        <v>537228.13134969037</v>
      </c>
      <c r="DM25" s="342"/>
      <c r="DN25" s="410"/>
      <c r="DO25" s="330"/>
    </row>
    <row r="26" spans="2:119" x14ac:dyDescent="0.3">
      <c r="B26" s="416"/>
      <c r="T26" s="561"/>
      <c r="AF26" s="561"/>
      <c r="AR26" s="561"/>
      <c r="BD26" s="561"/>
      <c r="BP26" s="561"/>
      <c r="CB26" s="561"/>
      <c r="CN26" s="561"/>
      <c r="CZ26" s="561"/>
      <c r="DO26" s="330"/>
    </row>
    <row r="27" spans="2:119" x14ac:dyDescent="0.3">
      <c r="B27" s="416"/>
      <c r="T27" s="561"/>
      <c r="AF27" s="561"/>
      <c r="AR27" s="561"/>
      <c r="BD27" s="561"/>
      <c r="BP27" s="561"/>
      <c r="CB27" s="561"/>
      <c r="CN27" s="561"/>
      <c r="CZ27" s="561"/>
      <c r="DO27" s="330"/>
    </row>
    <row r="28" spans="2:119" x14ac:dyDescent="0.3">
      <c r="B28" s="416"/>
      <c r="C28" s="375" t="s">
        <v>668</v>
      </c>
      <c r="T28" s="561"/>
      <c r="AF28" s="561"/>
      <c r="AR28" s="561"/>
      <c r="BD28" s="561"/>
      <c r="BP28" s="561"/>
      <c r="CB28" s="561"/>
      <c r="CN28" s="561"/>
      <c r="CZ28" s="561"/>
      <c r="DN28" s="345"/>
      <c r="DO28" s="330"/>
    </row>
    <row r="29" spans="2:119" x14ac:dyDescent="0.3">
      <c r="B29" s="416"/>
      <c r="C29" s="401"/>
      <c r="D29" s="402" t="s">
        <v>305</v>
      </c>
      <c r="E29" s="403"/>
      <c r="F29" s="403"/>
      <c r="G29" s="403"/>
      <c r="H29" s="403"/>
      <c r="I29" s="539">
        <v>0</v>
      </c>
      <c r="J29" s="539">
        <v>0</v>
      </c>
      <c r="K29" s="539">
        <v>0</v>
      </c>
      <c r="L29" s="539">
        <v>0</v>
      </c>
      <c r="M29" s="539">
        <v>0</v>
      </c>
      <c r="N29" s="539">
        <v>0</v>
      </c>
      <c r="O29" s="539">
        <v>0</v>
      </c>
      <c r="P29" s="539">
        <v>0</v>
      </c>
      <c r="Q29" s="539">
        <v>0</v>
      </c>
      <c r="R29" s="539">
        <v>0</v>
      </c>
      <c r="S29" s="539">
        <v>0</v>
      </c>
      <c r="T29" s="915">
        <v>0</v>
      </c>
      <c r="U29" s="539">
        <v>0</v>
      </c>
      <c r="V29" s="539">
        <v>0</v>
      </c>
      <c r="W29" s="539">
        <v>0</v>
      </c>
      <c r="X29" s="539">
        <v>0</v>
      </c>
      <c r="Y29" s="539">
        <v>0</v>
      </c>
      <c r="Z29" s="539">
        <v>0</v>
      </c>
      <c r="AA29" s="539">
        <v>0</v>
      </c>
      <c r="AB29" s="539">
        <v>0</v>
      </c>
      <c r="AC29" s="539">
        <v>0</v>
      </c>
      <c r="AD29" s="539">
        <v>0</v>
      </c>
      <c r="AE29" s="539">
        <v>0</v>
      </c>
      <c r="AF29" s="915">
        <v>0</v>
      </c>
      <c r="AG29" s="404">
        <f>AF32</f>
        <v>2370000</v>
      </c>
      <c r="AH29" s="404">
        <f t="shared" ref="AH29:CS29" si="273">AG32</f>
        <v>2367640.6525538797</v>
      </c>
      <c r="AI29" s="404">
        <f t="shared" si="273"/>
        <v>2365269.5083705289</v>
      </c>
      <c r="AJ29" s="404">
        <f t="shared" si="273"/>
        <v>2362886.5084662614</v>
      </c>
      <c r="AK29" s="404">
        <f t="shared" si="273"/>
        <v>2360491.5935624726</v>
      </c>
      <c r="AL29" s="404">
        <f t="shared" si="273"/>
        <v>2358084.7040841649</v>
      </c>
      <c r="AM29" s="404">
        <f t="shared" si="273"/>
        <v>2355665.7801584657</v>
      </c>
      <c r="AN29" s="404">
        <f t="shared" si="273"/>
        <v>2353234.761613138</v>
      </c>
      <c r="AO29" s="404">
        <f t="shared" si="273"/>
        <v>2350791.5879750834</v>
      </c>
      <c r="AP29" s="404">
        <f t="shared" si="273"/>
        <v>2348336.1984688384</v>
      </c>
      <c r="AQ29" s="404">
        <f t="shared" si="273"/>
        <v>2345868.5320150624</v>
      </c>
      <c r="AR29" s="404">
        <f t="shared" si="273"/>
        <v>2343388.5272290176</v>
      </c>
      <c r="AS29" s="404">
        <f t="shared" si="273"/>
        <v>2360875.0894670594</v>
      </c>
      <c r="AT29" s="404">
        <f t="shared" si="273"/>
        <v>2358349.0845162915</v>
      </c>
      <c r="AU29" s="404">
        <f t="shared" si="273"/>
        <v>2355810.4495407697</v>
      </c>
      <c r="AV29" s="404">
        <f t="shared" si="273"/>
        <v>2353259.1213903702</v>
      </c>
      <c r="AW29" s="404">
        <f t="shared" si="273"/>
        <v>2350695.0365992188</v>
      </c>
      <c r="AX29" s="404">
        <f t="shared" si="273"/>
        <v>2348118.1313841119</v>
      </c>
      <c r="AY29" s="404">
        <f t="shared" si="273"/>
        <v>2345528.3416429292</v>
      </c>
      <c r="AZ29" s="404">
        <f t="shared" si="273"/>
        <v>2342925.602953041</v>
      </c>
      <c r="BA29" s="404">
        <f t="shared" si="273"/>
        <v>2340309.8505697032</v>
      </c>
      <c r="BB29" s="404">
        <f t="shared" si="273"/>
        <v>2337681.0194244487</v>
      </c>
      <c r="BC29" s="404">
        <f t="shared" si="273"/>
        <v>2335039.044123468</v>
      </c>
      <c r="BD29" s="404">
        <f t="shared" si="273"/>
        <v>2332383.8589459821</v>
      </c>
      <c r="BE29" s="404">
        <f t="shared" si="273"/>
        <v>2329715.3978426089</v>
      </c>
      <c r="BF29" s="404">
        <f t="shared" si="273"/>
        <v>2327033.5944337188</v>
      </c>
      <c r="BG29" s="404">
        <f t="shared" si="273"/>
        <v>2324338.3820077842</v>
      </c>
      <c r="BH29" s="404">
        <f t="shared" si="273"/>
        <v>2321629.6935197199</v>
      </c>
      <c r="BI29" s="404">
        <f t="shared" si="273"/>
        <v>2318907.4615892153</v>
      </c>
      <c r="BJ29" s="404">
        <f t="shared" si="273"/>
        <v>2316171.6184990583</v>
      </c>
      <c r="BK29" s="404">
        <f t="shared" si="273"/>
        <v>2313422.0961934505</v>
      </c>
      <c r="BL29" s="404">
        <f t="shared" si="273"/>
        <v>2310658.8262763144</v>
      </c>
      <c r="BM29" s="404">
        <f t="shared" si="273"/>
        <v>2307881.7400095928</v>
      </c>
      <c r="BN29" s="404">
        <f t="shared" si="273"/>
        <v>2305090.7683115378</v>
      </c>
      <c r="BO29" s="404">
        <f t="shared" si="273"/>
        <v>2302285.8417549925</v>
      </c>
      <c r="BP29" s="404">
        <f t="shared" si="273"/>
        <v>2299466.8905656645</v>
      </c>
      <c r="BQ29" s="404">
        <f t="shared" si="273"/>
        <v>2276657.5521178395</v>
      </c>
      <c r="BR29" s="404">
        <f t="shared" si="273"/>
        <v>2273834.1669777753</v>
      </c>
      <c r="BS29" s="404">
        <f t="shared" si="273"/>
        <v>2270996.664912011</v>
      </c>
      <c r="BT29" s="404">
        <f t="shared" si="273"/>
        <v>2268144.9753359179</v>
      </c>
      <c r="BU29" s="404">
        <f t="shared" si="273"/>
        <v>2265279.0273119444</v>
      </c>
      <c r="BV29" s="404">
        <f t="shared" si="273"/>
        <v>2262398.7495478508</v>
      </c>
      <c r="BW29" s="404">
        <f t="shared" si="273"/>
        <v>2259504.0703949369</v>
      </c>
      <c r="BX29" s="404">
        <f t="shared" si="273"/>
        <v>2256594.9178462583</v>
      </c>
      <c r="BY29" s="404">
        <f t="shared" si="273"/>
        <v>2253671.2195348362</v>
      </c>
      <c r="BZ29" s="404">
        <f t="shared" si="273"/>
        <v>2250732.9027318573</v>
      </c>
      <c r="CA29" s="404">
        <f t="shared" si="273"/>
        <v>2247779.8943448635</v>
      </c>
      <c r="CB29" s="404">
        <f t="shared" si="273"/>
        <v>2244812.1209159344</v>
      </c>
      <c r="CC29" s="404">
        <f t="shared" si="273"/>
        <v>2211867.2632058873</v>
      </c>
      <c r="CD29" s="404">
        <f t="shared" si="273"/>
        <v>2208907.6812072899</v>
      </c>
      <c r="CE29" s="404">
        <f t="shared" si="273"/>
        <v>2205933.3012986993</v>
      </c>
      <c r="CF29" s="404">
        <f t="shared" si="273"/>
        <v>2202944.0494905659</v>
      </c>
      <c r="CG29" s="404">
        <f t="shared" si="273"/>
        <v>2199939.8514233916</v>
      </c>
      <c r="CH29" s="404">
        <f t="shared" si="273"/>
        <v>2196920.6323658815</v>
      </c>
      <c r="CI29" s="404">
        <f t="shared" si="273"/>
        <v>2193886.3172130841</v>
      </c>
      <c r="CJ29" s="404">
        <f t="shared" si="273"/>
        <v>2190836.8304845225</v>
      </c>
      <c r="CK29" s="404">
        <f t="shared" si="273"/>
        <v>2187772.0963223181</v>
      </c>
      <c r="CL29" s="404">
        <f t="shared" si="273"/>
        <v>2184692.0384893026</v>
      </c>
      <c r="CM29" s="404">
        <f t="shared" si="273"/>
        <v>2181596.5803671223</v>
      </c>
      <c r="CN29" s="404">
        <f t="shared" si="273"/>
        <v>2178485.6449543312</v>
      </c>
      <c r="CO29" s="404">
        <f t="shared" si="273"/>
        <v>2125425.9602082763</v>
      </c>
      <c r="CP29" s="404">
        <f t="shared" si="273"/>
        <v>2122350.9770384911</v>
      </c>
      <c r="CQ29" s="404">
        <f t="shared" si="273"/>
        <v>2119260.6189528569</v>
      </c>
      <c r="CR29" s="404">
        <f t="shared" si="273"/>
        <v>2116154.8090767944</v>
      </c>
      <c r="CS29" s="404">
        <f t="shared" si="273"/>
        <v>2113033.4701513518</v>
      </c>
      <c r="CT29" s="404">
        <f t="shared" ref="CT29:DL29" si="274">CS32</f>
        <v>2109896.524531282</v>
      </c>
      <c r="CU29" s="404">
        <f t="shared" si="274"/>
        <v>2106743.8941831118</v>
      </c>
      <c r="CV29" s="404">
        <f t="shared" si="274"/>
        <v>2103575.500683201</v>
      </c>
      <c r="CW29" s="404">
        <f t="shared" si="274"/>
        <v>2100391.2652157904</v>
      </c>
      <c r="CX29" s="404">
        <f t="shared" si="274"/>
        <v>2097191.1085710428</v>
      </c>
      <c r="CY29" s="404">
        <f t="shared" si="274"/>
        <v>2093974.9511430715</v>
      </c>
      <c r="CZ29" s="404">
        <f t="shared" si="274"/>
        <v>2090742.7129279603</v>
      </c>
      <c r="DA29" s="404">
        <f t="shared" si="274"/>
        <v>2027579.4244232457</v>
      </c>
      <c r="DB29" s="404">
        <f t="shared" si="274"/>
        <v>2024400.3194760075</v>
      </c>
      <c r="DC29" s="404">
        <f t="shared" si="274"/>
        <v>2021205.319004033</v>
      </c>
      <c r="DD29" s="404">
        <f t="shared" si="274"/>
        <v>2017994.3435296987</v>
      </c>
      <c r="DE29" s="404">
        <f t="shared" si="274"/>
        <v>2014767.3131779928</v>
      </c>
      <c r="DF29" s="404">
        <f t="shared" si="274"/>
        <v>2011524.1476745284</v>
      </c>
      <c r="DG29" s="404">
        <f t="shared" si="274"/>
        <v>2008264.7663435466</v>
      </c>
      <c r="DH29" s="404">
        <f t="shared" si="274"/>
        <v>2004989.0881059098</v>
      </c>
      <c r="DI29" s="404">
        <f t="shared" si="274"/>
        <v>2001697.0314770848</v>
      </c>
      <c r="DJ29" s="404">
        <f t="shared" si="274"/>
        <v>1998388.5145651158</v>
      </c>
      <c r="DK29" s="404">
        <f t="shared" si="274"/>
        <v>1995063.4550685869</v>
      </c>
      <c r="DL29" s="404">
        <f t="shared" si="274"/>
        <v>1991721.7702745753</v>
      </c>
      <c r="DM29" s="403"/>
      <c r="DN29" s="405"/>
      <c r="DO29" s="330"/>
    </row>
    <row r="30" spans="2:119" x14ac:dyDescent="0.3">
      <c r="B30" s="416"/>
      <c r="C30" s="406"/>
      <c r="E30" s="323" t="s">
        <v>306</v>
      </c>
      <c r="I30" s="492">
        <v>0</v>
      </c>
      <c r="J30" s="492">
        <v>0</v>
      </c>
      <c r="K30" s="492">
        <v>0</v>
      </c>
      <c r="L30" s="492">
        <v>0</v>
      </c>
      <c r="M30" s="492">
        <v>0</v>
      </c>
      <c r="N30" s="492">
        <v>0</v>
      </c>
      <c r="O30" s="492">
        <v>0</v>
      </c>
      <c r="P30" s="492">
        <v>0</v>
      </c>
      <c r="Q30" s="492">
        <v>0</v>
      </c>
      <c r="R30" s="492">
        <v>0</v>
      </c>
      <c r="S30" s="492">
        <v>0</v>
      </c>
      <c r="T30" s="904">
        <v>0</v>
      </c>
      <c r="U30" s="492">
        <v>0</v>
      </c>
      <c r="V30" s="492">
        <v>0</v>
      </c>
      <c r="W30" s="492">
        <v>0</v>
      </c>
      <c r="X30" s="492">
        <v>0</v>
      </c>
      <c r="Y30" s="492">
        <v>0</v>
      </c>
      <c r="Z30" s="492">
        <v>0</v>
      </c>
      <c r="AA30" s="492">
        <v>0</v>
      </c>
      <c r="AB30" s="492">
        <v>0</v>
      </c>
      <c r="AC30" s="492">
        <v>0</v>
      </c>
      <c r="AD30" s="492">
        <v>0</v>
      </c>
      <c r="AE30" s="492">
        <v>0</v>
      </c>
      <c r="AF30" s="566">
        <f>'Perm Loan'!D13</f>
        <v>2370000</v>
      </c>
      <c r="AG30" s="566">
        <f>'Perm Loan'!E13</f>
        <v>0</v>
      </c>
      <c r="AH30" s="566">
        <f>'Perm Loan'!F13</f>
        <v>0</v>
      </c>
      <c r="AI30" s="566">
        <f>'Perm Loan'!G13</f>
        <v>0</v>
      </c>
      <c r="AJ30" s="566">
        <f>'Perm Loan'!H13</f>
        <v>0</v>
      </c>
      <c r="AK30" s="566">
        <f>'Perm Loan'!I13</f>
        <v>0</v>
      </c>
      <c r="AL30" s="566">
        <f>'Perm Loan'!J13</f>
        <v>0</v>
      </c>
      <c r="AM30" s="566">
        <f>'Perm Loan'!K13</f>
        <v>0</v>
      </c>
      <c r="AN30" s="566">
        <f>'Perm Loan'!L13</f>
        <v>0</v>
      </c>
      <c r="AO30" s="566">
        <f>'Perm Loan'!M13</f>
        <v>0</v>
      </c>
      <c r="AP30" s="566">
        <f>'Perm Loan'!N13</f>
        <v>0</v>
      </c>
      <c r="AQ30" s="566">
        <f>'Perm Loan'!O13</f>
        <v>0</v>
      </c>
      <c r="AR30" s="566">
        <f>'Perm Loan'!P13</f>
        <v>20000</v>
      </c>
      <c r="AS30" s="566">
        <f>'Perm Loan'!Q13</f>
        <v>0</v>
      </c>
      <c r="AT30" s="566">
        <f>'Perm Loan'!R13</f>
        <v>0</v>
      </c>
      <c r="AU30" s="566">
        <f>'Perm Loan'!S13</f>
        <v>0</v>
      </c>
      <c r="AV30" s="566">
        <f>'Perm Loan'!T13</f>
        <v>0</v>
      </c>
      <c r="AW30" s="566">
        <f>'Perm Loan'!U13</f>
        <v>0</v>
      </c>
      <c r="AX30" s="566">
        <f>'Perm Loan'!V13</f>
        <v>0</v>
      </c>
      <c r="AY30" s="566">
        <f>'Perm Loan'!W13</f>
        <v>0</v>
      </c>
      <c r="AZ30" s="566">
        <f>'Perm Loan'!X13</f>
        <v>0</v>
      </c>
      <c r="BA30" s="566">
        <f>'Perm Loan'!Y13</f>
        <v>0</v>
      </c>
      <c r="BB30" s="566">
        <f>'Perm Loan'!Z13</f>
        <v>0</v>
      </c>
      <c r="BC30" s="566">
        <f>'Perm Loan'!AA13</f>
        <v>0</v>
      </c>
      <c r="BD30" s="566">
        <f>'Perm Loan'!AB13</f>
        <v>0</v>
      </c>
      <c r="BE30" s="566">
        <f>'Perm Loan'!AC13</f>
        <v>0</v>
      </c>
      <c r="BF30" s="566">
        <f>'Perm Loan'!AD13</f>
        <v>0</v>
      </c>
      <c r="BG30" s="566">
        <f>'Perm Loan'!AE13</f>
        <v>0</v>
      </c>
      <c r="BH30" s="566">
        <f>'Perm Loan'!AF13</f>
        <v>0</v>
      </c>
      <c r="BI30" s="566">
        <f>'Perm Loan'!AG13</f>
        <v>0</v>
      </c>
      <c r="BJ30" s="566">
        <f>'Perm Loan'!AH13</f>
        <v>0</v>
      </c>
      <c r="BK30" s="566">
        <f>'Perm Loan'!AI13</f>
        <v>0</v>
      </c>
      <c r="BL30" s="566">
        <f>'Perm Loan'!AJ13</f>
        <v>0</v>
      </c>
      <c r="BM30" s="566">
        <f>'Perm Loan'!AK13</f>
        <v>0</v>
      </c>
      <c r="BN30" s="566">
        <f>'Perm Loan'!AL13</f>
        <v>0</v>
      </c>
      <c r="BO30" s="566">
        <f>'Perm Loan'!AM13</f>
        <v>0</v>
      </c>
      <c r="BP30" s="566">
        <f>'Perm Loan'!AN13</f>
        <v>-20000</v>
      </c>
      <c r="BQ30" s="566">
        <f>'Perm Loan'!AO13</f>
        <v>0</v>
      </c>
      <c r="BR30" s="566">
        <f>'Perm Loan'!AP13</f>
        <v>0</v>
      </c>
      <c r="BS30" s="566">
        <f>'Perm Loan'!AQ13</f>
        <v>0</v>
      </c>
      <c r="BT30" s="566">
        <f>'Perm Loan'!AR13</f>
        <v>0</v>
      </c>
      <c r="BU30" s="566">
        <f>'Perm Loan'!AS13</f>
        <v>0</v>
      </c>
      <c r="BV30" s="566">
        <f>'Perm Loan'!AT13</f>
        <v>0</v>
      </c>
      <c r="BW30" s="566">
        <f>'Perm Loan'!AU13</f>
        <v>0</v>
      </c>
      <c r="BX30" s="566">
        <f>'Perm Loan'!AV13</f>
        <v>0</v>
      </c>
      <c r="BY30" s="566">
        <f>'Perm Loan'!AW13</f>
        <v>0</v>
      </c>
      <c r="BZ30" s="566">
        <f>'Perm Loan'!AX13</f>
        <v>0</v>
      </c>
      <c r="CA30" s="566">
        <f>'Perm Loan'!AY13</f>
        <v>0</v>
      </c>
      <c r="CB30" s="566">
        <f>'Perm Loan'!AZ13</f>
        <v>-30000</v>
      </c>
      <c r="CC30" s="566">
        <f>'Perm Loan'!BA13</f>
        <v>0</v>
      </c>
      <c r="CD30" s="566">
        <f>'Perm Loan'!BB13</f>
        <v>0</v>
      </c>
      <c r="CE30" s="566">
        <f>'Perm Loan'!BC13</f>
        <v>0</v>
      </c>
      <c r="CF30" s="566">
        <f>'Perm Loan'!BD13</f>
        <v>0</v>
      </c>
      <c r="CG30" s="566">
        <f>'Perm Loan'!BE13</f>
        <v>0</v>
      </c>
      <c r="CH30" s="566">
        <f>'Perm Loan'!BF13</f>
        <v>0</v>
      </c>
      <c r="CI30" s="566">
        <f>'Perm Loan'!BG13</f>
        <v>0</v>
      </c>
      <c r="CJ30" s="566">
        <f>'Perm Loan'!BH13</f>
        <v>0</v>
      </c>
      <c r="CK30" s="566">
        <f>'Perm Loan'!BI13</f>
        <v>0</v>
      </c>
      <c r="CL30" s="566">
        <f>'Perm Loan'!BJ13</f>
        <v>0</v>
      </c>
      <c r="CM30" s="566">
        <f>'Perm Loan'!BK13</f>
        <v>0</v>
      </c>
      <c r="CN30" s="566">
        <f>'Perm Loan'!BL13</f>
        <v>-50000</v>
      </c>
      <c r="CO30" s="566">
        <f>'Perm Loan'!BM13</f>
        <v>0</v>
      </c>
      <c r="CP30" s="566">
        <f>'Perm Loan'!BN13</f>
        <v>0</v>
      </c>
      <c r="CQ30" s="566">
        <f>'Perm Loan'!BO13</f>
        <v>0</v>
      </c>
      <c r="CR30" s="566">
        <f>'Perm Loan'!BP13</f>
        <v>0</v>
      </c>
      <c r="CS30" s="566">
        <f>'Perm Loan'!BQ13</f>
        <v>0</v>
      </c>
      <c r="CT30" s="566">
        <f>'Perm Loan'!BR13</f>
        <v>0</v>
      </c>
      <c r="CU30" s="566">
        <f>'Perm Loan'!BS13</f>
        <v>0</v>
      </c>
      <c r="CV30" s="566">
        <f>'Perm Loan'!BT13</f>
        <v>0</v>
      </c>
      <c r="CW30" s="566">
        <f>'Perm Loan'!BU13</f>
        <v>0</v>
      </c>
      <c r="CX30" s="566">
        <f>'Perm Loan'!BV13</f>
        <v>0</v>
      </c>
      <c r="CY30" s="566">
        <f>'Perm Loan'!BW13</f>
        <v>0</v>
      </c>
      <c r="CZ30" s="566">
        <f>'Perm Loan'!BX13</f>
        <v>-60000</v>
      </c>
      <c r="DA30" s="566">
        <f>'Perm Loan'!BY13</f>
        <v>0</v>
      </c>
      <c r="DB30" s="566">
        <f>'Perm Loan'!BZ13</f>
        <v>0</v>
      </c>
      <c r="DC30" s="566">
        <f>'Perm Loan'!CA13</f>
        <v>0</v>
      </c>
      <c r="DD30" s="566">
        <f>'Perm Loan'!CB13</f>
        <v>0</v>
      </c>
      <c r="DE30" s="566">
        <f>'Perm Loan'!CC13</f>
        <v>0</v>
      </c>
      <c r="DF30" s="566">
        <f>'Perm Loan'!CD13</f>
        <v>0</v>
      </c>
      <c r="DG30" s="566">
        <f>'Perm Loan'!CE13</f>
        <v>0</v>
      </c>
      <c r="DH30" s="566">
        <f>'Perm Loan'!CF13</f>
        <v>0</v>
      </c>
      <c r="DI30" s="566">
        <f>'Perm Loan'!CG13</f>
        <v>0</v>
      </c>
      <c r="DJ30" s="566">
        <f>'Perm Loan'!CH13</f>
        <v>0</v>
      </c>
      <c r="DK30" s="566">
        <f>'Perm Loan'!CI13</f>
        <v>0</v>
      </c>
      <c r="DL30" s="566">
        <f>'Perm Loan'!CJ13</f>
        <v>0</v>
      </c>
      <c r="DN30" s="407">
        <f>SUM(I30:DL30)</f>
        <v>2230000</v>
      </c>
      <c r="DO30" s="330"/>
    </row>
    <row r="31" spans="2:119" x14ac:dyDescent="0.3">
      <c r="B31" s="416"/>
      <c r="C31" s="406"/>
      <c r="D31" s="384"/>
      <c r="E31" s="342" t="s">
        <v>307</v>
      </c>
      <c r="F31" s="342"/>
      <c r="G31" s="342"/>
      <c r="H31" s="342"/>
      <c r="I31" s="347">
        <f>Monthly!K112</f>
        <v>0</v>
      </c>
      <c r="J31" s="347">
        <f>Monthly!L112</f>
        <v>0</v>
      </c>
      <c r="K31" s="347">
        <f>Monthly!M112</f>
        <v>0</v>
      </c>
      <c r="L31" s="347">
        <f>Monthly!N112</f>
        <v>0</v>
      </c>
      <c r="M31" s="347">
        <f>Monthly!O112</f>
        <v>0</v>
      </c>
      <c r="N31" s="347">
        <f>Monthly!P112</f>
        <v>0</v>
      </c>
      <c r="O31" s="347">
        <f>Monthly!Q112</f>
        <v>0</v>
      </c>
      <c r="P31" s="347">
        <f>Monthly!R112</f>
        <v>0</v>
      </c>
      <c r="Q31" s="347">
        <f>Monthly!S112</f>
        <v>0</v>
      </c>
      <c r="R31" s="347">
        <f>Monthly!T112</f>
        <v>0</v>
      </c>
      <c r="S31" s="347">
        <f>Monthly!U112</f>
        <v>0</v>
      </c>
      <c r="T31" s="347">
        <f>Monthly!V112</f>
        <v>0</v>
      </c>
      <c r="U31" s="347">
        <f>Monthly!W112</f>
        <v>0</v>
      </c>
      <c r="V31" s="347">
        <f>Monthly!X112</f>
        <v>0</v>
      </c>
      <c r="W31" s="347">
        <f>Monthly!Y112</f>
        <v>0</v>
      </c>
      <c r="X31" s="347">
        <f>Monthly!Z112</f>
        <v>0</v>
      </c>
      <c r="Y31" s="347">
        <f>Monthly!AA112</f>
        <v>0</v>
      </c>
      <c r="Z31" s="347">
        <f>Monthly!AB112</f>
        <v>0</v>
      </c>
      <c r="AA31" s="347">
        <f>Monthly!AC112</f>
        <v>0</v>
      </c>
      <c r="AB31" s="347">
        <f>Monthly!AD112</f>
        <v>0</v>
      </c>
      <c r="AC31" s="347">
        <f>Monthly!AE112</f>
        <v>0</v>
      </c>
      <c r="AD31" s="347">
        <f>Monthly!AF112</f>
        <v>0</v>
      </c>
      <c r="AE31" s="347">
        <f>Monthly!AG112</f>
        <v>0</v>
      </c>
      <c r="AF31" s="347">
        <f>Monthly!AH112</f>
        <v>0</v>
      </c>
      <c r="AG31" s="347">
        <f>Monthly!AI112</f>
        <v>2359.3474461202309</v>
      </c>
      <c r="AH31" s="347">
        <f>Monthly!AJ112</f>
        <v>2371.144183350832</v>
      </c>
      <c r="AI31" s="347">
        <f>Monthly!AK112</f>
        <v>2382.9999042675859</v>
      </c>
      <c r="AJ31" s="347">
        <f>Monthly!AL112</f>
        <v>2394.9149037889242</v>
      </c>
      <c r="AK31" s="347">
        <f>Monthly!AM112</f>
        <v>2406.8894783078686</v>
      </c>
      <c r="AL31" s="347">
        <f>Monthly!AN112</f>
        <v>2418.9239256994078</v>
      </c>
      <c r="AM31" s="347">
        <f>Monthly!AO112</f>
        <v>2431.018545327905</v>
      </c>
      <c r="AN31" s="347">
        <f>Monthly!AP112</f>
        <v>2443.1736380545444</v>
      </c>
      <c r="AO31" s="347">
        <f>Monthly!AQ112</f>
        <v>2455.3895062448173</v>
      </c>
      <c r="AP31" s="347">
        <f>Monthly!AR112</f>
        <v>2467.6664537760416</v>
      </c>
      <c r="AQ31" s="347">
        <f>Monthly!AS112</f>
        <v>2480.0047860449217</v>
      </c>
      <c r="AR31" s="347">
        <f>Monthly!AT112</f>
        <v>2513.4377619580587</v>
      </c>
      <c r="AS31" s="347">
        <f>Monthly!AU112</f>
        <v>2526.0049507678491</v>
      </c>
      <c r="AT31" s="347">
        <f>Monthly!AV112</f>
        <v>2538.6349755216879</v>
      </c>
      <c r="AU31" s="347">
        <f>Monthly!AW112</f>
        <v>2551.3281503992966</v>
      </c>
      <c r="AV31" s="347">
        <f>Monthly!AX112</f>
        <v>2564.0847911512928</v>
      </c>
      <c r="AW31" s="347">
        <f>Monthly!AY112</f>
        <v>2576.9052151070496</v>
      </c>
      <c r="AX31" s="347">
        <f>Monthly!AZ112</f>
        <v>2589.7897411825847</v>
      </c>
      <c r="AY31" s="347">
        <f>Monthly!BA112</f>
        <v>2602.7386898884979</v>
      </c>
      <c r="AZ31" s="347">
        <f>Monthly!BB112</f>
        <v>2615.7523833379405</v>
      </c>
      <c r="BA31" s="347">
        <f>Monthly!BC112</f>
        <v>2628.8311452546304</v>
      </c>
      <c r="BB31" s="347">
        <f>Monthly!BD112</f>
        <v>2641.9753009809028</v>
      </c>
      <c r="BC31" s="347">
        <f>Monthly!BE112</f>
        <v>2655.1851774858078</v>
      </c>
      <c r="BD31" s="347">
        <f>Monthly!BF112</f>
        <v>2668.4611033732367</v>
      </c>
      <c r="BE31" s="347">
        <f>Monthly!BG112</f>
        <v>2681.8034088901031</v>
      </c>
      <c r="BF31" s="347">
        <f>Monthly!BH112</f>
        <v>2695.2124259345537</v>
      </c>
      <c r="BG31" s="347">
        <f>Monthly!BI112</f>
        <v>2708.688488064226</v>
      </c>
      <c r="BH31" s="347">
        <f>Monthly!BJ112</f>
        <v>2722.2319305045471</v>
      </c>
      <c r="BI31" s="347">
        <f>Monthly!BK112</f>
        <v>2735.84309015707</v>
      </c>
      <c r="BJ31" s="347">
        <f>Monthly!BL112</f>
        <v>2749.5223056078557</v>
      </c>
      <c r="BK31" s="347">
        <f>Monthly!BM112</f>
        <v>2763.2699171358945</v>
      </c>
      <c r="BL31" s="347">
        <f>Monthly!BN112</f>
        <v>2777.0862667215742</v>
      </c>
      <c r="BM31" s="347">
        <f>Monthly!BO112</f>
        <v>2790.9716980551816</v>
      </c>
      <c r="BN31" s="347">
        <f>Monthly!BP112</f>
        <v>2804.9265565454584</v>
      </c>
      <c r="BO31" s="347">
        <f>Monthly!BQ112</f>
        <v>2818.9511893281851</v>
      </c>
      <c r="BP31" s="347">
        <f>Monthly!BR112</f>
        <v>2809.3384478248272</v>
      </c>
      <c r="BQ31" s="347">
        <f>Monthly!BS112</f>
        <v>2823.3851400639519</v>
      </c>
      <c r="BR31" s="347">
        <f>Monthly!BT112</f>
        <v>2837.5020657642708</v>
      </c>
      <c r="BS31" s="347">
        <f>Monthly!BU112</f>
        <v>2851.6895760930929</v>
      </c>
      <c r="BT31" s="347">
        <f>Monthly!BV112</f>
        <v>2865.9480239735581</v>
      </c>
      <c r="BU31" s="347">
        <f>Monthly!BW112</f>
        <v>2880.277764093426</v>
      </c>
      <c r="BV31" s="347">
        <f>Monthly!BX112</f>
        <v>2894.6791529138932</v>
      </c>
      <c r="BW31" s="347">
        <f>Monthly!BY112</f>
        <v>2909.1525486784626</v>
      </c>
      <c r="BX31" s="347">
        <f>Monthly!BZ112</f>
        <v>2923.6983114218551</v>
      </c>
      <c r="BY31" s="347">
        <f>Monthly!CA112</f>
        <v>2938.3168029789649</v>
      </c>
      <c r="BZ31" s="347">
        <f>Monthly!CB112</f>
        <v>2953.0083869938594</v>
      </c>
      <c r="CA31" s="347">
        <f>Monthly!CC112</f>
        <v>2967.7734289288283</v>
      </c>
      <c r="CB31" s="347">
        <f>Monthly!CD112</f>
        <v>2944.8577100472262</v>
      </c>
      <c r="CC31" s="347">
        <f>Monthly!CE112</f>
        <v>2959.5819985974622</v>
      </c>
      <c r="CD31" s="347">
        <f>Monthly!CF112</f>
        <v>2974.3799085904498</v>
      </c>
      <c r="CE31" s="347">
        <f>Monthly!CG112</f>
        <v>2989.2518081334015</v>
      </c>
      <c r="CF31" s="347">
        <f>Monthly!CH112</f>
        <v>3004.1980671740689</v>
      </c>
      <c r="CG31" s="347">
        <f>Monthly!CI112</f>
        <v>3019.2190575099389</v>
      </c>
      <c r="CH31" s="347">
        <f>Monthly!CJ112</f>
        <v>3034.3151527974896</v>
      </c>
      <c r="CI31" s="347">
        <f>Monthly!CK112</f>
        <v>3049.4867285614764</v>
      </c>
      <c r="CJ31" s="347">
        <f>Monthly!CL112</f>
        <v>3064.7341622042836</v>
      </c>
      <c r="CK31" s="347">
        <f>Monthly!CM112</f>
        <v>3080.0578330153048</v>
      </c>
      <c r="CL31" s="347">
        <f>Monthly!CN112</f>
        <v>3095.4581221803819</v>
      </c>
      <c r="CM31" s="347">
        <f>Monthly!CO112</f>
        <v>3110.9354127912834</v>
      </c>
      <c r="CN31" s="347">
        <f>Monthly!CP112</f>
        <v>3059.6847460549138</v>
      </c>
      <c r="CO31" s="347">
        <f>Monthly!CQ112</f>
        <v>3074.9831697851887</v>
      </c>
      <c r="CP31" s="347">
        <f>Monthly!CR112</f>
        <v>3090.3580856341146</v>
      </c>
      <c r="CQ31" s="347">
        <f>Monthly!CS112</f>
        <v>3105.8098760622856</v>
      </c>
      <c r="CR31" s="347">
        <f>Monthly!CT112</f>
        <v>3121.3389254425965</v>
      </c>
      <c r="CS31" s="347">
        <f>Monthly!CU112</f>
        <v>3136.94562006981</v>
      </c>
      <c r="CT31" s="347">
        <f>Monthly!CV112</f>
        <v>3152.6303481701589</v>
      </c>
      <c r="CU31" s="347">
        <f>Monthly!CW112</f>
        <v>3168.3934999110097</v>
      </c>
      <c r="CV31" s="347">
        <f>Monthly!CX112</f>
        <v>3184.2354674105645</v>
      </c>
      <c r="CW31" s="347">
        <f>Monthly!CY112</f>
        <v>3200.1566447476175</v>
      </c>
      <c r="CX31" s="347">
        <f>Monthly!CZ112</f>
        <v>3216.1574279713554</v>
      </c>
      <c r="CY31" s="347">
        <f>Monthly!DA112</f>
        <v>3232.238215111212</v>
      </c>
      <c r="CZ31" s="347">
        <f>Monthly!DB112</f>
        <v>3163.288504714626</v>
      </c>
      <c r="DA31" s="347">
        <f>Monthly!DC112</f>
        <v>3179.1049472381992</v>
      </c>
      <c r="DB31" s="347">
        <f>Monthly!DD112</f>
        <v>3195.0004719743902</v>
      </c>
      <c r="DC31" s="347">
        <f>Monthly!DE112</f>
        <v>3210.9754743342614</v>
      </c>
      <c r="DD31" s="347">
        <f>Monthly!DF112</f>
        <v>3227.0303517059338</v>
      </c>
      <c r="DE31" s="347">
        <f>Monthly!DG112</f>
        <v>3243.1655034644627</v>
      </c>
      <c r="DF31" s="347">
        <f>Monthly!DH112</f>
        <v>3259.3813309817856</v>
      </c>
      <c r="DG31" s="347">
        <f>Monthly!DI112</f>
        <v>3275.6782376366941</v>
      </c>
      <c r="DH31" s="347">
        <f>Monthly!DJ112</f>
        <v>3292.0566288248783</v>
      </c>
      <c r="DI31" s="347">
        <f>Monthly!DK112</f>
        <v>3308.5169119690022</v>
      </c>
      <c r="DJ31" s="347">
        <f>Monthly!DL112</f>
        <v>3325.0594965288465</v>
      </c>
      <c r="DK31" s="347">
        <f>Monthly!DM112</f>
        <v>3341.6847940114917</v>
      </c>
      <c r="DL31" s="347">
        <f>Monthly!DN112</f>
        <v>3358.3932179815488</v>
      </c>
      <c r="DM31" s="342"/>
      <c r="DN31" s="408">
        <f>SUM(I31:DL31)</f>
        <v>241636.62294340538</v>
      </c>
      <c r="DO31" s="330"/>
    </row>
    <row r="32" spans="2:119" x14ac:dyDescent="0.3">
      <c r="B32" s="416"/>
      <c r="C32" s="409"/>
      <c r="D32" s="384" t="s">
        <v>308</v>
      </c>
      <c r="E32" s="342"/>
      <c r="F32" s="342"/>
      <c r="G32" s="342"/>
      <c r="H32" s="342"/>
      <c r="I32" s="347">
        <f t="shared" ref="I32" si="275">I29+I30-I31</f>
        <v>0</v>
      </c>
      <c r="J32" s="347">
        <f>IF(J29&gt;0,J29,0)</f>
        <v>0</v>
      </c>
      <c r="K32" s="347">
        <f t="shared" ref="K32:AE32" si="276">IF(K29&gt;0,K29,0)</f>
        <v>0</v>
      </c>
      <c r="L32" s="347">
        <f t="shared" si="276"/>
        <v>0</v>
      </c>
      <c r="M32" s="347">
        <f t="shared" si="276"/>
        <v>0</v>
      </c>
      <c r="N32" s="347">
        <f t="shared" si="276"/>
        <v>0</v>
      </c>
      <c r="O32" s="347">
        <f t="shared" si="276"/>
        <v>0</v>
      </c>
      <c r="P32" s="347">
        <f t="shared" si="276"/>
        <v>0</v>
      </c>
      <c r="Q32" s="347">
        <f t="shared" si="276"/>
        <v>0</v>
      </c>
      <c r="R32" s="347">
        <f t="shared" si="276"/>
        <v>0</v>
      </c>
      <c r="S32" s="347">
        <f t="shared" si="276"/>
        <v>0</v>
      </c>
      <c r="T32" s="567">
        <f t="shared" si="276"/>
        <v>0</v>
      </c>
      <c r="U32" s="347">
        <f t="shared" si="276"/>
        <v>0</v>
      </c>
      <c r="V32" s="347">
        <f t="shared" si="276"/>
        <v>0</v>
      </c>
      <c r="W32" s="347">
        <f t="shared" si="276"/>
        <v>0</v>
      </c>
      <c r="X32" s="347">
        <f t="shared" si="276"/>
        <v>0</v>
      </c>
      <c r="Y32" s="347">
        <f t="shared" si="276"/>
        <v>0</v>
      </c>
      <c r="Z32" s="347">
        <f t="shared" si="276"/>
        <v>0</v>
      </c>
      <c r="AA32" s="347">
        <f t="shared" si="276"/>
        <v>0</v>
      </c>
      <c r="AB32" s="347">
        <f t="shared" si="276"/>
        <v>0</v>
      </c>
      <c r="AC32" s="347">
        <f t="shared" si="276"/>
        <v>0</v>
      </c>
      <c r="AD32" s="347">
        <f t="shared" si="276"/>
        <v>0</v>
      </c>
      <c r="AE32" s="347">
        <f t="shared" si="276"/>
        <v>0</v>
      </c>
      <c r="AF32" s="567">
        <f>AF30+AF31</f>
        <v>2370000</v>
      </c>
      <c r="AG32" s="347">
        <f>AG29+AG30-AG31</f>
        <v>2367640.6525538797</v>
      </c>
      <c r="AH32" s="347">
        <f t="shared" ref="AH32:CS32" si="277">AH29+AH30-AH31</f>
        <v>2365269.5083705289</v>
      </c>
      <c r="AI32" s="347">
        <f t="shared" si="277"/>
        <v>2362886.5084662614</v>
      </c>
      <c r="AJ32" s="347">
        <f t="shared" si="277"/>
        <v>2360491.5935624726</v>
      </c>
      <c r="AK32" s="347">
        <f t="shared" si="277"/>
        <v>2358084.7040841649</v>
      </c>
      <c r="AL32" s="347">
        <f t="shared" si="277"/>
        <v>2355665.7801584657</v>
      </c>
      <c r="AM32" s="347">
        <f t="shared" si="277"/>
        <v>2353234.761613138</v>
      </c>
      <c r="AN32" s="347">
        <f t="shared" si="277"/>
        <v>2350791.5879750834</v>
      </c>
      <c r="AO32" s="347">
        <f t="shared" si="277"/>
        <v>2348336.1984688384</v>
      </c>
      <c r="AP32" s="347">
        <f t="shared" si="277"/>
        <v>2345868.5320150624</v>
      </c>
      <c r="AQ32" s="347">
        <f t="shared" si="277"/>
        <v>2343388.5272290176</v>
      </c>
      <c r="AR32" s="347">
        <f t="shared" si="277"/>
        <v>2360875.0894670594</v>
      </c>
      <c r="AS32" s="347">
        <f t="shared" si="277"/>
        <v>2358349.0845162915</v>
      </c>
      <c r="AT32" s="347">
        <f t="shared" si="277"/>
        <v>2355810.4495407697</v>
      </c>
      <c r="AU32" s="347">
        <f t="shared" si="277"/>
        <v>2353259.1213903702</v>
      </c>
      <c r="AV32" s="347">
        <f t="shared" si="277"/>
        <v>2350695.0365992188</v>
      </c>
      <c r="AW32" s="347">
        <f t="shared" si="277"/>
        <v>2348118.1313841119</v>
      </c>
      <c r="AX32" s="347">
        <f t="shared" si="277"/>
        <v>2345528.3416429292</v>
      </c>
      <c r="AY32" s="347">
        <f t="shared" si="277"/>
        <v>2342925.602953041</v>
      </c>
      <c r="AZ32" s="347">
        <f t="shared" si="277"/>
        <v>2340309.8505697032</v>
      </c>
      <c r="BA32" s="347">
        <f t="shared" si="277"/>
        <v>2337681.0194244487</v>
      </c>
      <c r="BB32" s="347">
        <f t="shared" si="277"/>
        <v>2335039.044123468</v>
      </c>
      <c r="BC32" s="347">
        <f t="shared" si="277"/>
        <v>2332383.8589459821</v>
      </c>
      <c r="BD32" s="347">
        <f t="shared" si="277"/>
        <v>2329715.3978426089</v>
      </c>
      <c r="BE32" s="347">
        <f t="shared" si="277"/>
        <v>2327033.5944337188</v>
      </c>
      <c r="BF32" s="347">
        <f t="shared" si="277"/>
        <v>2324338.3820077842</v>
      </c>
      <c r="BG32" s="347">
        <f t="shared" si="277"/>
        <v>2321629.6935197199</v>
      </c>
      <c r="BH32" s="347">
        <f t="shared" si="277"/>
        <v>2318907.4615892153</v>
      </c>
      <c r="BI32" s="347">
        <f t="shared" si="277"/>
        <v>2316171.6184990583</v>
      </c>
      <c r="BJ32" s="347">
        <f t="shared" si="277"/>
        <v>2313422.0961934505</v>
      </c>
      <c r="BK32" s="347">
        <f t="shared" si="277"/>
        <v>2310658.8262763144</v>
      </c>
      <c r="BL32" s="347">
        <f t="shared" si="277"/>
        <v>2307881.7400095928</v>
      </c>
      <c r="BM32" s="347">
        <f t="shared" si="277"/>
        <v>2305090.7683115378</v>
      </c>
      <c r="BN32" s="347">
        <f t="shared" si="277"/>
        <v>2302285.8417549925</v>
      </c>
      <c r="BO32" s="347">
        <f t="shared" si="277"/>
        <v>2299466.8905656645</v>
      </c>
      <c r="BP32" s="347">
        <f t="shared" si="277"/>
        <v>2276657.5521178395</v>
      </c>
      <c r="BQ32" s="347">
        <f t="shared" si="277"/>
        <v>2273834.1669777753</v>
      </c>
      <c r="BR32" s="347">
        <f t="shared" si="277"/>
        <v>2270996.664912011</v>
      </c>
      <c r="BS32" s="347">
        <f t="shared" si="277"/>
        <v>2268144.9753359179</v>
      </c>
      <c r="BT32" s="347">
        <f t="shared" si="277"/>
        <v>2265279.0273119444</v>
      </c>
      <c r="BU32" s="347">
        <f t="shared" si="277"/>
        <v>2262398.7495478508</v>
      </c>
      <c r="BV32" s="347">
        <f t="shared" si="277"/>
        <v>2259504.0703949369</v>
      </c>
      <c r="BW32" s="347">
        <f t="shared" si="277"/>
        <v>2256594.9178462583</v>
      </c>
      <c r="BX32" s="347">
        <f t="shared" si="277"/>
        <v>2253671.2195348362</v>
      </c>
      <c r="BY32" s="347">
        <f t="shared" si="277"/>
        <v>2250732.9027318573</v>
      </c>
      <c r="BZ32" s="347">
        <f t="shared" si="277"/>
        <v>2247779.8943448635</v>
      </c>
      <c r="CA32" s="347">
        <f t="shared" si="277"/>
        <v>2244812.1209159344</v>
      </c>
      <c r="CB32" s="347">
        <f t="shared" si="277"/>
        <v>2211867.2632058873</v>
      </c>
      <c r="CC32" s="347">
        <f t="shared" si="277"/>
        <v>2208907.6812072899</v>
      </c>
      <c r="CD32" s="347">
        <f t="shared" si="277"/>
        <v>2205933.3012986993</v>
      </c>
      <c r="CE32" s="347">
        <f t="shared" si="277"/>
        <v>2202944.0494905659</v>
      </c>
      <c r="CF32" s="347">
        <f t="shared" si="277"/>
        <v>2199939.8514233916</v>
      </c>
      <c r="CG32" s="347">
        <f t="shared" si="277"/>
        <v>2196920.6323658815</v>
      </c>
      <c r="CH32" s="347">
        <f t="shared" si="277"/>
        <v>2193886.3172130841</v>
      </c>
      <c r="CI32" s="347">
        <f t="shared" si="277"/>
        <v>2190836.8304845225</v>
      </c>
      <c r="CJ32" s="347">
        <f t="shared" si="277"/>
        <v>2187772.0963223181</v>
      </c>
      <c r="CK32" s="347">
        <f t="shared" si="277"/>
        <v>2184692.0384893026</v>
      </c>
      <c r="CL32" s="347">
        <f t="shared" si="277"/>
        <v>2181596.5803671223</v>
      </c>
      <c r="CM32" s="347">
        <f t="shared" si="277"/>
        <v>2178485.6449543312</v>
      </c>
      <c r="CN32" s="347">
        <f t="shared" si="277"/>
        <v>2125425.9602082763</v>
      </c>
      <c r="CO32" s="347">
        <f t="shared" si="277"/>
        <v>2122350.9770384911</v>
      </c>
      <c r="CP32" s="347">
        <f t="shared" si="277"/>
        <v>2119260.6189528569</v>
      </c>
      <c r="CQ32" s="347">
        <f t="shared" si="277"/>
        <v>2116154.8090767944</v>
      </c>
      <c r="CR32" s="347">
        <f t="shared" si="277"/>
        <v>2113033.4701513518</v>
      </c>
      <c r="CS32" s="347">
        <f t="shared" si="277"/>
        <v>2109896.524531282</v>
      </c>
      <c r="CT32" s="347">
        <f t="shared" ref="CT32:DL32" si="278">CT29+CT30-CT31</f>
        <v>2106743.8941831118</v>
      </c>
      <c r="CU32" s="347">
        <f t="shared" si="278"/>
        <v>2103575.500683201</v>
      </c>
      <c r="CV32" s="347">
        <f t="shared" si="278"/>
        <v>2100391.2652157904</v>
      </c>
      <c r="CW32" s="347">
        <f t="shared" si="278"/>
        <v>2097191.1085710428</v>
      </c>
      <c r="CX32" s="347">
        <f t="shared" si="278"/>
        <v>2093974.9511430715</v>
      </c>
      <c r="CY32" s="347">
        <f t="shared" si="278"/>
        <v>2090742.7129279603</v>
      </c>
      <c r="CZ32" s="347">
        <f t="shared" si="278"/>
        <v>2027579.4244232457</v>
      </c>
      <c r="DA32" s="347">
        <f t="shared" si="278"/>
        <v>2024400.3194760075</v>
      </c>
      <c r="DB32" s="347">
        <f t="shared" si="278"/>
        <v>2021205.319004033</v>
      </c>
      <c r="DC32" s="347">
        <f t="shared" si="278"/>
        <v>2017994.3435296987</v>
      </c>
      <c r="DD32" s="347">
        <f t="shared" si="278"/>
        <v>2014767.3131779928</v>
      </c>
      <c r="DE32" s="347">
        <f t="shared" si="278"/>
        <v>2011524.1476745284</v>
      </c>
      <c r="DF32" s="347">
        <f t="shared" si="278"/>
        <v>2008264.7663435466</v>
      </c>
      <c r="DG32" s="347">
        <f t="shared" si="278"/>
        <v>2004989.0881059098</v>
      </c>
      <c r="DH32" s="347">
        <f t="shared" si="278"/>
        <v>2001697.0314770848</v>
      </c>
      <c r="DI32" s="347">
        <f t="shared" si="278"/>
        <v>1998388.5145651158</v>
      </c>
      <c r="DJ32" s="347">
        <f t="shared" si="278"/>
        <v>1995063.4550685869</v>
      </c>
      <c r="DK32" s="347">
        <f t="shared" si="278"/>
        <v>1991721.7702745753</v>
      </c>
      <c r="DL32" s="347">
        <f t="shared" si="278"/>
        <v>1988363.3770565938</v>
      </c>
      <c r="DM32" s="342"/>
      <c r="DN32" s="410"/>
      <c r="DO32" s="330"/>
    </row>
    <row r="33" spans="2:119" x14ac:dyDescent="0.3">
      <c r="B33" s="416"/>
      <c r="T33" s="561"/>
      <c r="AF33" s="561"/>
      <c r="AR33" s="561"/>
      <c r="BD33" s="561"/>
      <c r="BP33" s="561"/>
      <c r="CB33" s="561"/>
      <c r="CN33" s="561"/>
      <c r="CZ33" s="561"/>
      <c r="DO33" s="330"/>
    </row>
    <row r="34" spans="2:119" x14ac:dyDescent="0.3">
      <c r="B34" s="416"/>
      <c r="T34" s="561"/>
      <c r="AF34" s="561"/>
      <c r="AR34" s="561"/>
      <c r="BD34" s="561"/>
      <c r="BP34" s="561"/>
      <c r="CB34" s="561"/>
      <c r="CN34" s="561"/>
      <c r="CZ34" s="561"/>
      <c r="DO34" s="330"/>
    </row>
    <row r="35" spans="2:119" outlineLevel="1" x14ac:dyDescent="0.3">
      <c r="B35" s="416"/>
      <c r="C35" s="418"/>
      <c r="D35" s="419" t="s">
        <v>387</v>
      </c>
      <c r="E35" s="420"/>
      <c r="F35" s="420"/>
      <c r="G35" s="420"/>
      <c r="H35" s="420"/>
      <c r="I35" s="421">
        <f>I11+I25</f>
        <v>1175000</v>
      </c>
      <c r="J35" s="421">
        <f t="shared" ref="J35:AI35" si="279">J11+J25</f>
        <v>1175000</v>
      </c>
      <c r="K35" s="421">
        <f t="shared" si="279"/>
        <v>1175000</v>
      </c>
      <c r="L35" s="421">
        <f t="shared" si="279"/>
        <v>1175000</v>
      </c>
      <c r="M35" s="421">
        <f t="shared" si="279"/>
        <v>1256027.4166666665</v>
      </c>
      <c r="N35" s="421">
        <f t="shared" si="279"/>
        <v>1628089.467048611</v>
      </c>
      <c r="O35" s="421">
        <f t="shared" si="279"/>
        <v>1948401.0086627458</v>
      </c>
      <c r="P35" s="421">
        <f t="shared" si="279"/>
        <v>2627105.5999813257</v>
      </c>
      <c r="Q35" s="421">
        <f t="shared" si="279"/>
        <v>2742669.5193145117</v>
      </c>
      <c r="R35" s="421">
        <f t="shared" si="279"/>
        <v>2901655.319675751</v>
      </c>
      <c r="S35" s="421">
        <f t="shared" si="279"/>
        <v>3066254.7576231845</v>
      </c>
      <c r="T35" s="916">
        <f t="shared" si="279"/>
        <v>3210990.5244543678</v>
      </c>
      <c r="U35" s="421">
        <f t="shared" si="279"/>
        <v>3214330.1977729648</v>
      </c>
      <c r="V35" s="421">
        <f t="shared" si="279"/>
        <v>3215370.2501720008</v>
      </c>
      <c r="W35" s="421">
        <f t="shared" si="279"/>
        <v>3213006.0763191958</v>
      </c>
      <c r="X35" s="421">
        <f t="shared" si="279"/>
        <v>3210623.1860900559</v>
      </c>
      <c r="Y35" s="421">
        <f t="shared" si="279"/>
        <v>3210199.2613132689</v>
      </c>
      <c r="Z35" s="421">
        <f t="shared" si="279"/>
        <v>3210663.4104653327</v>
      </c>
      <c r="AA35" s="421">
        <f t="shared" si="279"/>
        <v>3214543.6941315164</v>
      </c>
      <c r="AB35" s="421">
        <f t="shared" si="279"/>
        <v>3220780.7567100576</v>
      </c>
      <c r="AC35" s="421">
        <f t="shared" si="279"/>
        <v>3280566.4560340121</v>
      </c>
      <c r="AD35" s="421">
        <f t="shared" si="279"/>
        <v>3291825.0588109479</v>
      </c>
      <c r="AE35" s="421">
        <f t="shared" si="279"/>
        <v>3298673.9321932015</v>
      </c>
      <c r="AF35" s="916">
        <f t="shared" si="279"/>
        <v>965755.59582306445</v>
      </c>
      <c r="AG35" s="421">
        <f t="shared" si="279"/>
        <v>964853.03006945061</v>
      </c>
      <c r="AH35" s="421">
        <f t="shared" si="279"/>
        <v>961532.8690036207</v>
      </c>
      <c r="AI35" s="421">
        <f t="shared" si="279"/>
        <v>954689.57332935289</v>
      </c>
      <c r="AJ35" s="421">
        <f t="shared" ref="AJ35:BD35" si="280">AJ11+AJ25</f>
        <v>947792.10156433051</v>
      </c>
      <c r="AK35" s="421">
        <f t="shared" si="280"/>
        <v>942860.04981450166</v>
      </c>
      <c r="AL35" s="421">
        <f t="shared" si="280"/>
        <v>938822.57765498676</v>
      </c>
      <c r="AM35" s="421">
        <f t="shared" si="280"/>
        <v>938249.99217420898</v>
      </c>
      <c r="AN35" s="421">
        <f t="shared" si="280"/>
        <v>940083.3237250417</v>
      </c>
      <c r="AO35" s="421">
        <f t="shared" si="280"/>
        <v>1001473.8191506519</v>
      </c>
      <c r="AP35" s="421">
        <f t="shared" si="280"/>
        <v>1008390.9226650482</v>
      </c>
      <c r="AQ35" s="421">
        <f t="shared" si="280"/>
        <v>1010779.5365822667</v>
      </c>
      <c r="AR35" s="916">
        <f t="shared" si="280"/>
        <v>997494.46831164602</v>
      </c>
      <c r="AS35" s="421">
        <f t="shared" si="280"/>
        <v>996320.42758388305</v>
      </c>
      <c r="AT35" s="421">
        <f t="shared" si="280"/>
        <v>992642.25236702536</v>
      </c>
      <c r="AU35" s="421">
        <f t="shared" si="280"/>
        <v>985353.71826303413</v>
      </c>
      <c r="AV35" s="421">
        <f t="shared" si="280"/>
        <v>978007.48326405289</v>
      </c>
      <c r="AW35" s="421">
        <f t="shared" si="280"/>
        <v>972665.31057132978</v>
      </c>
      <c r="AX35" s="421">
        <f t="shared" si="280"/>
        <v>968256.66567812266</v>
      </c>
      <c r="AY35" s="421">
        <f t="shared" si="280"/>
        <v>967394.35901284427</v>
      </c>
      <c r="AZ35" s="421">
        <f t="shared" si="280"/>
        <v>969020.06575313245</v>
      </c>
      <c r="BA35" s="421">
        <f t="shared" si="280"/>
        <v>1036948.1026717812</v>
      </c>
      <c r="BB35" s="421">
        <f t="shared" si="280"/>
        <v>1043248.883216036</v>
      </c>
      <c r="BC35" s="421">
        <f t="shared" si="280"/>
        <v>1045475.1049395994</v>
      </c>
      <c r="BD35" s="916">
        <f t="shared" si="280"/>
        <v>1046743.1309184744</v>
      </c>
      <c r="BE35" s="421">
        <f t="shared" ref="BE35:CB35" si="281">BE11+BE25</f>
        <v>1045349.2285163489</v>
      </c>
      <c r="BF35" s="421">
        <f t="shared" si="281"/>
        <v>1041365.0610535397</v>
      </c>
      <c r="BG35" s="421">
        <f t="shared" si="281"/>
        <v>1033683.7222649835</v>
      </c>
      <c r="BH35" s="421">
        <f t="shared" si="281"/>
        <v>1025941.5728776844</v>
      </c>
      <c r="BI35" s="421">
        <f t="shared" si="281"/>
        <v>1020242.5464744025</v>
      </c>
      <c r="BJ35" s="421">
        <f t="shared" si="281"/>
        <v>1015516.4177787614</v>
      </c>
      <c r="BK35" s="421">
        <f t="shared" si="281"/>
        <v>1014418.503897613</v>
      </c>
      <c r="BL35" s="421">
        <f t="shared" si="281"/>
        <v>1015891.1281982389</v>
      </c>
      <c r="BM35" s="421">
        <f t="shared" si="281"/>
        <v>1091198.3451745783</v>
      </c>
      <c r="BN35" s="421">
        <f t="shared" si="281"/>
        <v>1098030.8398853135</v>
      </c>
      <c r="BO35" s="421">
        <f t="shared" si="281"/>
        <v>1100165.3951791753</v>
      </c>
      <c r="BP35" s="916">
        <f t="shared" si="281"/>
        <v>1101275.1265383302</v>
      </c>
      <c r="BQ35" s="421">
        <f t="shared" si="281"/>
        <v>1099614.5292431451</v>
      </c>
      <c r="BR35" s="421">
        <f t="shared" si="281"/>
        <v>1095277.1655527065</v>
      </c>
      <c r="BS35" s="421">
        <f t="shared" si="281"/>
        <v>1087155.4443997187</v>
      </c>
      <c r="BT35" s="421">
        <f t="shared" si="281"/>
        <v>1078969.4262876029</v>
      </c>
      <c r="BU35" s="421">
        <f t="shared" si="281"/>
        <v>1072865.2121987662</v>
      </c>
      <c r="BV35" s="421">
        <f t="shared" si="281"/>
        <v>1067772.8830817263</v>
      </c>
      <c r="BW35" s="421">
        <f t="shared" si="281"/>
        <v>1066390.2596925097</v>
      </c>
      <c r="BX35" s="421">
        <f t="shared" si="281"/>
        <v>1087660.3105347953</v>
      </c>
      <c r="BY35" s="421">
        <f t="shared" si="281"/>
        <v>1171334.9396075823</v>
      </c>
      <c r="BZ35" s="421">
        <f t="shared" si="281"/>
        <v>1178272.2224991955</v>
      </c>
      <c r="CA35" s="421">
        <f t="shared" si="281"/>
        <v>1180428.0055470339</v>
      </c>
      <c r="CB35" s="916">
        <f t="shared" si="281"/>
        <v>1181502.8906246414</v>
      </c>
      <c r="CC35" s="421">
        <f t="shared" ref="CC35:CZ35" si="282">CC11+CC25</f>
        <v>1179751.0755106853</v>
      </c>
      <c r="CD35" s="421">
        <f t="shared" si="282"/>
        <v>1175237.3818604106</v>
      </c>
      <c r="CE35" s="421">
        <f t="shared" si="282"/>
        <v>1166853.5448020711</v>
      </c>
      <c r="CF35" s="421">
        <f t="shared" si="282"/>
        <v>1158403.3357003531</v>
      </c>
      <c r="CG35" s="421">
        <f t="shared" si="282"/>
        <v>1152075.034109913</v>
      </c>
      <c r="CH35" s="421">
        <f t="shared" si="282"/>
        <v>1146799.0384652154</v>
      </c>
      <c r="CI35" s="421">
        <f t="shared" si="282"/>
        <v>1145315.6845216639</v>
      </c>
      <c r="CJ35" s="421">
        <f t="shared" si="282"/>
        <v>1176568.5973593928</v>
      </c>
      <c r="CK35" s="421">
        <f t="shared" si="282"/>
        <v>1269702.3197977801</v>
      </c>
      <c r="CL35" s="421">
        <f t="shared" si="282"/>
        <v>1276860.770164778</v>
      </c>
      <c r="CM35" s="421">
        <f t="shared" si="282"/>
        <v>1279155.0815971815</v>
      </c>
      <c r="CN35" s="916">
        <f t="shared" si="282"/>
        <v>1280298.3459846245</v>
      </c>
      <c r="CO35" s="421">
        <f t="shared" si="282"/>
        <v>1278510.4388257538</v>
      </c>
      <c r="CP35" s="421">
        <f t="shared" si="282"/>
        <v>1273875.9774018754</v>
      </c>
      <c r="CQ35" s="421">
        <f t="shared" si="282"/>
        <v>1265286.0264917247</v>
      </c>
      <c r="CR35" s="421">
        <f t="shared" si="282"/>
        <v>1256628.0718035351</v>
      </c>
      <c r="CS35" s="421">
        <f t="shared" si="282"/>
        <v>1250132.5749740642</v>
      </c>
      <c r="CT35" s="421">
        <f t="shared" si="282"/>
        <v>1244730.2554613599</v>
      </c>
      <c r="CU35" s="421">
        <f t="shared" si="282"/>
        <v>1243203.9675858468</v>
      </c>
      <c r="CV35" s="421">
        <f t="shared" si="282"/>
        <v>1294497.9965979857</v>
      </c>
      <c r="CW35" s="421">
        <f t="shared" si="282"/>
        <v>1398329.1602660473</v>
      </c>
      <c r="CX35" s="421">
        <f t="shared" si="282"/>
        <v>1405856.4637202381</v>
      </c>
      <c r="CY35" s="421">
        <f t="shared" si="282"/>
        <v>1408438.1583267744</v>
      </c>
      <c r="CZ35" s="916">
        <f t="shared" si="282"/>
        <v>1409810.5804474736</v>
      </c>
      <c r="DA35" s="421">
        <f t="shared" ref="DA35:DL35" si="283">DA11+DA25</f>
        <v>1408199.7479655661</v>
      </c>
      <c r="DB35" s="421">
        <f t="shared" si="283"/>
        <v>1403659.3730598434</v>
      </c>
      <c r="DC35" s="421">
        <f t="shared" si="283"/>
        <v>1395079.8635194506</v>
      </c>
      <c r="DD35" s="421">
        <f t="shared" si="283"/>
        <v>1386432.4328618627</v>
      </c>
      <c r="DE35" s="421">
        <f t="shared" si="283"/>
        <v>1379989.7383782358</v>
      </c>
      <c r="DF35" s="421">
        <f t="shared" si="283"/>
        <v>1374682.8342299471</v>
      </c>
      <c r="DG35" s="421">
        <f t="shared" si="283"/>
        <v>1373337.1070904839</v>
      </c>
      <c r="DH35" s="421">
        <f t="shared" si="283"/>
        <v>1434897.5162778336</v>
      </c>
      <c r="DI35" s="421">
        <f t="shared" si="283"/>
        <v>1529436.7259547906</v>
      </c>
      <c r="DJ35" s="421">
        <f t="shared" si="283"/>
        <v>1515222.5304715151</v>
      </c>
      <c r="DK35" s="421">
        <f t="shared" si="283"/>
        <v>1495935.3702857222</v>
      </c>
      <c r="DL35" s="421">
        <f t="shared" si="283"/>
        <v>1475478.1235238994</v>
      </c>
      <c r="DM35" s="420"/>
      <c r="DN35" s="422"/>
      <c r="DO35" s="330"/>
    </row>
    <row r="36" spans="2:119" outlineLevel="1" x14ac:dyDescent="0.3">
      <c r="B36" s="416"/>
      <c r="C36" s="423"/>
      <c r="D36" s="385" t="s">
        <v>388</v>
      </c>
      <c r="E36" s="356"/>
      <c r="F36" s="356"/>
      <c r="G36" s="356"/>
      <c r="H36" s="356"/>
      <c r="I36" s="512">
        <f>'Table 3.0'!G5-'Table 3.0'!G17+Monthly!K110</f>
        <v>3061902.25</v>
      </c>
      <c r="J36" s="512">
        <f>I36+Monthly!L110</f>
        <v>3318875</v>
      </c>
      <c r="K36" s="512">
        <f>J36+Monthly!M110</f>
        <v>3522205.25</v>
      </c>
      <c r="L36" s="512">
        <f>K36+Monthly!N110</f>
        <v>3793722.75</v>
      </c>
      <c r="M36" s="512">
        <f>L36+Monthly!O110</f>
        <v>4038354.5</v>
      </c>
      <c r="N36" s="512">
        <f>M36+Monthly!P110</f>
        <v>4400473</v>
      </c>
      <c r="O36" s="512">
        <f>N36+Monthly!Q110</f>
        <v>4707895.5</v>
      </c>
      <c r="P36" s="512">
        <f>O36+Monthly!R110</f>
        <v>5371175.25</v>
      </c>
      <c r="Q36" s="512">
        <f>P36+Monthly!S110</f>
        <v>5465941.25</v>
      </c>
      <c r="R36" s="512">
        <f>Q36+Monthly!T110</f>
        <v>5549914.25</v>
      </c>
      <c r="S36" s="512">
        <f>R36+Monthly!U110</f>
        <v>5691292.25</v>
      </c>
      <c r="T36" s="512">
        <f>S36+Monthly!V110</f>
        <v>5811503.5</v>
      </c>
      <c r="U36" s="512">
        <f>T36+Monthly!W110</f>
        <v>5811503.5</v>
      </c>
      <c r="V36" s="512">
        <f>U36+Monthly!X110</f>
        <v>5811503.5</v>
      </c>
      <c r="W36" s="512">
        <f>V36+Monthly!Y110</f>
        <v>5811503.5</v>
      </c>
      <c r="X36" s="512">
        <f>W36+Monthly!Z110</f>
        <v>5811503.5</v>
      </c>
      <c r="Y36" s="512">
        <f>X36+Monthly!AA110</f>
        <v>5811503.5</v>
      </c>
      <c r="Z36" s="512">
        <f>Y36+Monthly!AB110</f>
        <v>5811503.5</v>
      </c>
      <c r="AA36" s="512">
        <f>Z36+Monthly!AC110</f>
        <v>5811503.5</v>
      </c>
      <c r="AB36" s="512">
        <f>AA36+Monthly!AD110</f>
        <v>5811503.5</v>
      </c>
      <c r="AC36" s="512">
        <f>AB36+Monthly!AE110</f>
        <v>5811503.5</v>
      </c>
      <c r="AD36" s="512">
        <f>AC36+Monthly!AF110</f>
        <v>5811503.5</v>
      </c>
      <c r="AE36" s="512">
        <f>AD36+Monthly!AG110</f>
        <v>5811503.5</v>
      </c>
      <c r="AF36" s="512">
        <f>AE36+Monthly!AH110</f>
        <v>5811503.5</v>
      </c>
      <c r="AG36" s="512">
        <f>AF36+Monthly!AI110</f>
        <v>5811503.5</v>
      </c>
      <c r="AH36" s="512">
        <f>AG36+Monthly!AJ110</f>
        <v>5811503.5</v>
      </c>
      <c r="AI36" s="512">
        <f>AH36+Monthly!AK110</f>
        <v>5811503.5</v>
      </c>
      <c r="AJ36" s="512">
        <f>AI36+Monthly!AL110</f>
        <v>5811503.5</v>
      </c>
      <c r="AK36" s="512">
        <f>AJ36+Monthly!AM110</f>
        <v>5811503.5</v>
      </c>
      <c r="AL36" s="512">
        <f>AK36+Monthly!AN110</f>
        <v>5811503.5</v>
      </c>
      <c r="AM36" s="512">
        <f>AL36+Monthly!AO110</f>
        <v>5811503.5</v>
      </c>
      <c r="AN36" s="512">
        <f>AM36+Monthly!AP110</f>
        <v>5811503.5</v>
      </c>
      <c r="AO36" s="512">
        <f>AN36+Monthly!AQ110</f>
        <v>5811503.5</v>
      </c>
      <c r="AP36" s="512">
        <f>AO36+Monthly!AR110</f>
        <v>5811503.5</v>
      </c>
      <c r="AQ36" s="512">
        <f>AP36+Monthly!AS110</f>
        <v>5811503.5</v>
      </c>
      <c r="AR36" s="512">
        <f>AQ36+Monthly!AT110</f>
        <v>5811503.5</v>
      </c>
      <c r="AS36" s="512">
        <f>AR36+Monthly!AU110</f>
        <v>5811503.5</v>
      </c>
      <c r="AT36" s="512">
        <f>AS36+Monthly!AV110</f>
        <v>5811503.5</v>
      </c>
      <c r="AU36" s="512">
        <f>AT36+Monthly!AW110</f>
        <v>5811503.5</v>
      </c>
      <c r="AV36" s="512">
        <f>AU36+Monthly!AX110</f>
        <v>5811503.5</v>
      </c>
      <c r="AW36" s="512">
        <f>AV36+Monthly!AY110</f>
        <v>5811503.5</v>
      </c>
      <c r="AX36" s="512">
        <f>AW36+Monthly!AZ110</f>
        <v>5811503.5</v>
      </c>
      <c r="AY36" s="512">
        <f>AX36+Monthly!BA110</f>
        <v>5811503.5</v>
      </c>
      <c r="AZ36" s="512">
        <f>AY36+Monthly!BB110</f>
        <v>5811503.5</v>
      </c>
      <c r="BA36" s="512">
        <f>AZ36+Monthly!BC110</f>
        <v>5811503.5</v>
      </c>
      <c r="BB36" s="512">
        <f>BA36+Monthly!BD110</f>
        <v>5811503.5</v>
      </c>
      <c r="BC36" s="512">
        <f>BB36+Monthly!BE110</f>
        <v>5811503.5</v>
      </c>
      <c r="BD36" s="512">
        <f>BC36+Monthly!BF110</f>
        <v>5811503.5</v>
      </c>
      <c r="BE36" s="512">
        <f>BD36+Monthly!BG110</f>
        <v>5811503.5</v>
      </c>
      <c r="BF36" s="512">
        <f>BE36+Monthly!BH110</f>
        <v>5811503.5</v>
      </c>
      <c r="BG36" s="512">
        <f>BF36+Monthly!BI110</f>
        <v>5811503.5</v>
      </c>
      <c r="BH36" s="512">
        <f>BG36+Monthly!BJ110</f>
        <v>5811503.5</v>
      </c>
      <c r="BI36" s="512">
        <f>BH36+Monthly!BK110</f>
        <v>5811503.5</v>
      </c>
      <c r="BJ36" s="512">
        <f>BI36+Monthly!BL110</f>
        <v>5811503.5</v>
      </c>
      <c r="BK36" s="512">
        <f>BJ36+Monthly!BM110</f>
        <v>5811503.5</v>
      </c>
      <c r="BL36" s="512">
        <f>BK36+Monthly!BN110</f>
        <v>5811503.5</v>
      </c>
      <c r="BM36" s="512">
        <f>BL36+Monthly!BO110</f>
        <v>5811503.5</v>
      </c>
      <c r="BN36" s="512">
        <f>BM36+Monthly!BP110</f>
        <v>5811503.5</v>
      </c>
      <c r="BO36" s="512">
        <f>BN36+Monthly!BQ110</f>
        <v>5811503.5</v>
      </c>
      <c r="BP36" s="512">
        <f>BO36+Monthly!BR110</f>
        <v>5811503.5</v>
      </c>
      <c r="BQ36" s="512">
        <f>BP36+Monthly!BS110</f>
        <v>5811503.5</v>
      </c>
      <c r="BR36" s="512">
        <f>BQ36+Monthly!BT110</f>
        <v>5811503.5</v>
      </c>
      <c r="BS36" s="512">
        <f>BR36+Monthly!BU110</f>
        <v>5811503.5</v>
      </c>
      <c r="BT36" s="512">
        <f>BS36+Monthly!BV110</f>
        <v>5811503.5</v>
      </c>
      <c r="BU36" s="512">
        <f>BT36+Monthly!BW110</f>
        <v>5811503.5</v>
      </c>
      <c r="BV36" s="512">
        <f>BU36+Monthly!BX110</f>
        <v>5811503.5</v>
      </c>
      <c r="BW36" s="512">
        <f>BV36+Monthly!BY110</f>
        <v>5811503.5</v>
      </c>
      <c r="BX36" s="512">
        <f>BW36+Monthly!BZ110</f>
        <v>5811503.5</v>
      </c>
      <c r="BY36" s="512">
        <f>BX36+Monthly!CA110</f>
        <v>5811503.5</v>
      </c>
      <c r="BZ36" s="512">
        <f>BY36+Monthly!CB110</f>
        <v>5811503.5</v>
      </c>
      <c r="CA36" s="512">
        <f>BZ36+Monthly!CC110</f>
        <v>5811503.5</v>
      </c>
      <c r="CB36" s="512">
        <f>CA36+Monthly!CD110</f>
        <v>5811503.5</v>
      </c>
      <c r="CC36" s="512">
        <f>CB36+Monthly!CE110</f>
        <v>5811503.5</v>
      </c>
      <c r="CD36" s="512">
        <f>CC36+Monthly!CF110</f>
        <v>5811503.5</v>
      </c>
      <c r="CE36" s="512">
        <f>CD36+Monthly!CG110</f>
        <v>5811503.5</v>
      </c>
      <c r="CF36" s="512">
        <f>CE36+Monthly!CH110</f>
        <v>5811503.5</v>
      </c>
      <c r="CG36" s="512">
        <f>CF36+Monthly!CI110</f>
        <v>5811503.5</v>
      </c>
      <c r="CH36" s="512">
        <f>CG36+Monthly!CJ110</f>
        <v>5811503.5</v>
      </c>
      <c r="CI36" s="512">
        <f>CH36+Monthly!CK110</f>
        <v>5811503.5</v>
      </c>
      <c r="CJ36" s="512">
        <f>CI36+Monthly!CL110</f>
        <v>5811503.5</v>
      </c>
      <c r="CK36" s="512">
        <f>CJ36+Monthly!CM110</f>
        <v>5811503.5</v>
      </c>
      <c r="CL36" s="512">
        <f>CK36+Monthly!CN110</f>
        <v>5811503.5</v>
      </c>
      <c r="CM36" s="512">
        <f>CL36+Monthly!CO110</f>
        <v>5811503.5</v>
      </c>
      <c r="CN36" s="512">
        <f>CM36+Monthly!CP110</f>
        <v>5811503.5</v>
      </c>
      <c r="CO36" s="512">
        <f>CN36+Monthly!CQ110</f>
        <v>5811503.5</v>
      </c>
      <c r="CP36" s="512">
        <f>CO36+Monthly!CR110</f>
        <v>5811503.5</v>
      </c>
      <c r="CQ36" s="512">
        <f>CP36+Monthly!CS110</f>
        <v>5811503.5</v>
      </c>
      <c r="CR36" s="512">
        <f>CQ36+Monthly!CT110</f>
        <v>5811503.5</v>
      </c>
      <c r="CS36" s="512">
        <f>CR36+Monthly!CU110</f>
        <v>5811503.5</v>
      </c>
      <c r="CT36" s="512">
        <f>CS36+Monthly!CV110</f>
        <v>5811503.5</v>
      </c>
      <c r="CU36" s="512">
        <f>CT36+Monthly!CW110</f>
        <v>5811503.5</v>
      </c>
      <c r="CV36" s="512">
        <f>CU36+Monthly!CX110</f>
        <v>5811503.5</v>
      </c>
      <c r="CW36" s="512">
        <f>CV36+Monthly!CY110</f>
        <v>5811503.5</v>
      </c>
      <c r="CX36" s="512">
        <f>CW36+Monthly!CZ110</f>
        <v>5811503.5</v>
      </c>
      <c r="CY36" s="512">
        <f>CX36+Monthly!DA110</f>
        <v>5811503.5</v>
      </c>
      <c r="CZ36" s="512">
        <f>CY36+Monthly!DB110</f>
        <v>5811503.5</v>
      </c>
      <c r="DA36" s="512">
        <f>CZ36+Monthly!DC110</f>
        <v>5811503.5</v>
      </c>
      <c r="DB36" s="512">
        <f>DA36+Monthly!DD110</f>
        <v>5811503.5</v>
      </c>
      <c r="DC36" s="512">
        <f>DB36+Monthly!DE110</f>
        <v>5811503.5</v>
      </c>
      <c r="DD36" s="512">
        <f>DC36+Monthly!DF110</f>
        <v>5811503.5</v>
      </c>
      <c r="DE36" s="512">
        <f>DD36+Monthly!DG110</f>
        <v>5811503.5</v>
      </c>
      <c r="DF36" s="512">
        <f>DE36+Monthly!DH110</f>
        <v>5811503.5</v>
      </c>
      <c r="DG36" s="512">
        <f>DF36+Monthly!DI110</f>
        <v>5811503.5</v>
      </c>
      <c r="DH36" s="512">
        <f>DG36+Monthly!DJ110</f>
        <v>5811503.5</v>
      </c>
      <c r="DI36" s="512">
        <f>DH36+Monthly!DK110</f>
        <v>5811503.5</v>
      </c>
      <c r="DJ36" s="512">
        <f>DI36+Monthly!DL110</f>
        <v>5811503.5</v>
      </c>
      <c r="DK36" s="512">
        <f>DJ36+Monthly!DM110</f>
        <v>5811503.5</v>
      </c>
      <c r="DL36" s="512">
        <f>DK36+Monthly!DN110</f>
        <v>5811503.5</v>
      </c>
      <c r="DM36" s="356"/>
      <c r="DN36" s="424"/>
      <c r="DO36" s="330"/>
    </row>
    <row r="37" spans="2:119" outlineLevel="1" x14ac:dyDescent="0.3">
      <c r="B37" s="416"/>
      <c r="C37" s="427"/>
      <c r="D37" s="387"/>
      <c r="E37" s="443" t="s">
        <v>384</v>
      </c>
      <c r="F37" s="359"/>
      <c r="G37" s="359"/>
      <c r="H37" s="359"/>
      <c r="I37" s="428">
        <f>I35/I36</f>
        <v>0.38374837080445662</v>
      </c>
      <c r="J37" s="428">
        <f t="shared" ref="J37:AI37" si="284">J35/J36</f>
        <v>0.35403562954314338</v>
      </c>
      <c r="K37" s="428">
        <f t="shared" si="284"/>
        <v>0.33359782198950499</v>
      </c>
      <c r="L37" s="428">
        <f t="shared" si="284"/>
        <v>0.30972215879507803</v>
      </c>
      <c r="M37" s="428">
        <f t="shared" si="284"/>
        <v>0.31102455633022474</v>
      </c>
      <c r="N37" s="428">
        <f t="shared" si="284"/>
        <v>0.36998056050988404</v>
      </c>
      <c r="O37" s="428">
        <f t="shared" si="284"/>
        <v>0.41385816840300421</v>
      </c>
      <c r="P37" s="428">
        <f t="shared" si="284"/>
        <v>0.48911187546549068</v>
      </c>
      <c r="Q37" s="428">
        <f t="shared" si="284"/>
        <v>0.50177442344710743</v>
      </c>
      <c r="R37" s="428">
        <f t="shared" si="284"/>
        <v>0.52282885626129283</v>
      </c>
      <c r="S37" s="428">
        <f t="shared" si="284"/>
        <v>0.53876248537811156</v>
      </c>
      <c r="T37" s="918">
        <f t="shared" si="284"/>
        <v>0.55252320237858721</v>
      </c>
      <c r="U37" s="428">
        <f t="shared" si="284"/>
        <v>0.55309786835247798</v>
      </c>
      <c r="V37" s="428">
        <f t="shared" si="284"/>
        <v>0.5532768327803641</v>
      </c>
      <c r="W37" s="428">
        <f t="shared" si="284"/>
        <v>0.55287002344904301</v>
      </c>
      <c r="X37" s="428">
        <f t="shared" si="284"/>
        <v>0.552459993543849</v>
      </c>
      <c r="Y37" s="428">
        <f t="shared" si="284"/>
        <v>0.55238704774302705</v>
      </c>
      <c r="Z37" s="428">
        <f t="shared" si="284"/>
        <v>0.55246691505310674</v>
      </c>
      <c r="AA37" s="428">
        <f t="shared" si="284"/>
        <v>0.55313460520698587</v>
      </c>
      <c r="AB37" s="428">
        <f t="shared" si="284"/>
        <v>0.55420783222621439</v>
      </c>
      <c r="AC37" s="428">
        <f t="shared" si="284"/>
        <v>0.56449530763149536</v>
      </c>
      <c r="AD37" s="428">
        <f t="shared" si="284"/>
        <v>0.56643260368180937</v>
      </c>
      <c r="AE37" s="428">
        <f t="shared" si="284"/>
        <v>0.56761110652229696</v>
      </c>
      <c r="AF37" s="918">
        <f t="shared" si="284"/>
        <v>0.16617999039716047</v>
      </c>
      <c r="AG37" s="428">
        <f t="shared" si="284"/>
        <v>0.16602468364158271</v>
      </c>
      <c r="AH37" s="428">
        <f t="shared" si="284"/>
        <v>0.1654533751900211</v>
      </c>
      <c r="AI37" s="428">
        <f t="shared" si="284"/>
        <v>0.1642758321197523</v>
      </c>
      <c r="AJ37" s="428">
        <f t="shared" ref="AJ37:BD37" si="285">AJ35/AJ36</f>
        <v>0.16308896683351057</v>
      </c>
      <c r="AK37" s="428">
        <f t="shared" si="285"/>
        <v>0.16224029630447639</v>
      </c>
      <c r="AL37" s="428">
        <f t="shared" si="285"/>
        <v>0.16154555833184764</v>
      </c>
      <c r="AM37" s="428">
        <f t="shared" si="285"/>
        <v>0.16144703211040121</v>
      </c>
      <c r="AN37" s="428">
        <f t="shared" si="285"/>
        <v>0.1617624980738705</v>
      </c>
      <c r="AO37" s="428">
        <f t="shared" si="285"/>
        <v>0.17232611477402568</v>
      </c>
      <c r="AP37" s="428">
        <f t="shared" si="285"/>
        <v>0.17351635814467772</v>
      </c>
      <c r="AQ37" s="428">
        <f t="shared" si="285"/>
        <v>0.17392737293925173</v>
      </c>
      <c r="AR37" s="918">
        <f t="shared" si="285"/>
        <v>0.17164137788296024</v>
      </c>
      <c r="AS37" s="428">
        <f t="shared" si="285"/>
        <v>0.17143935774690372</v>
      </c>
      <c r="AT37" s="428">
        <f t="shared" si="285"/>
        <v>0.17080644490139693</v>
      </c>
      <c r="AU37" s="428">
        <f t="shared" si="285"/>
        <v>0.1695522885365266</v>
      </c>
      <c r="AV37" s="428">
        <f t="shared" si="285"/>
        <v>0.16828820343376769</v>
      </c>
      <c r="AW37" s="428">
        <f t="shared" si="285"/>
        <v>0.1673689623642711</v>
      </c>
      <c r="AX37" s="428">
        <f t="shared" si="285"/>
        <v>0.16661035576733674</v>
      </c>
      <c r="AY37" s="428">
        <f t="shared" si="285"/>
        <v>0.1664619764941799</v>
      </c>
      <c r="AZ37" s="428">
        <f t="shared" si="285"/>
        <v>0.16674171593515041</v>
      </c>
      <c r="BA37" s="428">
        <f t="shared" si="285"/>
        <v>0.17843026381585783</v>
      </c>
      <c r="BB37" s="428">
        <f t="shared" si="285"/>
        <v>0.1795144549454433</v>
      </c>
      <c r="BC37" s="428">
        <f t="shared" si="285"/>
        <v>0.17989752650748631</v>
      </c>
      <c r="BD37" s="918">
        <f t="shared" si="285"/>
        <v>0.18011571892169975</v>
      </c>
      <c r="BE37" s="428">
        <f t="shared" ref="BE37:CB37" si="286">BE35/BE36</f>
        <v>0.17987586663526037</v>
      </c>
      <c r="BF37" s="428">
        <f t="shared" si="286"/>
        <v>0.1791903009356425</v>
      </c>
      <c r="BG37" s="428">
        <f t="shared" si="286"/>
        <v>0.17786855368236179</v>
      </c>
      <c r="BH37" s="428">
        <f t="shared" si="286"/>
        <v>0.17653634259665926</v>
      </c>
      <c r="BI37" s="428">
        <f t="shared" si="286"/>
        <v>0.17555569681312289</v>
      </c>
      <c r="BJ37" s="428">
        <f t="shared" si="286"/>
        <v>0.17474245998109808</v>
      </c>
      <c r="BK37" s="428">
        <f t="shared" si="286"/>
        <v>0.17455353918269395</v>
      </c>
      <c r="BL37" s="428">
        <f t="shared" si="286"/>
        <v>0.17480693734387992</v>
      </c>
      <c r="BM37" s="428">
        <f t="shared" si="286"/>
        <v>0.1877652392663238</v>
      </c>
      <c r="BN37" s="428">
        <f t="shared" si="286"/>
        <v>0.18894092378767621</v>
      </c>
      <c r="BO37" s="428">
        <f t="shared" si="286"/>
        <v>0.18930822207698494</v>
      </c>
      <c r="BP37" s="918">
        <f t="shared" si="286"/>
        <v>0.18949917633850349</v>
      </c>
      <c r="BQ37" s="428">
        <f t="shared" si="286"/>
        <v>0.18921343319214126</v>
      </c>
      <c r="BR37" s="428">
        <f t="shared" si="286"/>
        <v>0.18846709213075521</v>
      </c>
      <c r="BS37" s="428">
        <f t="shared" si="286"/>
        <v>0.18706956717822137</v>
      </c>
      <c r="BT37" s="428">
        <f t="shared" si="286"/>
        <v>0.18566097848647994</v>
      </c>
      <c r="BU37" s="428">
        <f t="shared" si="286"/>
        <v>0.18461061104045901</v>
      </c>
      <c r="BV37" s="428">
        <f t="shared" si="286"/>
        <v>0.18373436118239045</v>
      </c>
      <c r="BW37" s="428">
        <f t="shared" si="286"/>
        <v>0.18349644970402404</v>
      </c>
      <c r="BX37" s="428">
        <f t="shared" si="286"/>
        <v>0.18715644076180893</v>
      </c>
      <c r="BY37" s="428">
        <f t="shared" si="286"/>
        <v>0.2015545442943607</v>
      </c>
      <c r="BZ37" s="428">
        <f t="shared" si="286"/>
        <v>0.20274825998112114</v>
      </c>
      <c r="CA37" s="428">
        <f t="shared" si="286"/>
        <v>0.20311921098335978</v>
      </c>
      <c r="CB37" s="918">
        <f t="shared" si="286"/>
        <v>0.20330416915771304</v>
      </c>
      <c r="CC37" s="428">
        <f t="shared" ref="CC37:CZ37" si="287">CC35/CC36</f>
        <v>0.20300272993222584</v>
      </c>
      <c r="CD37" s="428">
        <f t="shared" si="287"/>
        <v>0.20222604733188418</v>
      </c>
      <c r="CE37" s="428">
        <f t="shared" si="287"/>
        <v>0.20078341943734027</v>
      </c>
      <c r="CF37" s="428">
        <f t="shared" si="287"/>
        <v>0.19932937073863125</v>
      </c>
      <c r="CG37" s="428">
        <f t="shared" si="287"/>
        <v>0.19824044399352303</v>
      </c>
      <c r="CH37" s="428">
        <f t="shared" si="287"/>
        <v>0.19733259017485155</v>
      </c>
      <c r="CI37" s="428">
        <f t="shared" si="287"/>
        <v>0.19707734573706512</v>
      </c>
      <c r="CJ37" s="428">
        <f t="shared" si="287"/>
        <v>0.20245511292549215</v>
      </c>
      <c r="CK37" s="428">
        <f t="shared" si="287"/>
        <v>0.21848086640535966</v>
      </c>
      <c r="CL37" s="428">
        <f t="shared" si="287"/>
        <v>0.21971263893496373</v>
      </c>
      <c r="CM37" s="428">
        <f t="shared" si="287"/>
        <v>0.22010742686418094</v>
      </c>
      <c r="CN37" s="918">
        <f t="shared" si="287"/>
        <v>0.22030415123807884</v>
      </c>
      <c r="CO37" s="428">
        <f t="shared" si="287"/>
        <v>0.21999650156379563</v>
      </c>
      <c r="CP37" s="428">
        <f t="shared" si="287"/>
        <v>0.21919903814940064</v>
      </c>
      <c r="CQ37" s="428">
        <f t="shared" si="287"/>
        <v>0.21772094372682124</v>
      </c>
      <c r="CR37" s="428">
        <f t="shared" si="287"/>
        <v>0.21623114772339638</v>
      </c>
      <c r="CS37" s="428">
        <f t="shared" si="287"/>
        <v>0.21511345127367887</v>
      </c>
      <c r="CT37" s="428">
        <f t="shared" si="287"/>
        <v>0.21418386058983874</v>
      </c>
      <c r="CU37" s="428">
        <f t="shared" si="287"/>
        <v>0.21392122840257202</v>
      </c>
      <c r="CV37" s="428">
        <f t="shared" si="287"/>
        <v>0.22274752077461293</v>
      </c>
      <c r="CW37" s="428">
        <f t="shared" si="287"/>
        <v>0.24061400982827374</v>
      </c>
      <c r="CX37" s="428">
        <f t="shared" si="287"/>
        <v>0.24190925183478562</v>
      </c>
      <c r="CY37" s="428">
        <f t="shared" si="287"/>
        <v>0.24235349050839844</v>
      </c>
      <c r="CZ37" s="918">
        <f t="shared" si="287"/>
        <v>0.24258964662887555</v>
      </c>
      <c r="DA37" s="428">
        <f t="shared" ref="DA37:DL37" si="288">DA35/DA36</f>
        <v>0.24231246663889408</v>
      </c>
      <c r="DB37" s="428">
        <f t="shared" si="288"/>
        <v>0.24153119292793052</v>
      </c>
      <c r="DC37" s="428">
        <f t="shared" si="288"/>
        <v>0.24005489517806375</v>
      </c>
      <c r="DD37" s="428">
        <f t="shared" si="288"/>
        <v>0.2385669100710105</v>
      </c>
      <c r="DE37" s="428">
        <f t="shared" si="288"/>
        <v>0.23745829945352967</v>
      </c>
      <c r="DF37" s="428">
        <f t="shared" si="288"/>
        <v>0.23654512713103365</v>
      </c>
      <c r="DG37" s="428">
        <f t="shared" si="288"/>
        <v>0.23631356448300925</v>
      </c>
      <c r="DH37" s="428">
        <f t="shared" si="288"/>
        <v>0.24690641867080243</v>
      </c>
      <c r="DI37" s="428">
        <f t="shared" si="288"/>
        <v>0.26317401786900596</v>
      </c>
      <c r="DJ37" s="428">
        <f t="shared" si="288"/>
        <v>0.26072814556018337</v>
      </c>
      <c r="DK37" s="428">
        <f t="shared" si="288"/>
        <v>0.25740935547672339</v>
      </c>
      <c r="DL37" s="428">
        <f t="shared" si="288"/>
        <v>0.25388922565802452</v>
      </c>
      <c r="DM37" s="359"/>
      <c r="DN37" s="429"/>
      <c r="DO37" s="330"/>
    </row>
    <row r="38" spans="2:119" outlineLevel="1" x14ac:dyDescent="0.3">
      <c r="B38" s="416"/>
      <c r="T38" s="561"/>
      <c r="AF38" s="561"/>
      <c r="AR38" s="561"/>
      <c r="BD38" s="561"/>
      <c r="BP38" s="561"/>
      <c r="CB38" s="561"/>
      <c r="CN38" s="561"/>
      <c r="CZ38" s="561"/>
      <c r="DO38" s="330"/>
    </row>
    <row r="39" spans="2:119" outlineLevel="1" x14ac:dyDescent="0.3">
      <c r="B39" s="416"/>
      <c r="T39" s="561"/>
      <c r="AF39" s="561"/>
      <c r="AR39" s="561"/>
      <c r="BD39" s="561"/>
      <c r="BP39" s="561"/>
      <c r="CB39" s="561"/>
      <c r="CN39" s="561"/>
      <c r="CZ39" s="561"/>
      <c r="DO39" s="330"/>
    </row>
    <row r="40" spans="2:119" x14ac:dyDescent="0.3">
      <c r="B40" s="416" t="s">
        <v>320</v>
      </c>
      <c r="T40" s="561"/>
      <c r="AF40" s="561"/>
      <c r="AR40" s="561"/>
      <c r="BD40" s="561"/>
      <c r="BP40" s="561"/>
      <c r="CB40" s="561"/>
      <c r="CN40" s="561"/>
      <c r="CZ40" s="561"/>
      <c r="DO40" s="330"/>
    </row>
    <row r="41" spans="2:119" x14ac:dyDescent="0.3">
      <c r="B41" s="416"/>
      <c r="C41" s="401"/>
      <c r="D41" s="402" t="s">
        <v>321</v>
      </c>
      <c r="E41" s="403"/>
      <c r="F41" s="403"/>
      <c r="G41" s="403"/>
      <c r="H41" s="403"/>
      <c r="I41" s="404">
        <f>'Table 3.0'!G12</f>
        <v>1241134</v>
      </c>
      <c r="J41" s="404">
        <f t="shared" ref="J41:AF41" si="289">I45</f>
        <v>932633.16666666674</v>
      </c>
      <c r="K41" s="404">
        <f t="shared" si="289"/>
        <v>666358.33333333349</v>
      </c>
      <c r="L41" s="404">
        <f t="shared" si="289"/>
        <v>453726.00000000012</v>
      </c>
      <c r="M41" s="404">
        <f t="shared" si="289"/>
        <v>172906.4166666668</v>
      </c>
      <c r="N41" s="404">
        <f t="shared" si="289"/>
        <v>0</v>
      </c>
      <c r="O41" s="404">
        <f t="shared" si="289"/>
        <v>0</v>
      </c>
      <c r="P41" s="404">
        <f t="shared" si="289"/>
        <v>0</v>
      </c>
      <c r="Q41" s="404">
        <f t="shared" si="289"/>
        <v>0</v>
      </c>
      <c r="R41" s="404">
        <f t="shared" si="289"/>
        <v>0</v>
      </c>
      <c r="S41" s="404">
        <f t="shared" si="289"/>
        <v>0</v>
      </c>
      <c r="T41" s="914">
        <f t="shared" si="289"/>
        <v>0</v>
      </c>
      <c r="U41" s="404">
        <f t="shared" si="289"/>
        <v>0</v>
      </c>
      <c r="V41" s="404">
        <f t="shared" si="289"/>
        <v>0</v>
      </c>
      <c r="W41" s="404">
        <f t="shared" si="289"/>
        <v>0</v>
      </c>
      <c r="X41" s="404">
        <f t="shared" si="289"/>
        <v>0</v>
      </c>
      <c r="Y41" s="404">
        <f t="shared" si="289"/>
        <v>0</v>
      </c>
      <c r="Z41" s="404">
        <f t="shared" si="289"/>
        <v>0</v>
      </c>
      <c r="AA41" s="404">
        <f t="shared" si="289"/>
        <v>0</v>
      </c>
      <c r="AB41" s="404">
        <f t="shared" si="289"/>
        <v>0</v>
      </c>
      <c r="AC41" s="404">
        <f t="shared" si="289"/>
        <v>0</v>
      </c>
      <c r="AD41" s="404">
        <f t="shared" si="289"/>
        <v>0</v>
      </c>
      <c r="AE41" s="404">
        <f t="shared" si="289"/>
        <v>0</v>
      </c>
      <c r="AF41" s="914">
        <f t="shared" si="289"/>
        <v>0</v>
      </c>
      <c r="AG41" s="404">
        <f t="shared" ref="AG41" si="290">AF45</f>
        <v>0</v>
      </c>
      <c r="AH41" s="404">
        <f t="shared" ref="AH41" si="291">AG45</f>
        <v>0</v>
      </c>
      <c r="AI41" s="404">
        <f t="shared" ref="AI41" si="292">AH45</f>
        <v>0</v>
      </c>
      <c r="AJ41" s="404">
        <f t="shared" ref="AJ41" si="293">AI45</f>
        <v>0</v>
      </c>
      <c r="AK41" s="404">
        <f t="shared" ref="AK41" si="294">AJ45</f>
        <v>0</v>
      </c>
      <c r="AL41" s="404">
        <f t="shared" ref="AL41" si="295">AK45</f>
        <v>0</v>
      </c>
      <c r="AM41" s="404">
        <f t="shared" ref="AM41" si="296">AL45</f>
        <v>0</v>
      </c>
      <c r="AN41" s="404">
        <f t="shared" ref="AN41" si="297">AM45</f>
        <v>0</v>
      </c>
      <c r="AO41" s="404">
        <f t="shared" ref="AO41" si="298">AN45</f>
        <v>0</v>
      </c>
      <c r="AP41" s="404">
        <f t="shared" ref="AP41" si="299">AO45</f>
        <v>0</v>
      </c>
      <c r="AQ41" s="404">
        <f t="shared" ref="AQ41" si="300">AP45</f>
        <v>0</v>
      </c>
      <c r="AR41" s="914">
        <f t="shared" ref="AR41" si="301">AQ45</f>
        <v>0</v>
      </c>
      <c r="AS41" s="404">
        <f t="shared" ref="AS41" si="302">AR45</f>
        <v>0</v>
      </c>
      <c r="AT41" s="404">
        <f t="shared" ref="AT41" si="303">AS45</f>
        <v>0</v>
      </c>
      <c r="AU41" s="404">
        <f t="shared" ref="AU41" si="304">AT45</f>
        <v>0</v>
      </c>
      <c r="AV41" s="404">
        <f t="shared" ref="AV41" si="305">AU45</f>
        <v>0</v>
      </c>
      <c r="AW41" s="404">
        <f t="shared" ref="AW41" si="306">AV45</f>
        <v>0</v>
      </c>
      <c r="AX41" s="404">
        <f t="shared" ref="AX41" si="307">AW45</f>
        <v>0</v>
      </c>
      <c r="AY41" s="404">
        <f t="shared" ref="AY41" si="308">AX45</f>
        <v>0</v>
      </c>
      <c r="AZ41" s="404">
        <f t="shared" ref="AZ41" si="309">AY45</f>
        <v>0</v>
      </c>
      <c r="BA41" s="404">
        <f t="shared" ref="BA41" si="310">AZ45</f>
        <v>0</v>
      </c>
      <c r="BB41" s="404">
        <f t="shared" ref="BB41" si="311">BA45</f>
        <v>0</v>
      </c>
      <c r="BC41" s="404">
        <f t="shared" ref="BC41" si="312">BB45</f>
        <v>0</v>
      </c>
      <c r="BD41" s="914">
        <f t="shared" ref="BD41" si="313">BC45</f>
        <v>0</v>
      </c>
      <c r="BE41" s="404">
        <f t="shared" ref="BE41" si="314">BD45</f>
        <v>0</v>
      </c>
      <c r="BF41" s="404">
        <f t="shared" ref="BF41" si="315">BE45</f>
        <v>0</v>
      </c>
      <c r="BG41" s="404">
        <f t="shared" ref="BG41" si="316">BF45</f>
        <v>0</v>
      </c>
      <c r="BH41" s="404">
        <f t="shared" ref="BH41" si="317">BG45</f>
        <v>0</v>
      </c>
      <c r="BI41" s="404">
        <f t="shared" ref="BI41" si="318">BH45</f>
        <v>0</v>
      </c>
      <c r="BJ41" s="404">
        <f t="shared" ref="BJ41" si="319">BI45</f>
        <v>0</v>
      </c>
      <c r="BK41" s="404">
        <f t="shared" ref="BK41" si="320">BJ45</f>
        <v>0</v>
      </c>
      <c r="BL41" s="404">
        <f t="shared" ref="BL41" si="321">BK45</f>
        <v>0</v>
      </c>
      <c r="BM41" s="404">
        <f t="shared" ref="BM41" si="322">BL45</f>
        <v>0</v>
      </c>
      <c r="BN41" s="404">
        <f t="shared" ref="BN41" si="323">BM45</f>
        <v>0</v>
      </c>
      <c r="BO41" s="404">
        <f t="shared" ref="BO41" si="324">BN45</f>
        <v>0</v>
      </c>
      <c r="BP41" s="914">
        <f t="shared" ref="BP41" si="325">BO45</f>
        <v>0</v>
      </c>
      <c r="BQ41" s="404">
        <f t="shared" ref="BQ41" si="326">BP45</f>
        <v>-20000</v>
      </c>
      <c r="BR41" s="404">
        <f t="shared" ref="BR41" si="327">BQ45</f>
        <v>-20000</v>
      </c>
      <c r="BS41" s="404">
        <f t="shared" ref="BS41" si="328">BR45</f>
        <v>-20000</v>
      </c>
      <c r="BT41" s="404">
        <f t="shared" ref="BT41" si="329">BS45</f>
        <v>-20000</v>
      </c>
      <c r="BU41" s="404">
        <f t="shared" ref="BU41" si="330">BT45</f>
        <v>-20000</v>
      </c>
      <c r="BV41" s="404">
        <f t="shared" ref="BV41" si="331">BU45</f>
        <v>-20000</v>
      </c>
      <c r="BW41" s="404">
        <f t="shared" ref="BW41" si="332">BV45</f>
        <v>-20000</v>
      </c>
      <c r="BX41" s="404">
        <f t="shared" ref="BX41" si="333">BW45</f>
        <v>-20000</v>
      </c>
      <c r="BY41" s="404">
        <f t="shared" ref="BY41" si="334">BX45</f>
        <v>0</v>
      </c>
      <c r="BZ41" s="404">
        <f t="shared" ref="BZ41" si="335">BY45</f>
        <v>0</v>
      </c>
      <c r="CA41" s="404">
        <f t="shared" ref="CA41" si="336">BZ45</f>
        <v>0</v>
      </c>
      <c r="CB41" s="914">
        <f t="shared" ref="CB41" si="337">CA45</f>
        <v>0</v>
      </c>
      <c r="CC41" s="404">
        <f t="shared" ref="CC41" si="338">CB45</f>
        <v>-30000</v>
      </c>
      <c r="CD41" s="404">
        <f t="shared" ref="CD41" si="339">CC45</f>
        <v>-30000</v>
      </c>
      <c r="CE41" s="404">
        <f t="shared" ref="CE41" si="340">CD45</f>
        <v>-30000</v>
      </c>
      <c r="CF41" s="404">
        <f t="shared" ref="CF41" si="341">CE45</f>
        <v>-30000</v>
      </c>
      <c r="CG41" s="404">
        <f t="shared" ref="CG41" si="342">CF45</f>
        <v>-30000</v>
      </c>
      <c r="CH41" s="404">
        <f t="shared" ref="CH41" si="343">CG45</f>
        <v>-30000</v>
      </c>
      <c r="CI41" s="404">
        <f t="shared" ref="CI41" si="344">CH45</f>
        <v>-30000</v>
      </c>
      <c r="CJ41" s="404">
        <f t="shared" ref="CJ41" si="345">CI45</f>
        <v>-30000</v>
      </c>
      <c r="CK41" s="404">
        <f t="shared" ref="CK41" si="346">CJ45</f>
        <v>0</v>
      </c>
      <c r="CL41" s="404">
        <f t="shared" ref="CL41" si="347">CK45</f>
        <v>0</v>
      </c>
      <c r="CM41" s="404">
        <f t="shared" ref="CM41" si="348">CL45</f>
        <v>0</v>
      </c>
      <c r="CN41" s="914">
        <f t="shared" ref="CN41" si="349">CM45</f>
        <v>0</v>
      </c>
      <c r="CO41" s="404">
        <f t="shared" ref="CO41" si="350">CN45</f>
        <v>-50000</v>
      </c>
      <c r="CP41" s="404">
        <f t="shared" ref="CP41" si="351">CO45</f>
        <v>-50000</v>
      </c>
      <c r="CQ41" s="404">
        <f t="shared" ref="CQ41" si="352">CP45</f>
        <v>-50000</v>
      </c>
      <c r="CR41" s="404">
        <f t="shared" ref="CR41" si="353">CQ45</f>
        <v>-50000</v>
      </c>
      <c r="CS41" s="404">
        <f t="shared" ref="CS41" si="354">CR45</f>
        <v>-50000</v>
      </c>
      <c r="CT41" s="404">
        <f t="shared" ref="CT41" si="355">CS45</f>
        <v>-50000</v>
      </c>
      <c r="CU41" s="404">
        <f t="shared" ref="CU41" si="356">CT45</f>
        <v>-50000</v>
      </c>
      <c r="CV41" s="404">
        <f t="shared" ref="CV41" si="357">CU45</f>
        <v>-50000</v>
      </c>
      <c r="CW41" s="404">
        <f t="shared" ref="CW41" si="358">CV45</f>
        <v>0</v>
      </c>
      <c r="CX41" s="404">
        <f t="shared" ref="CX41" si="359">CW45</f>
        <v>0</v>
      </c>
      <c r="CY41" s="404">
        <f t="shared" ref="CY41" si="360">CX45</f>
        <v>0</v>
      </c>
      <c r="CZ41" s="914">
        <f t="shared" ref="CZ41" si="361">CY45</f>
        <v>0</v>
      </c>
      <c r="DA41" s="404">
        <f t="shared" ref="DA41" si="362">CZ45</f>
        <v>-60000</v>
      </c>
      <c r="DB41" s="404">
        <f t="shared" ref="DB41" si="363">DA45</f>
        <v>-60000</v>
      </c>
      <c r="DC41" s="404">
        <f t="shared" ref="DC41" si="364">DB45</f>
        <v>-60000</v>
      </c>
      <c r="DD41" s="404">
        <f t="shared" ref="DD41" si="365">DC45</f>
        <v>-60000</v>
      </c>
      <c r="DE41" s="404">
        <f t="shared" ref="DE41" si="366">DD45</f>
        <v>-60000</v>
      </c>
      <c r="DF41" s="404">
        <f t="shared" ref="DF41" si="367">DE45</f>
        <v>-60000</v>
      </c>
      <c r="DG41" s="404">
        <f t="shared" ref="DG41" si="368">DF45</f>
        <v>-60000</v>
      </c>
      <c r="DH41" s="404">
        <f t="shared" ref="DH41" si="369">DG45</f>
        <v>-60000</v>
      </c>
      <c r="DI41" s="404">
        <f t="shared" ref="DI41" si="370">DH45</f>
        <v>0</v>
      </c>
      <c r="DJ41" s="404">
        <f t="shared" ref="DJ41" si="371">DI45</f>
        <v>0</v>
      </c>
      <c r="DK41" s="404">
        <f t="shared" ref="DK41" si="372">DJ45</f>
        <v>0</v>
      </c>
      <c r="DL41" s="404">
        <f t="shared" ref="DL41" si="373">DK45</f>
        <v>0</v>
      </c>
      <c r="DM41" s="404"/>
      <c r="DN41" s="411"/>
      <c r="DO41" s="330"/>
    </row>
    <row r="42" spans="2:119" x14ac:dyDescent="0.3">
      <c r="B42" s="416"/>
      <c r="C42" s="406"/>
      <c r="E42" s="323" t="s">
        <v>322</v>
      </c>
      <c r="I42" s="345">
        <f>'Table 3.0'!G20</f>
        <v>0</v>
      </c>
      <c r="J42" s="492">
        <v>0</v>
      </c>
      <c r="K42" s="492">
        <v>0</v>
      </c>
      <c r="L42" s="492">
        <v>0</v>
      </c>
      <c r="M42" s="492">
        <v>0</v>
      </c>
      <c r="N42" s="492">
        <v>0</v>
      </c>
      <c r="O42" s="492">
        <v>0</v>
      </c>
      <c r="P42" s="492">
        <v>0</v>
      </c>
      <c r="Q42" s="492">
        <v>0</v>
      </c>
      <c r="R42" s="492">
        <v>0</v>
      </c>
      <c r="S42" s="492">
        <v>0</v>
      </c>
      <c r="T42" s="492">
        <v>0</v>
      </c>
      <c r="U42" s="492">
        <v>0</v>
      </c>
      <c r="V42" s="492">
        <v>0</v>
      </c>
      <c r="W42" s="492">
        <v>0</v>
      </c>
      <c r="X42" s="492">
        <v>0</v>
      </c>
      <c r="Y42" s="492">
        <v>0</v>
      </c>
      <c r="Z42" s="492">
        <v>0</v>
      </c>
      <c r="AA42" s="492">
        <v>0</v>
      </c>
      <c r="AB42" s="492">
        <v>0</v>
      </c>
      <c r="AC42" s="492">
        <v>0</v>
      </c>
      <c r="AD42" s="492">
        <v>0</v>
      </c>
      <c r="AE42" s="492">
        <v>0</v>
      </c>
      <c r="AF42" s="492">
        <v>0</v>
      </c>
      <c r="AG42" s="492">
        <v>0</v>
      </c>
      <c r="AH42" s="492">
        <v>0</v>
      </c>
      <c r="AI42" s="492">
        <v>0</v>
      </c>
      <c r="AJ42" s="492">
        <v>0</v>
      </c>
      <c r="AK42" s="492">
        <v>0</v>
      </c>
      <c r="AL42" s="492">
        <v>0</v>
      </c>
      <c r="AM42" s="492">
        <v>0</v>
      </c>
      <c r="AN42" s="492">
        <v>0</v>
      </c>
      <c r="AO42" s="492">
        <v>0</v>
      </c>
      <c r="AP42" s="492">
        <v>0</v>
      </c>
      <c r="AQ42" s="492">
        <v>0</v>
      </c>
      <c r="AR42" s="492">
        <v>0</v>
      </c>
      <c r="AS42" s="492">
        <v>0</v>
      </c>
      <c r="AT42" s="492">
        <v>0</v>
      </c>
      <c r="AU42" s="492">
        <v>0</v>
      </c>
      <c r="AV42" s="492">
        <v>0</v>
      </c>
      <c r="AW42" s="492">
        <v>0</v>
      </c>
      <c r="AX42" s="492">
        <v>0</v>
      </c>
      <c r="AY42" s="492">
        <v>0</v>
      </c>
      <c r="AZ42" s="492">
        <v>0</v>
      </c>
      <c r="BA42" s="492">
        <v>0</v>
      </c>
      <c r="BB42" s="492">
        <v>0</v>
      </c>
      <c r="BC42" s="492">
        <v>0</v>
      </c>
      <c r="BD42" s="492">
        <v>0</v>
      </c>
      <c r="BE42" s="492">
        <v>0</v>
      </c>
      <c r="BF42" s="492">
        <v>0</v>
      </c>
      <c r="BG42" s="492">
        <v>0</v>
      </c>
      <c r="BH42" s="492">
        <v>0</v>
      </c>
      <c r="BI42" s="492">
        <v>0</v>
      </c>
      <c r="BJ42" s="492">
        <v>0</v>
      </c>
      <c r="BK42" s="492">
        <v>0</v>
      </c>
      <c r="BL42" s="492">
        <v>0</v>
      </c>
      <c r="BM42" s="492">
        <v>0</v>
      </c>
      <c r="BN42" s="492">
        <v>0</v>
      </c>
      <c r="BO42" s="492">
        <v>0</v>
      </c>
      <c r="BP42" s="492">
        <v>0</v>
      </c>
      <c r="BQ42" s="492">
        <v>0</v>
      </c>
      <c r="BR42" s="492">
        <v>0</v>
      </c>
      <c r="BS42" s="492">
        <v>0</v>
      </c>
      <c r="BT42" s="492">
        <v>0</v>
      </c>
      <c r="BU42" s="492">
        <v>0</v>
      </c>
      <c r="BV42" s="492">
        <v>0</v>
      </c>
      <c r="BW42" s="492">
        <v>0</v>
      </c>
      <c r="BX42" s="492">
        <v>0</v>
      </c>
      <c r="BY42" s="492">
        <v>0</v>
      </c>
      <c r="BZ42" s="492">
        <v>0</v>
      </c>
      <c r="CA42" s="492">
        <v>0</v>
      </c>
      <c r="CB42" s="492">
        <v>0</v>
      </c>
      <c r="CC42" s="492">
        <v>0</v>
      </c>
      <c r="CD42" s="492">
        <v>0</v>
      </c>
      <c r="CE42" s="492">
        <v>0</v>
      </c>
      <c r="CF42" s="492">
        <v>0</v>
      </c>
      <c r="CG42" s="492">
        <v>0</v>
      </c>
      <c r="CH42" s="492">
        <v>0</v>
      </c>
      <c r="CI42" s="492">
        <v>0</v>
      </c>
      <c r="CJ42" s="492">
        <v>0</v>
      </c>
      <c r="CK42" s="492">
        <v>0</v>
      </c>
      <c r="CL42" s="492">
        <v>0</v>
      </c>
      <c r="CM42" s="492">
        <v>0</v>
      </c>
      <c r="CN42" s="492">
        <v>0</v>
      </c>
      <c r="CO42" s="492">
        <v>0</v>
      </c>
      <c r="CP42" s="492">
        <v>0</v>
      </c>
      <c r="CQ42" s="492">
        <v>0</v>
      </c>
      <c r="CR42" s="492">
        <v>0</v>
      </c>
      <c r="CS42" s="492">
        <v>0</v>
      </c>
      <c r="CT42" s="492">
        <v>0</v>
      </c>
      <c r="CU42" s="492">
        <v>0</v>
      </c>
      <c r="CV42" s="492">
        <v>0</v>
      </c>
      <c r="CW42" s="492">
        <v>0</v>
      </c>
      <c r="CX42" s="492">
        <v>0</v>
      </c>
      <c r="CY42" s="492">
        <v>0</v>
      </c>
      <c r="CZ42" s="492">
        <v>0</v>
      </c>
      <c r="DA42" s="492">
        <v>0</v>
      </c>
      <c r="DB42" s="492">
        <v>0</v>
      </c>
      <c r="DC42" s="492">
        <v>0</v>
      </c>
      <c r="DD42" s="492">
        <v>0</v>
      </c>
      <c r="DE42" s="492">
        <v>0</v>
      </c>
      <c r="DF42" s="492">
        <v>0</v>
      </c>
      <c r="DG42" s="492">
        <v>0</v>
      </c>
      <c r="DH42" s="492">
        <v>0</v>
      </c>
      <c r="DI42" s="492">
        <v>0</v>
      </c>
      <c r="DJ42" s="492">
        <v>0</v>
      </c>
      <c r="DK42" s="492">
        <v>0</v>
      </c>
      <c r="DL42" s="492">
        <v>0</v>
      </c>
      <c r="DM42" s="345"/>
      <c r="DN42" s="407"/>
      <c r="DO42" s="330"/>
    </row>
    <row r="43" spans="2:119" x14ac:dyDescent="0.3">
      <c r="B43" s="416"/>
      <c r="C43" s="406"/>
      <c r="E43" s="323" t="s">
        <v>397</v>
      </c>
      <c r="I43" s="345">
        <f>Monthly!K135-Monthly!K130</f>
        <v>0</v>
      </c>
      <c r="J43" s="345">
        <f>Monthly!L135-Monthly!L130</f>
        <v>0</v>
      </c>
      <c r="K43" s="345">
        <f>Monthly!M135-Monthly!M130</f>
        <v>0</v>
      </c>
      <c r="L43" s="345">
        <f>Monthly!N135-Monthly!N130</f>
        <v>0</v>
      </c>
      <c r="M43" s="345">
        <f>Monthly!O135-Monthly!O130</f>
        <v>0</v>
      </c>
      <c r="N43" s="345">
        <f>Monthly!P135-Monthly!P130</f>
        <v>0</v>
      </c>
      <c r="O43" s="345">
        <f>Monthly!Q135-Monthly!Q130</f>
        <v>0</v>
      </c>
      <c r="P43" s="345">
        <f>Monthly!R135-Monthly!R130</f>
        <v>0</v>
      </c>
      <c r="Q43" s="345">
        <f>Monthly!S135-Monthly!S130</f>
        <v>0</v>
      </c>
      <c r="R43" s="345">
        <f>Monthly!T135-Monthly!T130</f>
        <v>0</v>
      </c>
      <c r="S43" s="345">
        <f>Monthly!U135-Monthly!U130</f>
        <v>0</v>
      </c>
      <c r="T43" s="345">
        <f>Monthly!V135-Monthly!V130</f>
        <v>0</v>
      </c>
      <c r="U43" s="345">
        <f>Monthly!W135-Monthly!W130</f>
        <v>0</v>
      </c>
      <c r="V43" s="345">
        <f>Monthly!X135-Monthly!X130</f>
        <v>0</v>
      </c>
      <c r="W43" s="345">
        <f>Monthly!Y135-Monthly!Y130</f>
        <v>0</v>
      </c>
      <c r="X43" s="345">
        <f>Monthly!Z135-Monthly!Z130</f>
        <v>0</v>
      </c>
      <c r="Y43" s="345">
        <f>Monthly!AA135-Monthly!AA130</f>
        <v>0</v>
      </c>
      <c r="Z43" s="345">
        <f>Monthly!AB135-Monthly!AB130</f>
        <v>0</v>
      </c>
      <c r="AA43" s="345">
        <f>Monthly!AC135-Monthly!AC130</f>
        <v>0</v>
      </c>
      <c r="AB43" s="345">
        <f>Monthly!AD135-Monthly!AD130</f>
        <v>0</v>
      </c>
      <c r="AC43" s="345">
        <f>Monthly!AE135-Monthly!AE130</f>
        <v>0</v>
      </c>
      <c r="AD43" s="345">
        <f>Monthly!AF135-Monthly!AF130</f>
        <v>0</v>
      </c>
      <c r="AE43" s="345">
        <f>Monthly!AG135-Monthly!AG130</f>
        <v>0</v>
      </c>
      <c r="AF43" s="345">
        <f>Monthly!AH135-Monthly!AH130</f>
        <v>0</v>
      </c>
      <c r="AG43" s="345">
        <f>Monthly!AI135-Monthly!AI130</f>
        <v>0</v>
      </c>
      <c r="AH43" s="345">
        <f>Monthly!AJ135-Monthly!AJ130</f>
        <v>0</v>
      </c>
      <c r="AI43" s="345">
        <f>Monthly!AK135-Monthly!AK130</f>
        <v>0</v>
      </c>
      <c r="AJ43" s="345">
        <f>Monthly!AL135-Monthly!AL130</f>
        <v>0</v>
      </c>
      <c r="AK43" s="345">
        <f>Monthly!AM135-Monthly!AM130</f>
        <v>0</v>
      </c>
      <c r="AL43" s="345">
        <f>Monthly!AN135-Monthly!AN130</f>
        <v>0</v>
      </c>
      <c r="AM43" s="345">
        <f>Monthly!AO135-Monthly!AO130</f>
        <v>0</v>
      </c>
      <c r="AN43" s="345">
        <f>Monthly!AP135-Monthly!AP130</f>
        <v>0</v>
      </c>
      <c r="AO43" s="345">
        <f>Monthly!AQ135-Monthly!AQ130</f>
        <v>0</v>
      </c>
      <c r="AP43" s="345">
        <f>Monthly!AR135-Monthly!AR130</f>
        <v>0</v>
      </c>
      <c r="AQ43" s="345">
        <f>Monthly!AS135-Monthly!AS130</f>
        <v>0</v>
      </c>
      <c r="AR43" s="345">
        <f>Monthly!AT135-Monthly!AT130</f>
        <v>0</v>
      </c>
      <c r="AS43" s="345">
        <f>Monthly!AU135-Monthly!AU130</f>
        <v>0</v>
      </c>
      <c r="AT43" s="345">
        <f>Monthly!AV135-Monthly!AV130</f>
        <v>0</v>
      </c>
      <c r="AU43" s="345">
        <f>Monthly!AW135-Monthly!AW130</f>
        <v>0</v>
      </c>
      <c r="AV43" s="345">
        <f>Monthly!AX135-Monthly!AX130</f>
        <v>0</v>
      </c>
      <c r="AW43" s="345">
        <f>Monthly!AY135-Monthly!AY130</f>
        <v>0</v>
      </c>
      <c r="AX43" s="345">
        <f>Monthly!AZ135-Monthly!AZ130</f>
        <v>0</v>
      </c>
      <c r="AY43" s="345">
        <f>Monthly!BA135-Monthly!BA130</f>
        <v>0</v>
      </c>
      <c r="AZ43" s="345">
        <f>Monthly!BB135-Monthly!BB130</f>
        <v>0</v>
      </c>
      <c r="BA43" s="345">
        <f>Monthly!BC135-Monthly!BC130</f>
        <v>0</v>
      </c>
      <c r="BB43" s="345">
        <f>Monthly!BD135-Monthly!BD130</f>
        <v>0</v>
      </c>
      <c r="BC43" s="345">
        <f>Monthly!BE135-Monthly!BE130</f>
        <v>0</v>
      </c>
      <c r="BD43" s="345">
        <f>Monthly!BF135-Monthly!BF130</f>
        <v>0</v>
      </c>
      <c r="BE43" s="345">
        <f>Monthly!BG135-Monthly!BG130</f>
        <v>0</v>
      </c>
      <c r="BF43" s="345">
        <f>Monthly!BH135-Monthly!BH130</f>
        <v>0</v>
      </c>
      <c r="BG43" s="345">
        <f>Monthly!BI135-Monthly!BI130</f>
        <v>0</v>
      </c>
      <c r="BH43" s="345">
        <f>Monthly!BJ135-Monthly!BJ130</f>
        <v>0</v>
      </c>
      <c r="BI43" s="345">
        <f>Monthly!BK135-Monthly!BK130</f>
        <v>0</v>
      </c>
      <c r="BJ43" s="345">
        <f>Monthly!BL135-Monthly!BL130</f>
        <v>0</v>
      </c>
      <c r="BK43" s="345">
        <f>Monthly!BM135-Monthly!BM130</f>
        <v>0</v>
      </c>
      <c r="BL43" s="345">
        <f>Monthly!BN135-Monthly!BN130</f>
        <v>0</v>
      </c>
      <c r="BM43" s="345">
        <f>Monthly!BO135-Monthly!BO130</f>
        <v>0</v>
      </c>
      <c r="BN43" s="345">
        <f>Monthly!BP135-Monthly!BP130</f>
        <v>0</v>
      </c>
      <c r="BO43" s="345">
        <f>Monthly!BQ135-Monthly!BQ130</f>
        <v>0</v>
      </c>
      <c r="BP43" s="345">
        <f>Monthly!BR135-Monthly!BR130</f>
        <v>-20000</v>
      </c>
      <c r="BQ43" s="345">
        <f>Monthly!BS135-Monthly!BS130</f>
        <v>0</v>
      </c>
      <c r="BR43" s="345">
        <f>Monthly!BT135-Monthly!BT130</f>
        <v>0</v>
      </c>
      <c r="BS43" s="345">
        <f>Monthly!BU135-Monthly!BU130</f>
        <v>0</v>
      </c>
      <c r="BT43" s="345">
        <f>Monthly!BV135-Monthly!BV130</f>
        <v>0</v>
      </c>
      <c r="BU43" s="345">
        <f>Monthly!BW135-Monthly!BW130</f>
        <v>0</v>
      </c>
      <c r="BV43" s="345">
        <f>Monthly!BX135-Monthly!BX130</f>
        <v>0</v>
      </c>
      <c r="BW43" s="345">
        <f>Monthly!BY135-Monthly!BY130</f>
        <v>0</v>
      </c>
      <c r="BX43" s="345">
        <f>Monthly!BZ135-Monthly!BZ130</f>
        <v>0</v>
      </c>
      <c r="BY43" s="345">
        <f>Monthly!CA135-Monthly!CA130</f>
        <v>0</v>
      </c>
      <c r="BZ43" s="345">
        <f>Monthly!CB135-Monthly!CB130</f>
        <v>0</v>
      </c>
      <c r="CA43" s="345">
        <f>Monthly!CC135-Monthly!CC130</f>
        <v>0</v>
      </c>
      <c r="CB43" s="345">
        <f>Monthly!CD135-Monthly!CD130</f>
        <v>-30000</v>
      </c>
      <c r="CC43" s="345">
        <f>Monthly!CE135-Monthly!CE130</f>
        <v>0</v>
      </c>
      <c r="CD43" s="345">
        <f>Monthly!CF135-Monthly!CF130</f>
        <v>0</v>
      </c>
      <c r="CE43" s="345">
        <f>Monthly!CG135-Monthly!CG130</f>
        <v>0</v>
      </c>
      <c r="CF43" s="345">
        <f>Monthly!CH135-Monthly!CH130</f>
        <v>0</v>
      </c>
      <c r="CG43" s="345">
        <f>Monthly!CI135-Monthly!CI130</f>
        <v>0</v>
      </c>
      <c r="CH43" s="345">
        <f>Monthly!CJ135-Monthly!CJ130</f>
        <v>0</v>
      </c>
      <c r="CI43" s="345">
        <f>Monthly!CK135-Monthly!CK130</f>
        <v>0</v>
      </c>
      <c r="CJ43" s="345">
        <f>Monthly!CL135-Monthly!CL130</f>
        <v>0</v>
      </c>
      <c r="CK43" s="345">
        <f>Monthly!CM135-Monthly!CM130</f>
        <v>0</v>
      </c>
      <c r="CL43" s="345">
        <f>Monthly!CN135-Monthly!CN130</f>
        <v>0</v>
      </c>
      <c r="CM43" s="345">
        <f>Monthly!CO135-Monthly!CO130</f>
        <v>0</v>
      </c>
      <c r="CN43" s="345">
        <f>Monthly!CP135-Monthly!CP130</f>
        <v>-50000</v>
      </c>
      <c r="CO43" s="345">
        <f>Monthly!CQ135-Monthly!CQ130</f>
        <v>0</v>
      </c>
      <c r="CP43" s="345">
        <f>Monthly!CR135-Monthly!CR130</f>
        <v>0</v>
      </c>
      <c r="CQ43" s="345">
        <f>Monthly!CS135-Monthly!CS130</f>
        <v>0</v>
      </c>
      <c r="CR43" s="345">
        <f>Monthly!CT135-Monthly!CT130</f>
        <v>0</v>
      </c>
      <c r="CS43" s="345">
        <f>Monthly!CU135-Monthly!CU130</f>
        <v>0</v>
      </c>
      <c r="CT43" s="345">
        <f>Monthly!CV135-Monthly!CV130</f>
        <v>0</v>
      </c>
      <c r="CU43" s="345">
        <f>Monthly!CW135-Monthly!CW130</f>
        <v>0</v>
      </c>
      <c r="CV43" s="345">
        <f>Monthly!CX135-Monthly!CX130</f>
        <v>0</v>
      </c>
      <c r="CW43" s="345">
        <f>Monthly!CY135-Monthly!CY130</f>
        <v>0</v>
      </c>
      <c r="CX43" s="345">
        <f>Monthly!CZ135-Monthly!CZ130</f>
        <v>0</v>
      </c>
      <c r="CY43" s="345">
        <f>Monthly!DA135-Monthly!DA130</f>
        <v>0</v>
      </c>
      <c r="CZ43" s="345">
        <f>Monthly!DB135-Monthly!DB130</f>
        <v>-60000</v>
      </c>
      <c r="DA43" s="345">
        <f>Monthly!DC135-Monthly!DC130</f>
        <v>0</v>
      </c>
      <c r="DB43" s="345">
        <f>Monthly!DD135-Monthly!DD130</f>
        <v>0</v>
      </c>
      <c r="DC43" s="345">
        <f>Monthly!DE135-Monthly!DE130</f>
        <v>0</v>
      </c>
      <c r="DD43" s="345">
        <f>Monthly!DF135-Monthly!DF130</f>
        <v>0</v>
      </c>
      <c r="DE43" s="345">
        <f>Monthly!DG135-Monthly!DG130</f>
        <v>0</v>
      </c>
      <c r="DF43" s="345">
        <f>Monthly!DH135-Monthly!DH130</f>
        <v>0</v>
      </c>
      <c r="DG43" s="345">
        <f>Monthly!DI135-Monthly!DI130</f>
        <v>0</v>
      </c>
      <c r="DH43" s="345">
        <f>Monthly!DJ135-Monthly!DJ130</f>
        <v>0</v>
      </c>
      <c r="DI43" s="345">
        <f>Monthly!DK135-Monthly!DK130</f>
        <v>0</v>
      </c>
      <c r="DJ43" s="345">
        <f>Monthly!DL135-Monthly!DL130</f>
        <v>0</v>
      </c>
      <c r="DK43" s="345">
        <f>Monthly!DM135-Monthly!DM130</f>
        <v>0</v>
      </c>
      <c r="DL43" s="345">
        <f>Monthly!DN135-Monthly!DN130</f>
        <v>0</v>
      </c>
      <c r="DM43" s="345"/>
      <c r="DN43" s="407"/>
      <c r="DO43" s="330"/>
    </row>
    <row r="44" spans="2:119" x14ac:dyDescent="0.3">
      <c r="B44" s="416"/>
      <c r="C44" s="406"/>
      <c r="D44" s="384"/>
      <c r="E44" s="342" t="s">
        <v>335</v>
      </c>
      <c r="F44" s="342"/>
      <c r="G44" s="538">
        <v>0</v>
      </c>
      <c r="H44" s="371"/>
      <c r="I44" s="347">
        <f>Monthly!K117</f>
        <v>308500.83333333331</v>
      </c>
      <c r="J44" s="347">
        <f>IF(Monthly!L116&gt;=0,0,IF(-Monthly!L116&lt;=SUM(J41:J42)-$G$44,-Monthly!L116,SUM(J41:J42)-$G$44))</f>
        <v>266274.83333333331</v>
      </c>
      <c r="K44" s="347">
        <f>IF(Monthly!M116&gt;=0,0,IF(-Monthly!M116&lt;=SUM(K41:K42)-$G$44,-Monthly!M116,SUM(K41:K42)-$G$44))</f>
        <v>212632.33333333334</v>
      </c>
      <c r="L44" s="347">
        <f>IF(Monthly!N116&gt;=0,0,IF(-Monthly!N116&lt;=SUM(L41:L42)-$G$44,-Monthly!N116,SUM(L41:L42)-$G$44))</f>
        <v>280819.58333333331</v>
      </c>
      <c r="M44" s="347">
        <f>IF(Monthly!O116&gt;=0,0,IF(-Monthly!O116&lt;=SUM(M41:M42)-$G$44,-Monthly!O116,SUM(M41:M42)-$G$44))</f>
        <v>172906.4166666668</v>
      </c>
      <c r="N44" s="347">
        <f>IF(Monthly!P116&gt;=0,0,IF(-Monthly!P116&lt;=SUM(N41:N42)-$G$44,-Monthly!P116,SUM(N41:N42)-$G$44))</f>
        <v>0</v>
      </c>
      <c r="O44" s="347">
        <f>IF(Monthly!Q116&gt;=0,0,IF(-Monthly!Q116&lt;=SUM(O41:O42)-$G$44,-Monthly!Q116,SUM(O41:O42)-$G$44))</f>
        <v>0</v>
      </c>
      <c r="P44" s="347">
        <f>IF(Monthly!R116&gt;=0,0,IF(-Monthly!R116&lt;=SUM(P41:P42)-$G$44,-Monthly!R116,SUM(P41:P42)-$G$44))</f>
        <v>0</v>
      </c>
      <c r="Q44" s="347">
        <f>IF(Monthly!S116&gt;=0,0,IF(-Monthly!S116&lt;=SUM(Q41:Q42)-$G$44,-Monthly!S116,SUM(Q41:Q42)-$G$44))</f>
        <v>0</v>
      </c>
      <c r="R44" s="347">
        <f>IF(Monthly!T116&gt;=0,0,IF(-Monthly!T116&lt;=SUM(R41:R42)-$G$44,-Monthly!T116,SUM(R41:R42)-$G$44))</f>
        <v>0</v>
      </c>
      <c r="S44" s="347">
        <f>IF(Monthly!U116&gt;=0,0,IF(-Monthly!U116&lt;=SUM(S41:S42)-$G$44,-Monthly!U116,SUM(S41:S42)-$G$44))</f>
        <v>0</v>
      </c>
      <c r="T44" s="347">
        <f>IF(Monthly!V116&gt;=0,0,IF(-Monthly!V116&lt;=SUM(T41:T42)-$G$44,-Monthly!V116,SUM(T41:T42)-$G$44))</f>
        <v>0</v>
      </c>
      <c r="U44" s="347">
        <f>IF(Monthly!W116&gt;=0,0,IF(-Monthly!W116&lt;=SUM(U41:U42)-$G$44,-Monthly!W116,SUM(U41:U42)-$G$44))</f>
        <v>0</v>
      </c>
      <c r="V44" s="347">
        <f>IF(Monthly!X116&gt;=0,0,IF(-Monthly!X116&lt;=SUM(V41:V42)-$G$44,-Monthly!X116,SUM(V41:V42)-$G$44))</f>
        <v>0</v>
      </c>
      <c r="W44" s="347">
        <f>IF(Monthly!Y116&gt;=0,0,IF(-Monthly!Y116&lt;=SUM(W41:W42)-$G$44,-Monthly!Y116,SUM(W41:W42)-$G$44))</f>
        <v>0</v>
      </c>
      <c r="X44" s="347">
        <f>IF(Monthly!Z116&gt;=0,0,IF(-Monthly!Z116&lt;=SUM(X41:X42)-$G$44,-Monthly!Z116,SUM(X41:X42)-$G$44))</f>
        <v>0</v>
      </c>
      <c r="Y44" s="347">
        <f>IF(Monthly!AA116&gt;=0,0,IF(-Monthly!AA116&lt;=SUM(Y41:Y42)-$G$44,-Monthly!AA116,SUM(Y41:Y42)-$G$44))</f>
        <v>0</v>
      </c>
      <c r="Z44" s="347">
        <f>IF(Monthly!AB116&gt;=0,0,IF(-Monthly!AB116&lt;=SUM(Z41:Z42)-$G$44,-Monthly!AB116,SUM(Z41:Z42)-$G$44))</f>
        <v>0</v>
      </c>
      <c r="AA44" s="347">
        <f>IF(Monthly!AC116&gt;=0,0,IF(-Monthly!AC116&lt;=SUM(AA41:AA42)-$G$44,-Monthly!AC116,SUM(AA41:AA42)-$G$44))</f>
        <v>0</v>
      </c>
      <c r="AB44" s="347">
        <f>IF(Monthly!AD116&gt;=0,0,IF(-Monthly!AD116&lt;=SUM(AB41:AB42)-$G$44,-Monthly!AD116,SUM(AB41:AB42)-$G$44))</f>
        <v>0</v>
      </c>
      <c r="AC44" s="347">
        <f>IF(Monthly!AE116&gt;=0,0,IF(-Monthly!AE116&lt;=SUM(AC41:AC42)-$G$44,-Monthly!AE116,SUM(AC41:AC42)-$G$44))</f>
        <v>0</v>
      </c>
      <c r="AD44" s="347">
        <f>IF(Monthly!AF116&gt;=0,0,IF(-Monthly!AF116&lt;=SUM(AD41:AD42)-$G$44,-Monthly!AF116,SUM(AD41:AD42)-$G$44))</f>
        <v>0</v>
      </c>
      <c r="AE44" s="347">
        <f>IF(Monthly!AG116&gt;=0,0,IF(-Monthly!AG116&lt;=SUM(AE41:AE42)-$G$44,-Monthly!AG116,SUM(AE41:AE42)-$G$44))</f>
        <v>0</v>
      </c>
      <c r="AF44" s="347">
        <f>IF(Monthly!AH116&gt;=0,0,IF(-Monthly!AH116&lt;=SUM(AF41:AF42)-$G$44,-Monthly!AH116,SUM(AF41:AF42)-$G$44))</f>
        <v>0</v>
      </c>
      <c r="AG44" s="347">
        <f>IF(Monthly!AI116&gt;=0,0,IF(-Monthly!AI116&lt;=SUM(AG41:AG42)-$G$44,-Monthly!AI116,SUM(AG41:AG42)-$G$44))</f>
        <v>0</v>
      </c>
      <c r="AH44" s="347">
        <f>IF(Monthly!AJ116&gt;=0,0,IF(-Monthly!AJ116&lt;=SUM(AH41:AH42)-$G$44,-Monthly!AJ116,SUM(AH41:AH42)-$G$44))</f>
        <v>0</v>
      </c>
      <c r="AI44" s="347">
        <f>IF(Monthly!AK116&gt;=0,0,IF(-Monthly!AK116&lt;=SUM(AI41:AI42)-$G$44,-Monthly!AK116,SUM(AI41:AI42)-$G$44))</f>
        <v>0</v>
      </c>
      <c r="AJ44" s="347">
        <f>IF(Monthly!AL116&gt;=0,0,IF(-Monthly!AL116&lt;=SUM(AJ41:AJ42)-$G$44,-Monthly!AL116,SUM(AJ41:AJ42)-$G$44))</f>
        <v>0</v>
      </c>
      <c r="AK44" s="347">
        <f>IF(Monthly!AM116&gt;=0,0,IF(-Monthly!AM116&lt;=SUM(AK41:AK42)-$G$44,-Monthly!AM116,SUM(AK41:AK42)-$G$44))</f>
        <v>0</v>
      </c>
      <c r="AL44" s="347">
        <f>IF(Monthly!AN116&gt;=0,0,IF(-Monthly!AN116&lt;=SUM(AL41:AL42)-$G$44,-Monthly!AN116,SUM(AL41:AL42)-$G$44))</f>
        <v>0</v>
      </c>
      <c r="AM44" s="347">
        <f>IF(Monthly!AO116&gt;=0,0,IF(-Monthly!AO116&lt;=SUM(AM41:AM42)-$G$44,-Monthly!AO116,SUM(AM41:AM42)-$G$44))</f>
        <v>0</v>
      </c>
      <c r="AN44" s="347">
        <f>IF(Monthly!AP116&gt;=0,0,IF(-Monthly!AP116&lt;=SUM(AN41:AN42)-$G$44,-Monthly!AP116,SUM(AN41:AN42)-$G$44))</f>
        <v>0</v>
      </c>
      <c r="AO44" s="347">
        <f>IF(Monthly!AQ116&gt;=0,0,IF(-Monthly!AQ116&lt;=SUM(AO41:AO42)-$G$44,-Monthly!AQ116,SUM(AO41:AO42)-$G$44))</f>
        <v>0</v>
      </c>
      <c r="AP44" s="347">
        <f>IF(Monthly!AR116&gt;=0,0,IF(-Monthly!AR116&lt;=SUM(AP41:AP42)-$G$44,-Monthly!AR116,SUM(AP41:AP42)-$G$44))</f>
        <v>0</v>
      </c>
      <c r="AQ44" s="347">
        <f>IF(Monthly!AS116&gt;=0,0,IF(-Monthly!AS116&lt;=SUM(AQ41:AQ42)-$G$44,-Monthly!AS116,SUM(AQ41:AQ42)-$G$44))</f>
        <v>0</v>
      </c>
      <c r="AR44" s="347">
        <f>IF(Monthly!AT116&gt;=0,0,IF(-Monthly!AT116&lt;=SUM(AR41:AR42)-$G$44,-Monthly!AT116,SUM(AR41:AR42)-$G$44))</f>
        <v>0</v>
      </c>
      <c r="AS44" s="347">
        <f>IF(Monthly!AU116&gt;=0,0,IF(-Monthly!AU116&lt;=SUM(AS41:AS42)-$G$44,-Monthly!AU116,SUM(AS41:AS42)-$G$44))</f>
        <v>0</v>
      </c>
      <c r="AT44" s="347">
        <f>IF(Monthly!AV116&gt;=0,0,IF(-Monthly!AV116&lt;=SUM(AT41:AT42)-$G$44,-Monthly!AV116,SUM(AT41:AT42)-$G$44))</f>
        <v>0</v>
      </c>
      <c r="AU44" s="347">
        <f>IF(Monthly!AW116&gt;=0,0,IF(-Monthly!AW116&lt;=SUM(AU41:AU42)-$G$44,-Monthly!AW116,SUM(AU41:AU42)-$G$44))</f>
        <v>0</v>
      </c>
      <c r="AV44" s="347">
        <f>IF(Monthly!AX116&gt;=0,0,IF(-Monthly!AX116&lt;=SUM(AV41:AV42)-$G$44,-Monthly!AX116,SUM(AV41:AV42)-$G$44))</f>
        <v>0</v>
      </c>
      <c r="AW44" s="347">
        <f>IF(Monthly!AY116&gt;=0,0,IF(-Monthly!AY116&lt;=SUM(AW41:AW42)-$G$44,-Monthly!AY116,SUM(AW41:AW42)-$G$44))</f>
        <v>0</v>
      </c>
      <c r="AX44" s="347">
        <f>IF(Monthly!AZ116&gt;=0,0,IF(-Monthly!AZ116&lt;=SUM(AX41:AX42)-$G$44,-Monthly!AZ116,SUM(AX41:AX42)-$G$44))</f>
        <v>0</v>
      </c>
      <c r="AY44" s="347">
        <f>IF(Monthly!BA116&gt;=0,0,IF(-Monthly!BA116&lt;=SUM(AY41:AY42)-$G$44,-Monthly!BA116,SUM(AY41:AY42)-$G$44))</f>
        <v>0</v>
      </c>
      <c r="AZ44" s="347">
        <f>IF(Monthly!BB116&gt;=0,0,IF(-Monthly!BB116&lt;=SUM(AZ41:AZ42)-$G$44,-Monthly!BB116,SUM(AZ41:AZ42)-$G$44))</f>
        <v>0</v>
      </c>
      <c r="BA44" s="347">
        <f>IF(Monthly!BC116&gt;=0,0,IF(-Monthly!BC116&lt;=SUM(BA41:BA42)-$G$44,-Monthly!BC116,SUM(BA41:BA42)-$G$44))</f>
        <v>0</v>
      </c>
      <c r="BB44" s="347">
        <f>IF(Monthly!BD116&gt;=0,0,IF(-Monthly!BD116&lt;=SUM(BB41:BB42)-$G$44,-Monthly!BD116,SUM(BB41:BB42)-$G$44))</f>
        <v>0</v>
      </c>
      <c r="BC44" s="347">
        <f>IF(Monthly!BE116&gt;=0,0,IF(-Monthly!BE116&lt;=SUM(BC41:BC42)-$G$44,-Monthly!BE116,SUM(BC41:BC42)-$G$44))</f>
        <v>0</v>
      </c>
      <c r="BD44" s="347">
        <f>IF(Monthly!BF116&gt;=0,0,IF(-Monthly!BF116&lt;=SUM(BD41:BD42)-$G$44,-Monthly!BF116,SUM(BD41:BD42)-$G$44))</f>
        <v>0</v>
      </c>
      <c r="BE44" s="347">
        <f>IF(Monthly!BG116&gt;=0,0,IF(-Monthly!BG116&lt;=SUM(BE41:BE42)-$G$44,-Monthly!BG116,SUM(BE41:BE42)-$G$44))</f>
        <v>0</v>
      </c>
      <c r="BF44" s="347">
        <f>IF(Monthly!BH116&gt;=0,0,IF(-Monthly!BH116&lt;=SUM(BF41:BF42)-$G$44,-Monthly!BH116,SUM(BF41:BF42)-$G$44))</f>
        <v>0</v>
      </c>
      <c r="BG44" s="347">
        <f>IF(Monthly!BI116&gt;=0,0,IF(-Monthly!BI116&lt;=SUM(BG41:BG42)-$G$44,-Monthly!BI116,SUM(BG41:BG42)-$G$44))</f>
        <v>0</v>
      </c>
      <c r="BH44" s="347">
        <f>IF(Monthly!BJ116&gt;=0,0,IF(-Monthly!BJ116&lt;=SUM(BH41:BH42)-$G$44,-Monthly!BJ116,SUM(BH41:BH42)-$G$44))</f>
        <v>0</v>
      </c>
      <c r="BI44" s="347">
        <f>IF(Monthly!BK116&gt;=0,0,IF(-Monthly!BK116&lt;=SUM(BI41:BI42)-$G$44,-Monthly!BK116,SUM(BI41:BI42)-$G$44))</f>
        <v>0</v>
      </c>
      <c r="BJ44" s="347">
        <f>IF(Monthly!BL116&gt;=0,0,IF(-Monthly!BL116&lt;=SUM(BJ41:BJ42)-$G$44,-Monthly!BL116,SUM(BJ41:BJ42)-$G$44))</f>
        <v>0</v>
      </c>
      <c r="BK44" s="347">
        <f>IF(Monthly!BM116&gt;=0,0,IF(-Monthly!BM116&lt;=SUM(BK41:BK42)-$G$44,-Monthly!BM116,SUM(BK41:BK42)-$G$44))</f>
        <v>0</v>
      </c>
      <c r="BL44" s="347">
        <f>IF(Monthly!BN116&gt;=0,0,IF(-Monthly!BN116&lt;=SUM(BL41:BL42)-$G$44,-Monthly!BN116,SUM(BL41:BL42)-$G$44))</f>
        <v>0</v>
      </c>
      <c r="BM44" s="347">
        <f>IF(Monthly!BO116&gt;=0,0,IF(-Monthly!BO116&lt;=SUM(BM41:BM42)-$G$44,-Monthly!BO116,SUM(BM41:BM42)-$G$44))</f>
        <v>0</v>
      </c>
      <c r="BN44" s="347">
        <f>IF(Monthly!BP116&gt;=0,0,IF(-Monthly!BP116&lt;=SUM(BN41:BN42)-$G$44,-Monthly!BP116,SUM(BN41:BN42)-$G$44))</f>
        <v>0</v>
      </c>
      <c r="BO44" s="347">
        <f>IF(Monthly!BQ116&gt;=0,0,IF(-Monthly!BQ116&lt;=SUM(BO41:BO42)-$G$44,-Monthly!BQ116,SUM(BO41:BO42)-$G$44))</f>
        <v>0</v>
      </c>
      <c r="BP44" s="347">
        <f>IF(Monthly!BR116&gt;=0,0,IF(-Monthly!BR116&lt;=SUM(BP41:BP42)-$G$44,-Monthly!BR116,SUM(BP41:BP42)-$G$44))</f>
        <v>0</v>
      </c>
      <c r="BQ44" s="347">
        <f>IF(Monthly!BS116&gt;=0,0,IF(-Monthly!BS116&lt;=SUM(BQ41:BQ42)-$G$44,-Monthly!BS116,SUM(BQ41:BQ42)-$G$44))</f>
        <v>0</v>
      </c>
      <c r="BR44" s="347">
        <f>IF(Monthly!BT116&gt;=0,0,IF(-Monthly!BT116&lt;=SUM(BR41:BR42)-$G$44,-Monthly!BT116,SUM(BR41:BR42)-$G$44))</f>
        <v>0</v>
      </c>
      <c r="BS44" s="347">
        <f>IF(Monthly!BU116&gt;=0,0,IF(-Monthly!BU116&lt;=SUM(BS41:BS42)-$G$44,-Monthly!BU116,SUM(BS41:BS42)-$G$44))</f>
        <v>0</v>
      </c>
      <c r="BT44" s="347">
        <f>IF(Monthly!BV116&gt;=0,0,IF(-Monthly!BV116&lt;=SUM(BT41:BT42)-$G$44,-Monthly!BV116,SUM(BT41:BT42)-$G$44))</f>
        <v>0</v>
      </c>
      <c r="BU44" s="347">
        <f>IF(Monthly!BW116&gt;=0,0,IF(-Monthly!BW116&lt;=SUM(BU41:BU42)-$G$44,-Monthly!BW116,SUM(BU41:BU42)-$G$44))</f>
        <v>0</v>
      </c>
      <c r="BV44" s="347">
        <f>IF(Monthly!BX116&gt;=0,0,IF(-Monthly!BX116&lt;=SUM(BV41:BV42)-$G$44,-Monthly!BX116,SUM(BV41:BV42)-$G$44))</f>
        <v>0</v>
      </c>
      <c r="BW44" s="347">
        <f>IF(Monthly!BY116&gt;=0,0,IF(-Monthly!BY116&lt;=SUM(BW41:BW42)-$G$44,-Monthly!BY116,SUM(BW41:BW42)-$G$44))</f>
        <v>0</v>
      </c>
      <c r="BX44" s="347">
        <f>IF(Monthly!BZ116&gt;=0,0,IF(-Monthly!BZ116&lt;=SUM(BX41:BX42)-$G$44,-Monthly!BZ116,SUM(BX41:BX42)-$G$44))</f>
        <v>-20000</v>
      </c>
      <c r="BY44" s="347">
        <f>IF(Monthly!CA116&gt;=0,0,IF(-Monthly!CA116&lt;=SUM(BY41:BY42)-$G$44,-Monthly!CA116,SUM(BY41:BY42)-$G$44))</f>
        <v>0</v>
      </c>
      <c r="BZ44" s="347">
        <f>IF(Monthly!CB116&gt;=0,0,IF(-Monthly!CB116&lt;=SUM(BZ41:BZ42)-$G$44,-Monthly!CB116,SUM(BZ41:BZ42)-$G$44))</f>
        <v>0</v>
      </c>
      <c r="CA44" s="347">
        <f>IF(Monthly!CC116&gt;=0,0,IF(-Monthly!CC116&lt;=SUM(CA41:CA42)-$G$44,-Monthly!CC116,SUM(CA41:CA42)-$G$44))</f>
        <v>0</v>
      </c>
      <c r="CB44" s="347">
        <f>IF(Monthly!CD116&gt;=0,0,IF(-Monthly!CD116&lt;=SUM(CB41:CB42)-$G$44,-Monthly!CD116,SUM(CB41:CB42)-$G$44))</f>
        <v>0</v>
      </c>
      <c r="CC44" s="347">
        <f>IF(Monthly!CE116&gt;=0,0,IF(-Monthly!CE116&lt;=SUM(CC41:CC42)-$G$44,-Monthly!CE116,SUM(CC41:CC42)-$G$44))</f>
        <v>0</v>
      </c>
      <c r="CD44" s="347">
        <f>IF(Monthly!CF116&gt;=0,0,IF(-Monthly!CF116&lt;=SUM(CD41:CD42)-$G$44,-Monthly!CF116,SUM(CD41:CD42)-$G$44))</f>
        <v>0</v>
      </c>
      <c r="CE44" s="347">
        <f>IF(Monthly!CG116&gt;=0,0,IF(-Monthly!CG116&lt;=SUM(CE41:CE42)-$G$44,-Monthly!CG116,SUM(CE41:CE42)-$G$44))</f>
        <v>0</v>
      </c>
      <c r="CF44" s="347">
        <f>IF(Monthly!CH116&gt;=0,0,IF(-Monthly!CH116&lt;=SUM(CF41:CF42)-$G$44,-Monthly!CH116,SUM(CF41:CF42)-$G$44))</f>
        <v>0</v>
      </c>
      <c r="CG44" s="347">
        <f>IF(Monthly!CI116&gt;=0,0,IF(-Monthly!CI116&lt;=SUM(CG41:CG42)-$G$44,-Monthly!CI116,SUM(CG41:CG42)-$G$44))</f>
        <v>0</v>
      </c>
      <c r="CH44" s="347">
        <f>IF(Monthly!CJ116&gt;=0,0,IF(-Monthly!CJ116&lt;=SUM(CH41:CH42)-$G$44,-Monthly!CJ116,SUM(CH41:CH42)-$G$44))</f>
        <v>0</v>
      </c>
      <c r="CI44" s="347">
        <f>IF(Monthly!CK116&gt;=0,0,IF(-Monthly!CK116&lt;=SUM(CI41:CI42)-$G$44,-Monthly!CK116,SUM(CI41:CI42)-$G$44))</f>
        <v>0</v>
      </c>
      <c r="CJ44" s="347">
        <f>IF(Monthly!CL116&gt;=0,0,IF(-Monthly!CL116&lt;=SUM(CJ41:CJ42)-$G$44,-Monthly!CL116,SUM(CJ41:CJ42)-$G$44))</f>
        <v>-30000</v>
      </c>
      <c r="CK44" s="347">
        <f>IF(Monthly!CM116&gt;=0,0,IF(-Monthly!CM116&lt;=SUM(CK41:CK42)-$G$44,-Monthly!CM116,SUM(CK41:CK42)-$G$44))</f>
        <v>0</v>
      </c>
      <c r="CL44" s="347">
        <f>IF(Monthly!CN116&gt;=0,0,IF(-Monthly!CN116&lt;=SUM(CL41:CL42)-$G$44,-Monthly!CN116,SUM(CL41:CL42)-$G$44))</f>
        <v>0</v>
      </c>
      <c r="CM44" s="347">
        <f>IF(Monthly!CO116&gt;=0,0,IF(-Monthly!CO116&lt;=SUM(CM41:CM42)-$G$44,-Monthly!CO116,SUM(CM41:CM42)-$G$44))</f>
        <v>0</v>
      </c>
      <c r="CN44" s="347">
        <f>IF(Monthly!CP116&gt;=0,0,IF(-Monthly!CP116&lt;=SUM(CN41:CN42)-$G$44,-Monthly!CP116,SUM(CN41:CN42)-$G$44))</f>
        <v>0</v>
      </c>
      <c r="CO44" s="347">
        <f>IF(Monthly!CQ116&gt;=0,0,IF(-Monthly!CQ116&lt;=SUM(CO41:CO42)-$G$44,-Monthly!CQ116,SUM(CO41:CO42)-$G$44))</f>
        <v>0</v>
      </c>
      <c r="CP44" s="347">
        <f>IF(Monthly!CR116&gt;=0,0,IF(-Monthly!CR116&lt;=SUM(CP41:CP42)-$G$44,-Monthly!CR116,SUM(CP41:CP42)-$G$44))</f>
        <v>0</v>
      </c>
      <c r="CQ44" s="347">
        <f>IF(Monthly!CS116&gt;=0,0,IF(-Monthly!CS116&lt;=SUM(CQ41:CQ42)-$G$44,-Monthly!CS116,SUM(CQ41:CQ42)-$G$44))</f>
        <v>0</v>
      </c>
      <c r="CR44" s="347">
        <f>IF(Monthly!CT116&gt;=0,0,IF(-Monthly!CT116&lt;=SUM(CR41:CR42)-$G$44,-Monthly!CT116,SUM(CR41:CR42)-$G$44))</f>
        <v>0</v>
      </c>
      <c r="CS44" s="347">
        <f>IF(Monthly!CU116&gt;=0,0,IF(-Monthly!CU116&lt;=SUM(CS41:CS42)-$G$44,-Monthly!CU116,SUM(CS41:CS42)-$G$44))</f>
        <v>0</v>
      </c>
      <c r="CT44" s="347">
        <f>IF(Monthly!CV116&gt;=0,0,IF(-Monthly!CV116&lt;=SUM(CT41:CT42)-$G$44,-Monthly!CV116,SUM(CT41:CT42)-$G$44))</f>
        <v>0</v>
      </c>
      <c r="CU44" s="347">
        <f>IF(Monthly!CW116&gt;=0,0,IF(-Monthly!CW116&lt;=SUM(CU41:CU42)-$G$44,-Monthly!CW116,SUM(CU41:CU42)-$G$44))</f>
        <v>0</v>
      </c>
      <c r="CV44" s="347">
        <f>IF(Monthly!CX116&gt;=0,0,IF(-Monthly!CX116&lt;=SUM(CV41:CV42)-$G$44,-Monthly!CX116,SUM(CV41:CV42)-$G$44))</f>
        <v>-50000</v>
      </c>
      <c r="CW44" s="347">
        <f>IF(Monthly!CY116&gt;=0,0,IF(-Monthly!CY116&lt;=SUM(CW41:CW42)-$G$44,-Monthly!CY116,SUM(CW41:CW42)-$G$44))</f>
        <v>0</v>
      </c>
      <c r="CX44" s="347">
        <f>IF(Monthly!CZ116&gt;=0,0,IF(-Monthly!CZ116&lt;=SUM(CX41:CX42)-$G$44,-Monthly!CZ116,SUM(CX41:CX42)-$G$44))</f>
        <v>0</v>
      </c>
      <c r="CY44" s="347">
        <f>IF(Monthly!DA116&gt;=0,0,IF(-Monthly!DA116&lt;=SUM(CY41:CY42)-$G$44,-Monthly!DA116,SUM(CY41:CY42)-$G$44))</f>
        <v>0</v>
      </c>
      <c r="CZ44" s="347">
        <f>IF(Monthly!DB116&gt;=0,0,IF(-Monthly!DB116&lt;=SUM(CZ41:CZ42)-$G$44,-Monthly!DB116,SUM(CZ41:CZ42)-$G$44))</f>
        <v>0</v>
      </c>
      <c r="DA44" s="347">
        <f>IF(Monthly!DC116&gt;=0,0,IF(-Monthly!DC116&lt;=SUM(DA41:DA42)-$G$44,-Monthly!DC116,SUM(DA41:DA42)-$G$44))</f>
        <v>0</v>
      </c>
      <c r="DB44" s="347">
        <f>IF(Monthly!DD116&gt;=0,0,IF(-Monthly!DD116&lt;=SUM(DB41:DB42)-$G$44,-Monthly!DD116,SUM(DB41:DB42)-$G$44))</f>
        <v>0</v>
      </c>
      <c r="DC44" s="347">
        <f>IF(Monthly!DE116&gt;=0,0,IF(-Monthly!DE116&lt;=SUM(DC41:DC42)-$G$44,-Monthly!DE116,SUM(DC41:DC42)-$G$44))</f>
        <v>0</v>
      </c>
      <c r="DD44" s="347">
        <f>IF(Monthly!DF116&gt;=0,0,IF(-Monthly!DF116&lt;=SUM(DD41:DD42)-$G$44,-Monthly!DF116,SUM(DD41:DD42)-$G$44))</f>
        <v>0</v>
      </c>
      <c r="DE44" s="347">
        <f>IF(Monthly!DG116&gt;=0,0,IF(-Monthly!DG116&lt;=SUM(DE41:DE42)-$G$44,-Monthly!DG116,SUM(DE41:DE42)-$G$44))</f>
        <v>0</v>
      </c>
      <c r="DF44" s="347">
        <f>IF(Monthly!DH116&gt;=0,0,IF(-Monthly!DH116&lt;=SUM(DF41:DF42)-$G$44,-Monthly!DH116,SUM(DF41:DF42)-$G$44))</f>
        <v>0</v>
      </c>
      <c r="DG44" s="347">
        <f>IF(Monthly!DI116&gt;=0,0,IF(-Monthly!DI116&lt;=SUM(DG41:DG42)-$G$44,-Monthly!DI116,SUM(DG41:DG42)-$G$44))</f>
        <v>0</v>
      </c>
      <c r="DH44" s="347">
        <f>IF(Monthly!DJ116&gt;=0,0,IF(-Monthly!DJ116&lt;=SUM(DH41:DH42)-$G$44,-Monthly!DJ116,SUM(DH41:DH42)-$G$44))</f>
        <v>-60000</v>
      </c>
      <c r="DI44" s="347">
        <f>IF(Monthly!DK116&gt;=0,0,IF(-Monthly!DK116&lt;=SUM(DI41:DI42)-$G$44,-Monthly!DK116,SUM(DI41:DI42)-$G$44))</f>
        <v>0</v>
      </c>
      <c r="DJ44" s="347">
        <f>IF(Monthly!DL116&gt;=0,0,IF(-Monthly!DL116&lt;=SUM(DJ41:DJ42)-$G$44,-Monthly!DL116,SUM(DJ41:DJ42)-$G$44))</f>
        <v>0</v>
      </c>
      <c r="DK44" s="347">
        <f>IF(Monthly!DM116&gt;=0,0,IF(-Monthly!DM116&lt;=SUM(DK41:DK42)-$G$44,-Monthly!DM116,SUM(DK41:DK42)-$G$44))</f>
        <v>0</v>
      </c>
      <c r="DL44" s="347">
        <f>IF(Monthly!DN116&gt;=0,0,IF(-Monthly!DN116&lt;=SUM(DL41:DL42)-$G$44,-Monthly!DN116,SUM(DL41:DL42)-$G$44))</f>
        <v>0</v>
      </c>
      <c r="DM44" s="345"/>
      <c r="DN44" s="407"/>
      <c r="DO44" s="330"/>
    </row>
    <row r="45" spans="2:119" x14ac:dyDescent="0.3">
      <c r="B45" s="416"/>
      <c r="C45" s="409"/>
      <c r="D45" s="384" t="s">
        <v>324</v>
      </c>
      <c r="E45" s="342"/>
      <c r="F45" s="342"/>
      <c r="G45" s="342"/>
      <c r="H45" s="342"/>
      <c r="I45" s="347">
        <f>I41+I42+I43-I44</f>
        <v>932633.16666666674</v>
      </c>
      <c r="J45" s="347">
        <f t="shared" ref="J45:AI45" si="374">J41+J42+J43-J44</f>
        <v>666358.33333333349</v>
      </c>
      <c r="K45" s="347">
        <f t="shared" si="374"/>
        <v>453726.00000000012</v>
      </c>
      <c r="L45" s="347">
        <f t="shared" si="374"/>
        <v>172906.4166666668</v>
      </c>
      <c r="M45" s="347">
        <f t="shared" si="374"/>
        <v>0</v>
      </c>
      <c r="N45" s="347">
        <f t="shared" si="374"/>
        <v>0</v>
      </c>
      <c r="O45" s="347">
        <f t="shared" si="374"/>
        <v>0</v>
      </c>
      <c r="P45" s="347">
        <f t="shared" si="374"/>
        <v>0</v>
      </c>
      <c r="Q45" s="347">
        <f t="shared" si="374"/>
        <v>0</v>
      </c>
      <c r="R45" s="347">
        <f t="shared" si="374"/>
        <v>0</v>
      </c>
      <c r="S45" s="347">
        <f t="shared" si="374"/>
        <v>0</v>
      </c>
      <c r="T45" s="567">
        <f t="shared" si="374"/>
        <v>0</v>
      </c>
      <c r="U45" s="347">
        <f t="shared" si="374"/>
        <v>0</v>
      </c>
      <c r="V45" s="347">
        <f t="shared" si="374"/>
        <v>0</v>
      </c>
      <c r="W45" s="347">
        <f t="shared" si="374"/>
        <v>0</v>
      </c>
      <c r="X45" s="347">
        <f t="shared" si="374"/>
        <v>0</v>
      </c>
      <c r="Y45" s="347">
        <f t="shared" si="374"/>
        <v>0</v>
      </c>
      <c r="Z45" s="347">
        <f t="shared" si="374"/>
        <v>0</v>
      </c>
      <c r="AA45" s="347">
        <f t="shared" si="374"/>
        <v>0</v>
      </c>
      <c r="AB45" s="347">
        <f t="shared" si="374"/>
        <v>0</v>
      </c>
      <c r="AC45" s="347">
        <f t="shared" si="374"/>
        <v>0</v>
      </c>
      <c r="AD45" s="347">
        <f t="shared" si="374"/>
        <v>0</v>
      </c>
      <c r="AE45" s="347">
        <f t="shared" si="374"/>
        <v>0</v>
      </c>
      <c r="AF45" s="567">
        <f t="shared" si="374"/>
        <v>0</v>
      </c>
      <c r="AG45" s="347">
        <f t="shared" si="374"/>
        <v>0</v>
      </c>
      <c r="AH45" s="347">
        <f t="shared" si="374"/>
        <v>0</v>
      </c>
      <c r="AI45" s="347">
        <f t="shared" si="374"/>
        <v>0</v>
      </c>
      <c r="AJ45" s="347">
        <f t="shared" ref="AJ45:BD45" si="375">AJ41+AJ42+AJ43-AJ44</f>
        <v>0</v>
      </c>
      <c r="AK45" s="347">
        <f t="shared" si="375"/>
        <v>0</v>
      </c>
      <c r="AL45" s="347">
        <f t="shared" si="375"/>
        <v>0</v>
      </c>
      <c r="AM45" s="347">
        <f t="shared" si="375"/>
        <v>0</v>
      </c>
      <c r="AN45" s="347">
        <f t="shared" si="375"/>
        <v>0</v>
      </c>
      <c r="AO45" s="347">
        <f t="shared" si="375"/>
        <v>0</v>
      </c>
      <c r="AP45" s="347">
        <f t="shared" si="375"/>
        <v>0</v>
      </c>
      <c r="AQ45" s="347">
        <f t="shared" si="375"/>
        <v>0</v>
      </c>
      <c r="AR45" s="567">
        <f t="shared" si="375"/>
        <v>0</v>
      </c>
      <c r="AS45" s="347">
        <f t="shared" si="375"/>
        <v>0</v>
      </c>
      <c r="AT45" s="347">
        <f t="shared" si="375"/>
        <v>0</v>
      </c>
      <c r="AU45" s="347">
        <f t="shared" si="375"/>
        <v>0</v>
      </c>
      <c r="AV45" s="347">
        <f t="shared" si="375"/>
        <v>0</v>
      </c>
      <c r="AW45" s="347">
        <f t="shared" si="375"/>
        <v>0</v>
      </c>
      <c r="AX45" s="347">
        <f t="shared" si="375"/>
        <v>0</v>
      </c>
      <c r="AY45" s="347">
        <f t="shared" si="375"/>
        <v>0</v>
      </c>
      <c r="AZ45" s="347">
        <f t="shared" si="375"/>
        <v>0</v>
      </c>
      <c r="BA45" s="347">
        <f t="shared" si="375"/>
        <v>0</v>
      </c>
      <c r="BB45" s="347">
        <f t="shared" si="375"/>
        <v>0</v>
      </c>
      <c r="BC45" s="347">
        <f t="shared" si="375"/>
        <v>0</v>
      </c>
      <c r="BD45" s="567">
        <f t="shared" si="375"/>
        <v>0</v>
      </c>
      <c r="BE45" s="347">
        <f t="shared" ref="BE45:CB45" si="376">BE41+BE42+BE43-BE44</f>
        <v>0</v>
      </c>
      <c r="BF45" s="347">
        <f t="shared" si="376"/>
        <v>0</v>
      </c>
      <c r="BG45" s="347">
        <f t="shared" si="376"/>
        <v>0</v>
      </c>
      <c r="BH45" s="347">
        <f t="shared" si="376"/>
        <v>0</v>
      </c>
      <c r="BI45" s="347">
        <f t="shared" si="376"/>
        <v>0</v>
      </c>
      <c r="BJ45" s="347">
        <f t="shared" si="376"/>
        <v>0</v>
      </c>
      <c r="BK45" s="347">
        <f t="shared" si="376"/>
        <v>0</v>
      </c>
      <c r="BL45" s="347">
        <f t="shared" si="376"/>
        <v>0</v>
      </c>
      <c r="BM45" s="347">
        <f t="shared" si="376"/>
        <v>0</v>
      </c>
      <c r="BN45" s="347">
        <f t="shared" si="376"/>
        <v>0</v>
      </c>
      <c r="BO45" s="347">
        <f t="shared" si="376"/>
        <v>0</v>
      </c>
      <c r="BP45" s="567">
        <f t="shared" si="376"/>
        <v>-20000</v>
      </c>
      <c r="BQ45" s="347">
        <f t="shared" si="376"/>
        <v>-20000</v>
      </c>
      <c r="BR45" s="347">
        <f t="shared" si="376"/>
        <v>-20000</v>
      </c>
      <c r="BS45" s="347">
        <f t="shared" si="376"/>
        <v>-20000</v>
      </c>
      <c r="BT45" s="347">
        <f t="shared" si="376"/>
        <v>-20000</v>
      </c>
      <c r="BU45" s="347">
        <f t="shared" si="376"/>
        <v>-20000</v>
      </c>
      <c r="BV45" s="347">
        <f t="shared" si="376"/>
        <v>-20000</v>
      </c>
      <c r="BW45" s="347">
        <f t="shared" si="376"/>
        <v>-20000</v>
      </c>
      <c r="BX45" s="347">
        <f t="shared" si="376"/>
        <v>0</v>
      </c>
      <c r="BY45" s="347">
        <f t="shared" si="376"/>
        <v>0</v>
      </c>
      <c r="BZ45" s="347">
        <f t="shared" si="376"/>
        <v>0</v>
      </c>
      <c r="CA45" s="347">
        <f t="shared" si="376"/>
        <v>0</v>
      </c>
      <c r="CB45" s="567">
        <f t="shared" si="376"/>
        <v>-30000</v>
      </c>
      <c r="CC45" s="347">
        <f t="shared" ref="CC45:CZ45" si="377">CC41+CC42+CC43-CC44</f>
        <v>-30000</v>
      </c>
      <c r="CD45" s="347">
        <f t="shared" si="377"/>
        <v>-30000</v>
      </c>
      <c r="CE45" s="347">
        <f t="shared" si="377"/>
        <v>-30000</v>
      </c>
      <c r="CF45" s="347">
        <f t="shared" si="377"/>
        <v>-30000</v>
      </c>
      <c r="CG45" s="347">
        <f t="shared" si="377"/>
        <v>-30000</v>
      </c>
      <c r="CH45" s="347">
        <f t="shared" si="377"/>
        <v>-30000</v>
      </c>
      <c r="CI45" s="347">
        <f t="shared" si="377"/>
        <v>-30000</v>
      </c>
      <c r="CJ45" s="347">
        <f t="shared" si="377"/>
        <v>0</v>
      </c>
      <c r="CK45" s="347">
        <f t="shared" si="377"/>
        <v>0</v>
      </c>
      <c r="CL45" s="347">
        <f t="shared" si="377"/>
        <v>0</v>
      </c>
      <c r="CM45" s="347">
        <f t="shared" si="377"/>
        <v>0</v>
      </c>
      <c r="CN45" s="567">
        <f t="shared" si="377"/>
        <v>-50000</v>
      </c>
      <c r="CO45" s="347">
        <f t="shared" si="377"/>
        <v>-50000</v>
      </c>
      <c r="CP45" s="347">
        <f t="shared" si="377"/>
        <v>-50000</v>
      </c>
      <c r="CQ45" s="347">
        <f t="shared" si="377"/>
        <v>-50000</v>
      </c>
      <c r="CR45" s="347">
        <f t="shared" si="377"/>
        <v>-50000</v>
      </c>
      <c r="CS45" s="347">
        <f t="shared" si="377"/>
        <v>-50000</v>
      </c>
      <c r="CT45" s="347">
        <f t="shared" si="377"/>
        <v>-50000</v>
      </c>
      <c r="CU45" s="347">
        <f t="shared" si="377"/>
        <v>-50000</v>
      </c>
      <c r="CV45" s="347">
        <f t="shared" si="377"/>
        <v>0</v>
      </c>
      <c r="CW45" s="347">
        <f t="shared" si="377"/>
        <v>0</v>
      </c>
      <c r="CX45" s="347">
        <f t="shared" si="377"/>
        <v>0</v>
      </c>
      <c r="CY45" s="347">
        <f t="shared" si="377"/>
        <v>0</v>
      </c>
      <c r="CZ45" s="567">
        <f t="shared" si="377"/>
        <v>-60000</v>
      </c>
      <c r="DA45" s="347">
        <f t="shared" ref="DA45:DL45" si="378">DA41+DA42+DA43-DA44</f>
        <v>-60000</v>
      </c>
      <c r="DB45" s="347">
        <f t="shared" si="378"/>
        <v>-60000</v>
      </c>
      <c r="DC45" s="347">
        <f t="shared" si="378"/>
        <v>-60000</v>
      </c>
      <c r="DD45" s="347">
        <f t="shared" si="378"/>
        <v>-60000</v>
      </c>
      <c r="DE45" s="347">
        <f t="shared" si="378"/>
        <v>-60000</v>
      </c>
      <c r="DF45" s="347">
        <f t="shared" si="378"/>
        <v>-60000</v>
      </c>
      <c r="DG45" s="347">
        <f t="shared" si="378"/>
        <v>-60000</v>
      </c>
      <c r="DH45" s="347">
        <f t="shared" si="378"/>
        <v>0</v>
      </c>
      <c r="DI45" s="347">
        <f t="shared" si="378"/>
        <v>0</v>
      </c>
      <c r="DJ45" s="347">
        <f t="shared" si="378"/>
        <v>0</v>
      </c>
      <c r="DK45" s="347">
        <f t="shared" si="378"/>
        <v>0</v>
      </c>
      <c r="DL45" s="347">
        <f t="shared" si="378"/>
        <v>0</v>
      </c>
      <c r="DM45" s="347"/>
      <c r="DN45" s="410"/>
      <c r="DO45" s="330"/>
    </row>
    <row r="46" spans="2:119" ht="14.4" thickBot="1" x14ac:dyDescent="0.35">
      <c r="B46" s="417"/>
      <c r="C46" s="325"/>
      <c r="D46" s="325"/>
      <c r="E46" s="327"/>
      <c r="F46" s="327"/>
      <c r="G46" s="327"/>
      <c r="H46" s="327"/>
      <c r="I46" s="327"/>
      <c r="J46" s="327"/>
      <c r="K46" s="327"/>
      <c r="L46" s="327"/>
      <c r="M46" s="327"/>
      <c r="N46" s="327"/>
      <c r="O46" s="327"/>
      <c r="P46" s="327"/>
      <c r="Q46" s="327"/>
      <c r="R46" s="327"/>
      <c r="S46" s="327"/>
      <c r="T46" s="895"/>
      <c r="U46" s="327"/>
      <c r="V46" s="327"/>
      <c r="W46" s="327"/>
      <c r="X46" s="327"/>
      <c r="Y46" s="327"/>
      <c r="Z46" s="327"/>
      <c r="AA46" s="327"/>
      <c r="AB46" s="327"/>
      <c r="AC46" s="327"/>
      <c r="AD46" s="327"/>
      <c r="AE46" s="327"/>
      <c r="AF46" s="895"/>
      <c r="AG46" s="327"/>
      <c r="AH46" s="327"/>
      <c r="AI46" s="327"/>
      <c r="AJ46" s="327"/>
      <c r="AK46" s="327"/>
      <c r="AL46" s="327"/>
      <c r="AM46" s="327"/>
      <c r="AN46" s="327"/>
      <c r="AO46" s="327"/>
      <c r="AP46" s="327"/>
      <c r="AQ46" s="327"/>
      <c r="AR46" s="895"/>
      <c r="AS46" s="327"/>
      <c r="AT46" s="327"/>
      <c r="AU46" s="327"/>
      <c r="AV46" s="327"/>
      <c r="AW46" s="327"/>
      <c r="AX46" s="327"/>
      <c r="AY46" s="327"/>
      <c r="AZ46" s="327"/>
      <c r="BA46" s="327"/>
      <c r="BB46" s="327"/>
      <c r="BC46" s="327"/>
      <c r="BD46" s="895"/>
      <c r="BE46" s="327"/>
      <c r="BF46" s="327"/>
      <c r="BG46" s="327"/>
      <c r="BH46" s="327"/>
      <c r="BI46" s="327"/>
      <c r="BJ46" s="327"/>
      <c r="BK46" s="327"/>
      <c r="BL46" s="327"/>
      <c r="BM46" s="327"/>
      <c r="BN46" s="327"/>
      <c r="BO46" s="327"/>
      <c r="BP46" s="895"/>
      <c r="BQ46" s="327"/>
      <c r="BR46" s="327"/>
      <c r="BS46" s="327"/>
      <c r="BT46" s="327"/>
      <c r="BU46" s="327"/>
      <c r="BV46" s="327"/>
      <c r="BW46" s="327"/>
      <c r="BX46" s="327"/>
      <c r="BY46" s="327"/>
      <c r="BZ46" s="327"/>
      <c r="CA46" s="327"/>
      <c r="CB46" s="895"/>
      <c r="CC46" s="327"/>
      <c r="CD46" s="327"/>
      <c r="CE46" s="327"/>
      <c r="CF46" s="327"/>
      <c r="CG46" s="327"/>
      <c r="CH46" s="327"/>
      <c r="CI46" s="327"/>
      <c r="CJ46" s="327"/>
      <c r="CK46" s="327"/>
      <c r="CL46" s="327"/>
      <c r="CM46" s="327"/>
      <c r="CN46" s="895"/>
      <c r="CO46" s="327"/>
      <c r="CP46" s="327"/>
      <c r="CQ46" s="327"/>
      <c r="CR46" s="327"/>
      <c r="CS46" s="327"/>
      <c r="CT46" s="327"/>
      <c r="CU46" s="327"/>
      <c r="CV46" s="327"/>
      <c r="CW46" s="327"/>
      <c r="CX46" s="327"/>
      <c r="CY46" s="327"/>
      <c r="CZ46" s="895"/>
      <c r="DA46" s="327"/>
      <c r="DB46" s="327"/>
      <c r="DC46" s="327"/>
      <c r="DD46" s="327"/>
      <c r="DE46" s="327"/>
      <c r="DF46" s="327"/>
      <c r="DG46" s="327"/>
      <c r="DH46" s="327"/>
      <c r="DI46" s="327"/>
      <c r="DJ46" s="327"/>
      <c r="DK46" s="327"/>
      <c r="DL46" s="327"/>
      <c r="DM46" s="327"/>
      <c r="DN46" s="327"/>
      <c r="DO46" s="333"/>
    </row>
    <row r="47" spans="2:119" x14ac:dyDescent="0.3">
      <c r="T47" s="561"/>
      <c r="AF47" s="561"/>
      <c r="AR47" s="561"/>
      <c r="BD47" s="561"/>
      <c r="BP47" s="561"/>
      <c r="CB47" s="561"/>
      <c r="CN47" s="561"/>
      <c r="CZ47" s="561"/>
    </row>
    <row r="48" spans="2:119" x14ac:dyDescent="0.3">
      <c r="T48" s="561"/>
      <c r="AF48" s="561"/>
      <c r="AR48" s="561"/>
      <c r="BD48" s="561"/>
      <c r="BP48" s="561"/>
      <c r="CB48" s="561"/>
      <c r="CN48" s="561"/>
      <c r="CZ48" s="561"/>
    </row>
    <row r="49" spans="2:119" ht="14.4" thickBot="1" x14ac:dyDescent="0.35">
      <c r="B49" s="375" t="s">
        <v>479</v>
      </c>
      <c r="T49" s="561"/>
      <c r="AF49" s="561"/>
      <c r="AR49" s="561"/>
      <c r="BD49" s="561"/>
      <c r="BP49" s="561"/>
      <c r="CB49" s="561"/>
      <c r="CN49" s="561"/>
      <c r="CZ49" s="561"/>
    </row>
    <row r="50" spans="2:119" x14ac:dyDescent="0.3">
      <c r="B50" s="412"/>
      <c r="C50" s="413"/>
      <c r="D50" s="413"/>
      <c r="E50" s="414"/>
      <c r="F50" s="414"/>
      <c r="G50" s="414"/>
      <c r="H50" s="414"/>
      <c r="I50" s="414"/>
      <c r="J50" s="414"/>
      <c r="K50" s="414"/>
      <c r="L50" s="414"/>
      <c r="M50" s="414"/>
      <c r="N50" s="414"/>
      <c r="O50" s="414"/>
      <c r="P50" s="414"/>
      <c r="Q50" s="414"/>
      <c r="R50" s="414"/>
      <c r="S50" s="414"/>
      <c r="T50" s="913"/>
      <c r="U50" s="414"/>
      <c r="V50" s="414"/>
      <c r="W50" s="414"/>
      <c r="X50" s="414"/>
      <c r="Y50" s="414"/>
      <c r="Z50" s="414"/>
      <c r="AA50" s="414"/>
      <c r="AB50" s="414"/>
      <c r="AC50" s="414"/>
      <c r="AD50" s="414"/>
      <c r="AE50" s="414"/>
      <c r="AF50" s="913"/>
      <c r="AG50" s="414"/>
      <c r="AH50" s="414"/>
      <c r="AI50" s="414"/>
      <c r="AJ50" s="414"/>
      <c r="AK50" s="414"/>
      <c r="AL50" s="414"/>
      <c r="AM50" s="414"/>
      <c r="AN50" s="414"/>
      <c r="AO50" s="414"/>
      <c r="AP50" s="414"/>
      <c r="AQ50" s="414"/>
      <c r="AR50" s="913"/>
      <c r="AS50" s="414"/>
      <c r="AT50" s="414"/>
      <c r="AU50" s="414"/>
      <c r="AV50" s="414"/>
      <c r="AW50" s="414"/>
      <c r="AX50" s="414"/>
      <c r="AY50" s="414"/>
      <c r="AZ50" s="414"/>
      <c r="BA50" s="414"/>
      <c r="BB50" s="414"/>
      <c r="BC50" s="414"/>
      <c r="BD50" s="913"/>
      <c r="BE50" s="414"/>
      <c r="BF50" s="414"/>
      <c r="BG50" s="414"/>
      <c r="BH50" s="414"/>
      <c r="BI50" s="414"/>
      <c r="BJ50" s="414"/>
      <c r="BK50" s="414"/>
      <c r="BL50" s="414"/>
      <c r="BM50" s="414"/>
      <c r="BN50" s="414"/>
      <c r="BO50" s="414"/>
      <c r="BP50" s="913"/>
      <c r="BQ50" s="414"/>
      <c r="BR50" s="414"/>
      <c r="BS50" s="414"/>
      <c r="BT50" s="414"/>
      <c r="BU50" s="414"/>
      <c r="BV50" s="414"/>
      <c r="BW50" s="414"/>
      <c r="BX50" s="414"/>
      <c r="BY50" s="414"/>
      <c r="BZ50" s="414"/>
      <c r="CA50" s="414"/>
      <c r="CB50" s="913"/>
      <c r="CC50" s="414"/>
      <c r="CD50" s="414"/>
      <c r="CE50" s="414"/>
      <c r="CF50" s="414"/>
      <c r="CG50" s="414"/>
      <c r="CH50" s="414"/>
      <c r="CI50" s="414"/>
      <c r="CJ50" s="414"/>
      <c r="CK50" s="414"/>
      <c r="CL50" s="414"/>
      <c r="CM50" s="414"/>
      <c r="CN50" s="913"/>
      <c r="CO50" s="414"/>
      <c r="CP50" s="414"/>
      <c r="CQ50" s="414"/>
      <c r="CR50" s="414"/>
      <c r="CS50" s="414"/>
      <c r="CT50" s="414"/>
      <c r="CU50" s="414"/>
      <c r="CV50" s="414"/>
      <c r="CW50" s="414"/>
      <c r="CX50" s="414"/>
      <c r="CY50" s="414"/>
      <c r="CZ50" s="913"/>
      <c r="DA50" s="414"/>
      <c r="DB50" s="414"/>
      <c r="DC50" s="414"/>
      <c r="DD50" s="414"/>
      <c r="DE50" s="414"/>
      <c r="DF50" s="414"/>
      <c r="DG50" s="414"/>
      <c r="DH50" s="414"/>
      <c r="DI50" s="414"/>
      <c r="DJ50" s="414"/>
      <c r="DK50" s="414"/>
      <c r="DL50" s="414"/>
      <c r="DM50" s="414"/>
      <c r="DN50" s="414"/>
      <c r="DO50" s="415"/>
    </row>
    <row r="51" spans="2:119" x14ac:dyDescent="0.3">
      <c r="B51" s="416"/>
      <c r="D51" s="375" t="s">
        <v>250</v>
      </c>
      <c r="I51" s="345">
        <f>(1+'Table 3.0'!$G$133)*(SUM(Monthly!K97:K98)+Monthly!K101)</f>
        <v>208496.25</v>
      </c>
      <c r="J51" s="345">
        <f>(1+'Table 3.0'!$G$133)*(SUM(Monthly!L97:L98)+Monthly!L101)</f>
        <v>193037.75</v>
      </c>
      <c r="K51" s="345">
        <f>(1+'Table 3.0'!$G$133)*(SUM(Monthly!M97:M98)+Monthly!M101)</f>
        <v>179546.5</v>
      </c>
      <c r="L51" s="345">
        <f>(1+'Table 3.0'!$G$133)*(SUM(Monthly!N97:N98)+Monthly!N101)</f>
        <v>247733.75</v>
      </c>
      <c r="M51" s="345">
        <f>(1+'Table 3.0'!$G$133)*(SUM(Monthly!O97:O98)+Monthly!O101)</f>
        <v>198434.25</v>
      </c>
      <c r="N51" s="345">
        <f>(1+'Table 3.0'!$G$133)*(SUM(Monthly!P97:P98)+Monthly!P101)</f>
        <v>315921</v>
      </c>
      <c r="O51" s="345">
        <f>(1+'Table 3.0'!$G$133)*(SUM(Monthly!Q97:Q98)+Monthly!Q101)</f>
        <v>261225</v>
      </c>
      <c r="P51" s="345">
        <f>(1+'Table 3.0'!$G$133)*(SUM(Monthly!R97:R98)+Monthly!R101)</f>
        <v>242337.25</v>
      </c>
      <c r="Q51" s="345">
        <f>(1+'Table 3.0'!$G$133)*(SUM(Monthly!S97:S98)+Monthly!S101)</f>
        <v>48568.5</v>
      </c>
      <c r="R51" s="345">
        <f>(1+'Table 3.0'!$G$133)*(SUM(Monthly!T97:T98)+Monthly!T101)</f>
        <v>37775.5</v>
      </c>
      <c r="S51" s="345">
        <f>(1+'Table 3.0'!$G$133)*(SUM(Monthly!U97:U98)+Monthly!U101)</f>
        <v>107113</v>
      </c>
      <c r="T51" s="345">
        <f>(1+'Table 3.0'!$G$133)*(SUM(Monthly!V97:V98)+Monthly!V101)</f>
        <v>109811.25</v>
      </c>
      <c r="U51" s="345">
        <f>(1+'Table 3.0'!$G$133)*(SUM(Monthly!W97:W98)+Monthly!W101)</f>
        <v>0</v>
      </c>
      <c r="V51" s="345">
        <f>(1+'Table 3.0'!$G$133)*(SUM(Monthly!X97:X98)+Monthly!X101)</f>
        <v>0</v>
      </c>
      <c r="W51" s="345">
        <f>(1+'Table 3.0'!$G$133)*(SUM(Monthly!Y97:Y98)+Monthly!Y101)</f>
        <v>0</v>
      </c>
      <c r="X51" s="345">
        <f>(1+'Table 3.0'!$G$133)*(SUM(Monthly!Z97:Z98)+Monthly!Z101)</f>
        <v>0</v>
      </c>
      <c r="Y51" s="345">
        <f>(1+'Table 3.0'!$G$133)*(SUM(Monthly!AA97:AA98)+Monthly!AA101)</f>
        <v>0</v>
      </c>
      <c r="Z51" s="345">
        <f>(1+'Table 3.0'!$G$133)*(SUM(Monthly!AB97:AB98)+Monthly!AB101)</f>
        <v>0</v>
      </c>
      <c r="AA51" s="345">
        <f>(1+'Table 3.0'!$G$133)*(SUM(Monthly!AC97:AC98)+Monthly!AC101)</f>
        <v>0</v>
      </c>
      <c r="AB51" s="345">
        <f>(1+'Table 3.0'!$G$133)*(SUM(Monthly!AD97:AD98)+Monthly!AD101)</f>
        <v>0</v>
      </c>
      <c r="AC51" s="345">
        <f>(1+'Table 3.0'!$G$133)*(SUM(Monthly!AE97:AE98)+Monthly!AE101)</f>
        <v>0</v>
      </c>
      <c r="AD51" s="345">
        <f>(1+'Table 3.0'!$G$133)*(SUM(Monthly!AF97:AF98)+Monthly!AF101)</f>
        <v>0</v>
      </c>
      <c r="AE51" s="345">
        <f>(1+'Table 3.0'!$G$133)*(SUM(Monthly!AG97:AG98)+Monthly!AG101)</f>
        <v>0</v>
      </c>
      <c r="AF51" s="345">
        <f>(1+'Table 3.0'!$G$133)*(SUM(Monthly!AH97:AH98)+Monthly!AH101)</f>
        <v>0</v>
      </c>
      <c r="AG51" s="345">
        <f>(1+'Table 3.0'!$G$133)*(SUM(Monthly!AI97:AI98)+Monthly!AI101)</f>
        <v>0</v>
      </c>
      <c r="AH51" s="345">
        <f>(1+'Table 3.0'!$G$133)*(SUM(Monthly!AJ97:AJ98)+Monthly!AJ101)</f>
        <v>0</v>
      </c>
      <c r="AI51" s="345">
        <f>(1+'Table 3.0'!$G$133)*(SUM(Monthly!AK97:AK98)+Monthly!AK101)</f>
        <v>0</v>
      </c>
      <c r="AJ51" s="345">
        <f>(1+'Table 3.0'!$G$133)*(SUM(Monthly!AL97:AL98)+Monthly!AL101)</f>
        <v>0</v>
      </c>
      <c r="AK51" s="345">
        <f>(1+'Table 3.0'!$G$133)*(SUM(Monthly!AM97:AM98)+Monthly!AM101)</f>
        <v>0</v>
      </c>
      <c r="AL51" s="345">
        <f>(1+'Table 3.0'!$G$133)*(SUM(Monthly!AN97:AN98)+Monthly!AN101)</f>
        <v>0</v>
      </c>
      <c r="AM51" s="345">
        <f>(1+'Table 3.0'!$G$133)*(SUM(Monthly!AO97:AO98)+Monthly!AO101)</f>
        <v>0</v>
      </c>
      <c r="AN51" s="345">
        <f>(1+'Table 3.0'!$G$133)*(SUM(Monthly!AP97:AP98)+Monthly!AP101)</f>
        <v>0</v>
      </c>
      <c r="AO51" s="345">
        <f>(1+'Table 3.0'!$G$133)*(SUM(Monthly!AQ97:AQ98)+Monthly!AQ101)</f>
        <v>0</v>
      </c>
      <c r="AP51" s="345">
        <f>(1+'Table 3.0'!$G$133)*(SUM(Monthly!AR97:AR98)+Monthly!AR101)</f>
        <v>0</v>
      </c>
      <c r="AQ51" s="345">
        <f>(1+'Table 3.0'!$G$133)*(SUM(Monthly!AS97:AS98)+Monthly!AS101)</f>
        <v>0</v>
      </c>
      <c r="AR51" s="345">
        <f>(1+'Table 3.0'!$G$133)*(SUM(Monthly!AT97:AT98)+Monthly!AT101)</f>
        <v>0</v>
      </c>
      <c r="AS51" s="345">
        <f>(1+'Table 3.0'!$G$133)*(SUM(Monthly!AU97:AU98)+Monthly!AU101)</f>
        <v>0</v>
      </c>
      <c r="AT51" s="345">
        <f>(1+'Table 3.0'!$G$133)*(SUM(Monthly!AV97:AV98)+Monthly!AV101)</f>
        <v>0</v>
      </c>
      <c r="AU51" s="345">
        <f>(1+'Table 3.0'!$G$133)*(SUM(Monthly!AW97:AW98)+Monthly!AW101)</f>
        <v>0</v>
      </c>
      <c r="AV51" s="345">
        <f>(1+'Table 3.0'!$G$133)*(SUM(Monthly!AX97:AX98)+Monthly!AX101)</f>
        <v>0</v>
      </c>
      <c r="AW51" s="345">
        <f>(1+'Table 3.0'!$G$133)*(SUM(Monthly!AY97:AY98)+Monthly!AY101)</f>
        <v>0</v>
      </c>
      <c r="AX51" s="345">
        <f>(1+'Table 3.0'!$G$133)*(SUM(Monthly!AZ97:AZ98)+Monthly!AZ101)</f>
        <v>0</v>
      </c>
      <c r="AY51" s="345">
        <f>(1+'Table 3.0'!$G$133)*(SUM(Monthly!BA97:BA98)+Monthly!BA101)</f>
        <v>0</v>
      </c>
      <c r="AZ51" s="345">
        <f>(1+'Table 3.0'!$G$133)*(SUM(Monthly!BB97:BB98)+Monthly!BB101)</f>
        <v>0</v>
      </c>
      <c r="BA51" s="345">
        <f>(1+'Table 3.0'!$G$133)*(SUM(Monthly!BC97:BC98)+Monthly!BC101)</f>
        <v>0</v>
      </c>
      <c r="BB51" s="345">
        <f>(1+'Table 3.0'!$G$133)*(SUM(Monthly!BD97:BD98)+Monthly!BD101)</f>
        <v>0</v>
      </c>
      <c r="BC51" s="345">
        <f>(1+'Table 3.0'!$G$133)*(SUM(Monthly!BE97:BE98)+Monthly!BE101)</f>
        <v>0</v>
      </c>
      <c r="BD51" s="345">
        <f>(1+'Table 3.0'!$G$133)*(SUM(Monthly!BF97:BF98)+Monthly!BF101)</f>
        <v>0</v>
      </c>
      <c r="BE51" s="345">
        <f>(1+'Table 3.0'!$G$133)*(SUM(Monthly!BG97:BG98)+Monthly!BG101)</f>
        <v>0</v>
      </c>
      <c r="BF51" s="345">
        <f>(1+'Table 3.0'!$G$133)*(SUM(Monthly!BH97:BH98)+Monthly!BH101)</f>
        <v>0</v>
      </c>
      <c r="BG51" s="345">
        <f>(1+'Table 3.0'!$G$133)*(SUM(Monthly!BI97:BI98)+Monthly!BI101)</f>
        <v>0</v>
      </c>
      <c r="BH51" s="345">
        <f>(1+'Table 3.0'!$G$133)*(SUM(Monthly!BJ97:BJ98)+Monthly!BJ101)</f>
        <v>0</v>
      </c>
      <c r="BI51" s="345">
        <f>(1+'Table 3.0'!$G$133)*(SUM(Monthly!BK97:BK98)+Monthly!BK101)</f>
        <v>0</v>
      </c>
      <c r="BJ51" s="345">
        <f>(1+'Table 3.0'!$G$133)*(SUM(Monthly!BL97:BL98)+Monthly!BL101)</f>
        <v>0</v>
      </c>
      <c r="BK51" s="345">
        <f>(1+'Table 3.0'!$G$133)*(SUM(Monthly!BM97:BM98)+Monthly!BM101)</f>
        <v>0</v>
      </c>
      <c r="BL51" s="345">
        <f>(1+'Table 3.0'!$G$133)*(SUM(Monthly!BN97:BN98)+Monthly!BN101)</f>
        <v>0</v>
      </c>
      <c r="BM51" s="345">
        <f>(1+'Table 3.0'!$G$133)*(SUM(Monthly!BO97:BO98)+Monthly!BO101)</f>
        <v>0</v>
      </c>
      <c r="BN51" s="345">
        <f>(1+'Table 3.0'!$G$133)*(SUM(Monthly!BP97:BP98)+Monthly!BP101)</f>
        <v>0</v>
      </c>
      <c r="BO51" s="345">
        <f>(1+'Table 3.0'!$G$133)*(SUM(Monthly!BQ97:BQ98)+Monthly!BQ101)</f>
        <v>0</v>
      </c>
      <c r="BP51" s="345">
        <f>(1+'Table 3.0'!$G$133)*(SUM(Monthly!BR97:BR98)+Monthly!BR101)</f>
        <v>0</v>
      </c>
      <c r="BQ51" s="345">
        <f>(1+'Table 3.0'!$G$133)*(SUM(Monthly!BS97:BS98)+Monthly!BS101)</f>
        <v>0</v>
      </c>
      <c r="BR51" s="345">
        <f>(1+'Table 3.0'!$G$133)*(SUM(Monthly!BT97:BT98)+Monthly!BT101)</f>
        <v>0</v>
      </c>
      <c r="BS51" s="345">
        <f>(1+'Table 3.0'!$G$133)*(SUM(Monthly!BU97:BU98)+Monthly!BU101)</f>
        <v>0</v>
      </c>
      <c r="BT51" s="345">
        <f>(1+'Table 3.0'!$G$133)*(SUM(Monthly!BV97:BV98)+Monthly!BV101)</f>
        <v>0</v>
      </c>
      <c r="BU51" s="345">
        <f>(1+'Table 3.0'!$G$133)*(SUM(Monthly!BW97:BW98)+Monthly!BW101)</f>
        <v>0</v>
      </c>
      <c r="BV51" s="345">
        <f>(1+'Table 3.0'!$G$133)*(SUM(Monthly!BX97:BX98)+Monthly!BX101)</f>
        <v>0</v>
      </c>
      <c r="BW51" s="345">
        <f>(1+'Table 3.0'!$G$133)*(SUM(Monthly!BY97:BY98)+Monthly!BY101)</f>
        <v>0</v>
      </c>
      <c r="BX51" s="345">
        <f>(1+'Table 3.0'!$G$133)*(SUM(Monthly!BZ97:BZ98)+Monthly!BZ101)</f>
        <v>0</v>
      </c>
      <c r="BY51" s="345">
        <f>(1+'Table 3.0'!$G$133)*(SUM(Monthly!CA97:CA98)+Monthly!CA101)</f>
        <v>0</v>
      </c>
      <c r="BZ51" s="345">
        <f>(1+'Table 3.0'!$G$133)*(SUM(Monthly!CB97:CB98)+Monthly!CB101)</f>
        <v>0</v>
      </c>
      <c r="CA51" s="345">
        <f>(1+'Table 3.0'!$G$133)*(SUM(Monthly!CC97:CC98)+Monthly!CC101)</f>
        <v>0</v>
      </c>
      <c r="CB51" s="345">
        <f>(1+'Table 3.0'!$G$133)*(SUM(Monthly!CD97:CD98)+Monthly!CD101)</f>
        <v>0</v>
      </c>
      <c r="CC51" s="345">
        <f>(1+'Table 3.0'!$G$133)*(SUM(Monthly!CE97:CE98)+Monthly!CE101)</f>
        <v>0</v>
      </c>
      <c r="CD51" s="345">
        <f>(1+'Table 3.0'!$G$133)*(SUM(Monthly!CF97:CF98)+Monthly!CF101)</f>
        <v>0</v>
      </c>
      <c r="CE51" s="345">
        <f>(1+'Table 3.0'!$G$133)*(SUM(Monthly!CG97:CG98)+Monthly!CG101)</f>
        <v>0</v>
      </c>
      <c r="CF51" s="345">
        <f>(1+'Table 3.0'!$G$133)*(SUM(Monthly!CH97:CH98)+Monthly!CH101)</f>
        <v>0</v>
      </c>
      <c r="CG51" s="345">
        <f>(1+'Table 3.0'!$G$133)*(SUM(Monthly!CI97:CI98)+Monthly!CI101)</f>
        <v>0</v>
      </c>
      <c r="CH51" s="345">
        <f>(1+'Table 3.0'!$G$133)*(SUM(Monthly!CJ97:CJ98)+Monthly!CJ101)</f>
        <v>0</v>
      </c>
      <c r="CI51" s="345">
        <f>(1+'Table 3.0'!$G$133)*(SUM(Monthly!CK97:CK98)+Monthly!CK101)</f>
        <v>0</v>
      </c>
      <c r="CJ51" s="345">
        <f>(1+'Table 3.0'!$G$133)*(SUM(Monthly!CL97:CL98)+Monthly!CL101)</f>
        <v>0</v>
      </c>
      <c r="CK51" s="345">
        <f>(1+'Table 3.0'!$G$133)*(SUM(Monthly!CM97:CM98)+Monthly!CM101)</f>
        <v>0</v>
      </c>
      <c r="CL51" s="345">
        <f>(1+'Table 3.0'!$G$133)*(SUM(Monthly!CN97:CN98)+Monthly!CN101)</f>
        <v>0</v>
      </c>
      <c r="CM51" s="345">
        <f>(1+'Table 3.0'!$G$133)*(SUM(Monthly!CO97:CO98)+Monthly!CO101)</f>
        <v>0</v>
      </c>
      <c r="CN51" s="345">
        <f>(1+'Table 3.0'!$G$133)*(SUM(Monthly!CP97:CP98)+Monthly!CP101)</f>
        <v>0</v>
      </c>
      <c r="CO51" s="345">
        <f>(1+'Table 3.0'!$G$133)*(SUM(Monthly!CQ97:CQ98)+Monthly!CQ101)</f>
        <v>0</v>
      </c>
      <c r="CP51" s="345">
        <f>(1+'Table 3.0'!$G$133)*(SUM(Monthly!CR97:CR98)+Monthly!CR101)</f>
        <v>0</v>
      </c>
      <c r="CQ51" s="345">
        <f>(1+'Table 3.0'!$G$133)*(SUM(Monthly!CS97:CS98)+Monthly!CS101)</f>
        <v>0</v>
      </c>
      <c r="CR51" s="345">
        <f>(1+'Table 3.0'!$G$133)*(SUM(Monthly!CT97:CT98)+Monthly!CT101)</f>
        <v>0</v>
      </c>
      <c r="CS51" s="345">
        <f>(1+'Table 3.0'!$G$133)*(SUM(Monthly!CU97:CU98)+Monthly!CU101)</f>
        <v>0</v>
      </c>
      <c r="CT51" s="345">
        <f>(1+'Table 3.0'!$G$133)*(SUM(Monthly!CV97:CV98)+Monthly!CV101)</f>
        <v>0</v>
      </c>
      <c r="CU51" s="345">
        <f>(1+'Table 3.0'!$G$133)*(SUM(Monthly!CW97:CW98)+Monthly!CW101)</f>
        <v>0</v>
      </c>
      <c r="CV51" s="345">
        <f>(1+'Table 3.0'!$G$133)*(SUM(Monthly!CX97:CX98)+Monthly!CX101)</f>
        <v>0</v>
      </c>
      <c r="CW51" s="345">
        <f>(1+'Table 3.0'!$G$133)*(SUM(Monthly!CY97:CY98)+Monthly!CY101)</f>
        <v>0</v>
      </c>
      <c r="CX51" s="345">
        <f>(1+'Table 3.0'!$G$133)*(SUM(Monthly!CZ97:CZ98)+Monthly!CZ101)</f>
        <v>0</v>
      </c>
      <c r="CY51" s="345">
        <f>(1+'Table 3.0'!$G$133)*(SUM(Monthly!DA97:DA98)+Monthly!DA101)</f>
        <v>0</v>
      </c>
      <c r="CZ51" s="345">
        <f>(1+'Table 3.0'!$G$133)*(SUM(Monthly!DB97:DB98)+Monthly!DB101)</f>
        <v>0</v>
      </c>
      <c r="DA51" s="345">
        <f>(1+'Table 3.0'!$G$133)*(SUM(Monthly!DC97:DC98)+Monthly!DC101)</f>
        <v>0</v>
      </c>
      <c r="DB51" s="345">
        <f>(1+'Table 3.0'!$G$133)*(SUM(Monthly!DD97:DD98)+Monthly!DD101)</f>
        <v>0</v>
      </c>
      <c r="DC51" s="345">
        <f>(1+'Table 3.0'!$G$133)*(SUM(Monthly!DE97:DE98)+Monthly!DE101)</f>
        <v>0</v>
      </c>
      <c r="DD51" s="345">
        <f>(1+'Table 3.0'!$G$133)*(SUM(Monthly!DF97:DF98)+Monthly!DF101)</f>
        <v>0</v>
      </c>
      <c r="DE51" s="345">
        <f>(1+'Table 3.0'!$G$133)*(SUM(Monthly!DG97:DG98)+Monthly!DG101)</f>
        <v>0</v>
      </c>
      <c r="DF51" s="345">
        <f>(1+'Table 3.0'!$G$133)*(SUM(Monthly!DH97:DH98)+Monthly!DH101)</f>
        <v>0</v>
      </c>
      <c r="DG51" s="345">
        <f>(1+'Table 3.0'!$G$133)*(SUM(Monthly!DI97:DI98)+Monthly!DI101)</f>
        <v>0</v>
      </c>
      <c r="DH51" s="345">
        <f>(1+'Table 3.0'!$G$133)*(SUM(Monthly!DJ97:DJ98)+Monthly!DJ101)</f>
        <v>0</v>
      </c>
      <c r="DI51" s="345">
        <f>(1+'Table 3.0'!$G$133)*(SUM(Monthly!DK97:DK98)+Monthly!DK101)</f>
        <v>0</v>
      </c>
      <c r="DJ51" s="345">
        <f>(1+'Table 3.0'!$G$133)*(SUM(Monthly!DL97:DL98)+Monthly!DL101)</f>
        <v>0</v>
      </c>
      <c r="DK51" s="345">
        <f>(1+'Table 3.0'!$G$133)*(SUM(Monthly!DM97:DM98)+Monthly!DM101)</f>
        <v>0</v>
      </c>
      <c r="DL51" s="345">
        <f>(1+'Table 3.0'!$G$133)*(SUM(Monthly!DN97:DN98)+Monthly!DN101)</f>
        <v>0</v>
      </c>
      <c r="DN51" s="345">
        <f>SUM(I51:DL51)</f>
        <v>2150000</v>
      </c>
      <c r="DO51" s="330"/>
    </row>
    <row r="52" spans="2:119" x14ac:dyDescent="0.3">
      <c r="B52" s="416"/>
      <c r="E52" s="323" t="s">
        <v>480</v>
      </c>
      <c r="G52" s="379">
        <f>'Table 3.0'!G127</f>
        <v>0</v>
      </c>
      <c r="H52" s="379"/>
      <c r="I52" s="345">
        <f>$G$52*I51</f>
        <v>0</v>
      </c>
      <c r="J52" s="345">
        <f t="shared" ref="J52:BU52" si="379">$G$52*J51</f>
        <v>0</v>
      </c>
      <c r="K52" s="345">
        <f t="shared" si="379"/>
        <v>0</v>
      </c>
      <c r="L52" s="345">
        <f t="shared" si="379"/>
        <v>0</v>
      </c>
      <c r="M52" s="345">
        <f t="shared" si="379"/>
        <v>0</v>
      </c>
      <c r="N52" s="345">
        <f t="shared" si="379"/>
        <v>0</v>
      </c>
      <c r="O52" s="345">
        <f t="shared" si="379"/>
        <v>0</v>
      </c>
      <c r="P52" s="345">
        <f t="shared" si="379"/>
        <v>0</v>
      </c>
      <c r="Q52" s="345">
        <f t="shared" si="379"/>
        <v>0</v>
      </c>
      <c r="R52" s="345">
        <f t="shared" si="379"/>
        <v>0</v>
      </c>
      <c r="S52" s="345">
        <f t="shared" si="379"/>
        <v>0</v>
      </c>
      <c r="T52" s="566">
        <f t="shared" si="379"/>
        <v>0</v>
      </c>
      <c r="U52" s="345">
        <f t="shared" si="379"/>
        <v>0</v>
      </c>
      <c r="V52" s="345">
        <f t="shared" si="379"/>
        <v>0</v>
      </c>
      <c r="W52" s="345">
        <f t="shared" si="379"/>
        <v>0</v>
      </c>
      <c r="X52" s="345">
        <f t="shared" si="379"/>
        <v>0</v>
      </c>
      <c r="Y52" s="345">
        <f t="shared" si="379"/>
        <v>0</v>
      </c>
      <c r="Z52" s="345">
        <f t="shared" si="379"/>
        <v>0</v>
      </c>
      <c r="AA52" s="345">
        <f t="shared" si="379"/>
        <v>0</v>
      </c>
      <c r="AB52" s="345">
        <f t="shared" si="379"/>
        <v>0</v>
      </c>
      <c r="AC52" s="345">
        <f t="shared" si="379"/>
        <v>0</v>
      </c>
      <c r="AD52" s="345">
        <f t="shared" si="379"/>
        <v>0</v>
      </c>
      <c r="AE52" s="345">
        <f t="shared" si="379"/>
        <v>0</v>
      </c>
      <c r="AF52" s="566">
        <f t="shared" si="379"/>
        <v>0</v>
      </c>
      <c r="AG52" s="345">
        <f t="shared" si="379"/>
        <v>0</v>
      </c>
      <c r="AH52" s="345">
        <f t="shared" si="379"/>
        <v>0</v>
      </c>
      <c r="AI52" s="345">
        <f t="shared" si="379"/>
        <v>0</v>
      </c>
      <c r="AJ52" s="345">
        <f t="shared" si="379"/>
        <v>0</v>
      </c>
      <c r="AK52" s="345">
        <f t="shared" si="379"/>
        <v>0</v>
      </c>
      <c r="AL52" s="345">
        <f t="shared" si="379"/>
        <v>0</v>
      </c>
      <c r="AM52" s="345">
        <f t="shared" si="379"/>
        <v>0</v>
      </c>
      <c r="AN52" s="345">
        <f t="shared" si="379"/>
        <v>0</v>
      </c>
      <c r="AO52" s="345">
        <f t="shared" si="379"/>
        <v>0</v>
      </c>
      <c r="AP52" s="345">
        <f t="shared" si="379"/>
        <v>0</v>
      </c>
      <c r="AQ52" s="345">
        <f t="shared" si="379"/>
        <v>0</v>
      </c>
      <c r="AR52" s="566">
        <f t="shared" si="379"/>
        <v>0</v>
      </c>
      <c r="AS52" s="345">
        <f t="shared" si="379"/>
        <v>0</v>
      </c>
      <c r="AT52" s="345">
        <f t="shared" si="379"/>
        <v>0</v>
      </c>
      <c r="AU52" s="345">
        <f t="shared" si="379"/>
        <v>0</v>
      </c>
      <c r="AV52" s="345">
        <f t="shared" si="379"/>
        <v>0</v>
      </c>
      <c r="AW52" s="345">
        <f t="shared" si="379"/>
        <v>0</v>
      </c>
      <c r="AX52" s="345">
        <f t="shared" si="379"/>
        <v>0</v>
      </c>
      <c r="AY52" s="345">
        <f t="shared" si="379"/>
        <v>0</v>
      </c>
      <c r="AZ52" s="345">
        <f t="shared" si="379"/>
        <v>0</v>
      </c>
      <c r="BA52" s="345">
        <f t="shared" si="379"/>
        <v>0</v>
      </c>
      <c r="BB52" s="345">
        <f t="shared" si="379"/>
        <v>0</v>
      </c>
      <c r="BC52" s="345">
        <f t="shared" si="379"/>
        <v>0</v>
      </c>
      <c r="BD52" s="566">
        <f t="shared" si="379"/>
        <v>0</v>
      </c>
      <c r="BE52" s="345">
        <f t="shared" si="379"/>
        <v>0</v>
      </c>
      <c r="BF52" s="345">
        <f t="shared" si="379"/>
        <v>0</v>
      </c>
      <c r="BG52" s="345">
        <f t="shared" si="379"/>
        <v>0</v>
      </c>
      <c r="BH52" s="345">
        <f t="shared" si="379"/>
        <v>0</v>
      </c>
      <c r="BI52" s="345">
        <f t="shared" si="379"/>
        <v>0</v>
      </c>
      <c r="BJ52" s="345">
        <f t="shared" si="379"/>
        <v>0</v>
      </c>
      <c r="BK52" s="345">
        <f t="shared" si="379"/>
        <v>0</v>
      </c>
      <c r="BL52" s="345">
        <f t="shared" si="379"/>
        <v>0</v>
      </c>
      <c r="BM52" s="345">
        <f t="shared" si="379"/>
        <v>0</v>
      </c>
      <c r="BN52" s="345">
        <f t="shared" si="379"/>
        <v>0</v>
      </c>
      <c r="BO52" s="345">
        <f t="shared" si="379"/>
        <v>0</v>
      </c>
      <c r="BP52" s="566">
        <f t="shared" si="379"/>
        <v>0</v>
      </c>
      <c r="BQ52" s="345">
        <f t="shared" si="379"/>
        <v>0</v>
      </c>
      <c r="BR52" s="345">
        <f t="shared" si="379"/>
        <v>0</v>
      </c>
      <c r="BS52" s="345">
        <f t="shared" si="379"/>
        <v>0</v>
      </c>
      <c r="BT52" s="345">
        <f t="shared" si="379"/>
        <v>0</v>
      </c>
      <c r="BU52" s="345">
        <f t="shared" si="379"/>
        <v>0</v>
      </c>
      <c r="BV52" s="345">
        <f t="shared" ref="BV52:CZ52" si="380">$G$52*BV51</f>
        <v>0</v>
      </c>
      <c r="BW52" s="345">
        <f t="shared" si="380"/>
        <v>0</v>
      </c>
      <c r="BX52" s="345">
        <f t="shared" si="380"/>
        <v>0</v>
      </c>
      <c r="BY52" s="345">
        <f t="shared" si="380"/>
        <v>0</v>
      </c>
      <c r="BZ52" s="345">
        <f t="shared" si="380"/>
        <v>0</v>
      </c>
      <c r="CA52" s="345">
        <f t="shared" si="380"/>
        <v>0</v>
      </c>
      <c r="CB52" s="566">
        <f t="shared" si="380"/>
        <v>0</v>
      </c>
      <c r="CC52" s="345">
        <f t="shared" si="380"/>
        <v>0</v>
      </c>
      <c r="CD52" s="345">
        <f t="shared" si="380"/>
        <v>0</v>
      </c>
      <c r="CE52" s="345">
        <f t="shared" si="380"/>
        <v>0</v>
      </c>
      <c r="CF52" s="345">
        <f t="shared" si="380"/>
        <v>0</v>
      </c>
      <c r="CG52" s="345">
        <f t="shared" si="380"/>
        <v>0</v>
      </c>
      <c r="CH52" s="345">
        <f t="shared" si="380"/>
        <v>0</v>
      </c>
      <c r="CI52" s="345">
        <f t="shared" si="380"/>
        <v>0</v>
      </c>
      <c r="CJ52" s="345">
        <f t="shared" si="380"/>
        <v>0</v>
      </c>
      <c r="CK52" s="345">
        <f t="shared" si="380"/>
        <v>0</v>
      </c>
      <c r="CL52" s="345">
        <f t="shared" si="380"/>
        <v>0</v>
      </c>
      <c r="CM52" s="345">
        <f t="shared" si="380"/>
        <v>0</v>
      </c>
      <c r="CN52" s="566">
        <f t="shared" si="380"/>
        <v>0</v>
      </c>
      <c r="CO52" s="345">
        <f t="shared" si="380"/>
        <v>0</v>
      </c>
      <c r="CP52" s="345">
        <f t="shared" si="380"/>
        <v>0</v>
      </c>
      <c r="CQ52" s="345">
        <f t="shared" si="380"/>
        <v>0</v>
      </c>
      <c r="CR52" s="345">
        <f t="shared" si="380"/>
        <v>0</v>
      </c>
      <c r="CS52" s="345">
        <f t="shared" si="380"/>
        <v>0</v>
      </c>
      <c r="CT52" s="345">
        <f t="shared" si="380"/>
        <v>0</v>
      </c>
      <c r="CU52" s="345">
        <f t="shared" si="380"/>
        <v>0</v>
      </c>
      <c r="CV52" s="345">
        <f t="shared" si="380"/>
        <v>0</v>
      </c>
      <c r="CW52" s="345">
        <f t="shared" si="380"/>
        <v>0</v>
      </c>
      <c r="CX52" s="345">
        <f t="shared" si="380"/>
        <v>0</v>
      </c>
      <c r="CY52" s="345">
        <f t="shared" si="380"/>
        <v>0</v>
      </c>
      <c r="CZ52" s="566">
        <f t="shared" si="380"/>
        <v>0</v>
      </c>
      <c r="DA52" s="345">
        <f t="shared" ref="DA52:DL52" si="381">$G$52*DA51</f>
        <v>0</v>
      </c>
      <c r="DB52" s="345">
        <f t="shared" si="381"/>
        <v>0</v>
      </c>
      <c r="DC52" s="345">
        <f t="shared" si="381"/>
        <v>0</v>
      </c>
      <c r="DD52" s="345">
        <f t="shared" si="381"/>
        <v>0</v>
      </c>
      <c r="DE52" s="345">
        <f t="shared" si="381"/>
        <v>0</v>
      </c>
      <c r="DF52" s="345">
        <f t="shared" si="381"/>
        <v>0</v>
      </c>
      <c r="DG52" s="345">
        <f t="shared" si="381"/>
        <v>0</v>
      </c>
      <c r="DH52" s="345">
        <f t="shared" si="381"/>
        <v>0</v>
      </c>
      <c r="DI52" s="345">
        <f t="shared" si="381"/>
        <v>0</v>
      </c>
      <c r="DJ52" s="345">
        <f t="shared" si="381"/>
        <v>0</v>
      </c>
      <c r="DK52" s="345">
        <f t="shared" si="381"/>
        <v>0</v>
      </c>
      <c r="DL52" s="345">
        <f t="shared" si="381"/>
        <v>0</v>
      </c>
      <c r="DN52" s="345">
        <f>SUM(I52:DL52)</f>
        <v>0</v>
      </c>
      <c r="DO52" s="330"/>
    </row>
    <row r="53" spans="2:119" x14ac:dyDescent="0.3">
      <c r="B53" s="416"/>
      <c r="T53" s="561"/>
      <c r="AF53" s="561"/>
      <c r="AR53" s="561"/>
      <c r="BD53" s="561"/>
      <c r="BP53" s="561"/>
      <c r="CB53" s="561"/>
      <c r="CN53" s="561"/>
      <c r="CZ53" s="561"/>
      <c r="DN53" s="345"/>
      <c r="DO53" s="330"/>
    </row>
    <row r="54" spans="2:119" x14ac:dyDescent="0.3">
      <c r="B54" s="416"/>
      <c r="D54" s="375" t="s">
        <v>256</v>
      </c>
      <c r="I54" s="492">
        <v>0</v>
      </c>
      <c r="J54" s="492">
        <v>0</v>
      </c>
      <c r="K54" s="492">
        <v>0</v>
      </c>
      <c r="L54" s="492">
        <v>0</v>
      </c>
      <c r="M54" s="492">
        <v>0</v>
      </c>
      <c r="N54" s="492">
        <v>0</v>
      </c>
      <c r="O54" s="492">
        <v>0</v>
      </c>
      <c r="P54" s="492">
        <v>0</v>
      </c>
      <c r="Q54" s="492">
        <v>0</v>
      </c>
      <c r="R54" s="492">
        <v>0</v>
      </c>
      <c r="S54" s="492">
        <v>0</v>
      </c>
      <c r="T54" s="492">
        <v>0</v>
      </c>
      <c r="U54" s="492">
        <v>0</v>
      </c>
      <c r="V54" s="492">
        <v>0</v>
      </c>
      <c r="W54" s="492">
        <v>0</v>
      </c>
      <c r="X54" s="492">
        <v>0</v>
      </c>
      <c r="Y54" s="492">
        <v>0</v>
      </c>
      <c r="Z54" s="492">
        <v>0</v>
      </c>
      <c r="AA54" s="492">
        <v>0</v>
      </c>
      <c r="AB54" s="492">
        <v>0</v>
      </c>
      <c r="AC54" s="492">
        <v>0</v>
      </c>
      <c r="AD54" s="492">
        <v>0</v>
      </c>
      <c r="AE54" s="492">
        <v>0</v>
      </c>
      <c r="AF54" s="492">
        <v>0</v>
      </c>
      <c r="AG54" s="492">
        <v>0</v>
      </c>
      <c r="AH54" s="492">
        <v>0</v>
      </c>
      <c r="AI54" s="492">
        <v>0</v>
      </c>
      <c r="AJ54" s="492">
        <v>0</v>
      </c>
      <c r="AK54" s="492">
        <v>0</v>
      </c>
      <c r="AL54" s="492">
        <v>0</v>
      </c>
      <c r="AM54" s="492">
        <v>0</v>
      </c>
      <c r="AN54" s="492">
        <v>0</v>
      </c>
      <c r="AO54" s="492">
        <v>0</v>
      </c>
      <c r="AP54" s="492">
        <v>0</v>
      </c>
      <c r="AQ54" s="492">
        <v>0</v>
      </c>
      <c r="AR54" s="492">
        <v>0</v>
      </c>
      <c r="AS54" s="492">
        <v>0</v>
      </c>
      <c r="AT54" s="492">
        <v>0</v>
      </c>
      <c r="AU54" s="492">
        <v>0</v>
      </c>
      <c r="AV54" s="492">
        <v>0</v>
      </c>
      <c r="AW54" s="492">
        <v>0</v>
      </c>
      <c r="AX54" s="492">
        <v>0</v>
      </c>
      <c r="AY54" s="492">
        <v>0</v>
      </c>
      <c r="AZ54" s="492">
        <v>0</v>
      </c>
      <c r="BA54" s="492">
        <v>0</v>
      </c>
      <c r="BB54" s="492">
        <v>0</v>
      </c>
      <c r="BC54" s="492">
        <v>0</v>
      </c>
      <c r="BD54" s="492">
        <v>0</v>
      </c>
      <c r="BE54" s="492">
        <v>0</v>
      </c>
      <c r="BF54" s="492">
        <v>0</v>
      </c>
      <c r="BG54" s="492">
        <v>0</v>
      </c>
      <c r="BH54" s="492">
        <v>0</v>
      </c>
      <c r="BI54" s="492">
        <v>0</v>
      </c>
      <c r="BJ54" s="492">
        <v>0</v>
      </c>
      <c r="BK54" s="492">
        <v>0</v>
      </c>
      <c r="BL54" s="492">
        <v>0</v>
      </c>
      <c r="BM54" s="492">
        <v>0</v>
      </c>
      <c r="BN54" s="492">
        <v>0</v>
      </c>
      <c r="BO54" s="492">
        <v>0</v>
      </c>
      <c r="BP54" s="492">
        <v>0</v>
      </c>
      <c r="BQ54" s="492">
        <v>0</v>
      </c>
      <c r="BR54" s="492">
        <v>0</v>
      </c>
      <c r="BS54" s="492">
        <v>0</v>
      </c>
      <c r="BT54" s="492">
        <v>0</v>
      </c>
      <c r="BU54" s="492">
        <v>0</v>
      </c>
      <c r="BV54" s="492">
        <v>0</v>
      </c>
      <c r="BW54" s="492">
        <v>0</v>
      </c>
      <c r="BX54" s="492">
        <v>0</v>
      </c>
      <c r="BY54" s="492">
        <v>0</v>
      </c>
      <c r="BZ54" s="492">
        <v>0</v>
      </c>
      <c r="CA54" s="492">
        <v>0</v>
      </c>
      <c r="CB54" s="492">
        <v>0</v>
      </c>
      <c r="CC54" s="492">
        <v>0</v>
      </c>
      <c r="CD54" s="492">
        <v>0</v>
      </c>
      <c r="CE54" s="492">
        <v>0</v>
      </c>
      <c r="CF54" s="492">
        <v>0</v>
      </c>
      <c r="CG54" s="492">
        <v>0</v>
      </c>
      <c r="CH54" s="492">
        <v>0</v>
      </c>
      <c r="CI54" s="492">
        <v>0</v>
      </c>
      <c r="CJ54" s="492">
        <v>0</v>
      </c>
      <c r="CK54" s="492">
        <v>0</v>
      </c>
      <c r="CL54" s="492">
        <v>0</v>
      </c>
      <c r="CM54" s="492">
        <v>0</v>
      </c>
      <c r="CN54" s="492">
        <v>0</v>
      </c>
      <c r="CO54" s="492">
        <v>0</v>
      </c>
      <c r="CP54" s="492">
        <v>0</v>
      </c>
      <c r="CQ54" s="492">
        <v>0</v>
      </c>
      <c r="CR54" s="492">
        <v>0</v>
      </c>
      <c r="CS54" s="492">
        <v>0</v>
      </c>
      <c r="CT54" s="492">
        <v>0</v>
      </c>
      <c r="CU54" s="492">
        <v>0</v>
      </c>
      <c r="CV54" s="492">
        <v>0</v>
      </c>
      <c r="CW54" s="492">
        <v>0</v>
      </c>
      <c r="CX54" s="492">
        <v>0</v>
      </c>
      <c r="CY54" s="492">
        <v>0</v>
      </c>
      <c r="CZ54" s="492">
        <v>0</v>
      </c>
      <c r="DA54" s="492">
        <v>0</v>
      </c>
      <c r="DB54" s="492">
        <v>0</v>
      </c>
      <c r="DC54" s="492">
        <v>0</v>
      </c>
      <c r="DD54" s="492">
        <v>0</v>
      </c>
      <c r="DE54" s="492">
        <v>0</v>
      </c>
      <c r="DF54" s="492">
        <v>0</v>
      </c>
      <c r="DG54" s="492">
        <v>0</v>
      </c>
      <c r="DH54" s="492">
        <v>0</v>
      </c>
      <c r="DI54" s="492">
        <v>0</v>
      </c>
      <c r="DJ54" s="492">
        <v>0</v>
      </c>
      <c r="DK54" s="492">
        <v>0</v>
      </c>
      <c r="DL54" s="492">
        <v>0</v>
      </c>
      <c r="DN54" s="345">
        <f>SUM(I54:DL54)</f>
        <v>0</v>
      </c>
      <c r="DO54" s="330"/>
    </row>
    <row r="55" spans="2:119" x14ac:dyDescent="0.3">
      <c r="B55" s="416"/>
      <c r="E55" s="323" t="s">
        <v>481</v>
      </c>
      <c r="I55" s="345">
        <v>10000</v>
      </c>
      <c r="J55" s="345">
        <v>10000</v>
      </c>
      <c r="K55" s="345">
        <v>10000</v>
      </c>
      <c r="L55" s="345">
        <v>10000</v>
      </c>
      <c r="M55" s="345">
        <v>10000</v>
      </c>
      <c r="N55" s="345">
        <v>10000</v>
      </c>
      <c r="O55" s="345">
        <v>10000</v>
      </c>
      <c r="P55" s="345">
        <v>10000</v>
      </c>
      <c r="Q55" s="345">
        <v>10000</v>
      </c>
      <c r="R55" s="345">
        <v>10000</v>
      </c>
      <c r="S55" s="345">
        <v>10000</v>
      </c>
      <c r="T55" s="345">
        <v>10000</v>
      </c>
      <c r="U55" s="345">
        <v>10000</v>
      </c>
      <c r="V55" s="345">
        <v>10000</v>
      </c>
      <c r="W55" s="345">
        <v>10000</v>
      </c>
      <c r="X55" s="345">
        <v>10000</v>
      </c>
      <c r="Y55" s="345">
        <v>10000</v>
      </c>
      <c r="Z55" s="345">
        <v>10000</v>
      </c>
      <c r="AA55" s="345">
        <v>10000</v>
      </c>
      <c r="AB55" s="345">
        <v>10000</v>
      </c>
      <c r="AC55" s="345">
        <v>10000</v>
      </c>
      <c r="AD55" s="345">
        <v>10000</v>
      </c>
      <c r="AE55" s="345">
        <v>10000</v>
      </c>
      <c r="AF55" s="345">
        <v>10000</v>
      </c>
      <c r="AG55" s="345"/>
      <c r="AH55" s="345"/>
      <c r="AI55" s="345"/>
      <c r="AJ55" s="345"/>
      <c r="AK55" s="345"/>
      <c r="AL55" s="345"/>
      <c r="AM55" s="345"/>
      <c r="AN55" s="345"/>
      <c r="AO55" s="345"/>
      <c r="AP55" s="345"/>
      <c r="AQ55" s="345"/>
      <c r="AR55" s="345"/>
      <c r="AS55" s="345"/>
      <c r="AT55" s="345"/>
      <c r="AU55" s="345"/>
      <c r="AV55" s="345"/>
      <c r="AW55" s="345"/>
      <c r="AX55" s="345"/>
      <c r="AY55" s="345"/>
      <c r="AZ55" s="345"/>
      <c r="BA55" s="345"/>
      <c r="BB55" s="345"/>
      <c r="BC55" s="345"/>
      <c r="BD55" s="345"/>
      <c r="BE55" s="345"/>
      <c r="BF55" s="345"/>
      <c r="BG55" s="345"/>
      <c r="BH55" s="345"/>
      <c r="BI55" s="345"/>
      <c r="BJ55" s="345"/>
      <c r="BK55" s="345"/>
      <c r="BL55" s="345"/>
      <c r="BM55" s="345"/>
      <c r="BN55" s="345"/>
      <c r="BO55" s="345"/>
      <c r="BP55" s="345"/>
      <c r="BQ55" s="345"/>
      <c r="BR55" s="345"/>
      <c r="BS55" s="345"/>
      <c r="BT55" s="345"/>
      <c r="BU55" s="345"/>
      <c r="BV55" s="345"/>
      <c r="BW55" s="345"/>
      <c r="BX55" s="345"/>
      <c r="BY55" s="345"/>
      <c r="BZ55" s="345"/>
      <c r="CA55" s="345"/>
      <c r="CB55" s="345"/>
      <c r="CC55" s="345"/>
      <c r="CD55" s="345"/>
      <c r="CE55" s="345"/>
      <c r="CF55" s="345"/>
      <c r="CG55" s="345"/>
      <c r="CH55" s="345"/>
      <c r="CI55" s="345"/>
      <c r="CJ55" s="345"/>
      <c r="CK55" s="345"/>
      <c r="CL55" s="345"/>
      <c r="CM55" s="345"/>
      <c r="CN55" s="345"/>
      <c r="CO55" s="345"/>
      <c r="CP55" s="345"/>
      <c r="CQ55" s="345"/>
      <c r="CR55" s="345"/>
      <c r="CS55" s="345"/>
      <c r="CT55" s="345"/>
      <c r="CU55" s="345"/>
      <c r="CV55" s="345"/>
      <c r="CW55" s="345"/>
      <c r="CX55" s="345"/>
      <c r="CY55" s="345"/>
      <c r="CZ55" s="345"/>
      <c r="DA55" s="345"/>
      <c r="DB55" s="345"/>
      <c r="DC55" s="345"/>
      <c r="DD55" s="345"/>
      <c r="DE55" s="345"/>
      <c r="DF55" s="345"/>
      <c r="DG55" s="345"/>
      <c r="DH55" s="345"/>
      <c r="DI55" s="345"/>
      <c r="DJ55" s="345"/>
      <c r="DK55" s="345"/>
      <c r="DL55" s="345"/>
      <c r="DN55" s="345">
        <f>SUM(I55:DL55)</f>
        <v>240000</v>
      </c>
      <c r="DO55" s="330"/>
    </row>
    <row r="56" spans="2:119" x14ac:dyDescent="0.3">
      <c r="B56" s="416"/>
      <c r="E56" s="323" t="s">
        <v>482</v>
      </c>
      <c r="G56" s="705">
        <f>'Table 3.0'!$H$127</f>
        <v>0</v>
      </c>
      <c r="H56" s="705"/>
      <c r="I56" s="345">
        <f>Monthly!K99</f>
        <v>10000</v>
      </c>
      <c r="J56" s="345">
        <f>Monthly!L99</f>
        <v>10000</v>
      </c>
      <c r="K56" s="345">
        <f>Monthly!M99</f>
        <v>10000</v>
      </c>
      <c r="L56" s="345">
        <f>Monthly!N99</f>
        <v>10000</v>
      </c>
      <c r="M56" s="345">
        <f>Monthly!O99</f>
        <v>10000</v>
      </c>
      <c r="N56" s="345">
        <f>Monthly!P99</f>
        <v>10000</v>
      </c>
      <c r="O56" s="345">
        <f>Monthly!Q99</f>
        <v>10000</v>
      </c>
      <c r="P56" s="345">
        <f>Monthly!R99</f>
        <v>10000</v>
      </c>
      <c r="Q56" s="345">
        <f>Monthly!S99</f>
        <v>10000</v>
      </c>
      <c r="R56" s="345">
        <f>Monthly!T99</f>
        <v>10000</v>
      </c>
      <c r="S56" s="345">
        <f>Monthly!U99</f>
        <v>10000</v>
      </c>
      <c r="T56" s="345">
        <f>Monthly!V99</f>
        <v>10000</v>
      </c>
      <c r="U56" s="345">
        <f>Monthly!W99</f>
        <v>0</v>
      </c>
      <c r="V56" s="345">
        <f>Monthly!X99</f>
        <v>0</v>
      </c>
      <c r="W56" s="345">
        <f>Monthly!Y99</f>
        <v>0</v>
      </c>
      <c r="X56" s="345">
        <f>Monthly!Z99</f>
        <v>0</v>
      </c>
      <c r="Y56" s="345">
        <f>Monthly!AA99</f>
        <v>0</v>
      </c>
      <c r="Z56" s="345">
        <f>Monthly!AB99</f>
        <v>0</v>
      </c>
      <c r="AA56" s="345">
        <f>Monthly!AC99</f>
        <v>0</v>
      </c>
      <c r="AB56" s="345">
        <f>Monthly!AD99</f>
        <v>0</v>
      </c>
      <c r="AC56" s="345">
        <f>Monthly!AE99</f>
        <v>0</v>
      </c>
      <c r="AD56" s="345">
        <f>Monthly!AF99</f>
        <v>0</v>
      </c>
      <c r="AE56" s="345">
        <f>Monthly!AG99</f>
        <v>0</v>
      </c>
      <c r="AF56" s="345">
        <f>Monthly!AH99</f>
        <v>0</v>
      </c>
      <c r="AG56" s="345">
        <f>Monthly!AI99</f>
        <v>0</v>
      </c>
      <c r="AH56" s="345">
        <f>Monthly!AJ99</f>
        <v>0</v>
      </c>
      <c r="AI56" s="345">
        <f>Monthly!AK99</f>
        <v>0</v>
      </c>
      <c r="AJ56" s="345">
        <f>Monthly!AL99</f>
        <v>0</v>
      </c>
      <c r="AK56" s="345">
        <f>Monthly!AM99</f>
        <v>0</v>
      </c>
      <c r="AL56" s="345">
        <f>Monthly!AN99</f>
        <v>0</v>
      </c>
      <c r="AM56" s="345">
        <f>Monthly!AO99</f>
        <v>0</v>
      </c>
      <c r="AN56" s="345">
        <f>Monthly!AP99</f>
        <v>0</v>
      </c>
      <c r="AO56" s="345">
        <f>Monthly!AQ99</f>
        <v>0</v>
      </c>
      <c r="AP56" s="345">
        <f>Monthly!AR99</f>
        <v>0</v>
      </c>
      <c r="AQ56" s="345">
        <f>Monthly!AS99</f>
        <v>0</v>
      </c>
      <c r="AR56" s="345">
        <f>Monthly!AT99</f>
        <v>0</v>
      </c>
      <c r="AS56" s="345">
        <f>Monthly!AU99</f>
        <v>0</v>
      </c>
      <c r="AT56" s="345">
        <f>Monthly!AV99</f>
        <v>0</v>
      </c>
      <c r="AU56" s="345">
        <f>Monthly!AW99</f>
        <v>0</v>
      </c>
      <c r="AV56" s="345">
        <f>Monthly!AX99</f>
        <v>0</v>
      </c>
      <c r="AW56" s="345">
        <f>Monthly!AY99</f>
        <v>0</v>
      </c>
      <c r="AX56" s="345">
        <f>Monthly!AZ99</f>
        <v>0</v>
      </c>
      <c r="AY56" s="345">
        <f>Monthly!BA99</f>
        <v>0</v>
      </c>
      <c r="AZ56" s="345">
        <f>Monthly!BB99</f>
        <v>0</v>
      </c>
      <c r="BA56" s="345">
        <f>Monthly!BC99</f>
        <v>0</v>
      </c>
      <c r="BB56" s="345">
        <f>Monthly!BD99</f>
        <v>0</v>
      </c>
      <c r="BC56" s="345">
        <f>Monthly!BE99</f>
        <v>0</v>
      </c>
      <c r="BD56" s="345">
        <f>Monthly!BF99</f>
        <v>0</v>
      </c>
      <c r="BE56" s="345">
        <f>Monthly!BG99</f>
        <v>0</v>
      </c>
      <c r="BF56" s="345">
        <f>Monthly!BH99</f>
        <v>0</v>
      </c>
      <c r="BG56" s="345">
        <f>Monthly!BI99</f>
        <v>0</v>
      </c>
      <c r="BH56" s="345">
        <f>Monthly!BJ99</f>
        <v>0</v>
      </c>
      <c r="BI56" s="345">
        <f>Monthly!BK99</f>
        <v>0</v>
      </c>
      <c r="BJ56" s="345">
        <f>Monthly!BL99</f>
        <v>0</v>
      </c>
      <c r="BK56" s="345">
        <f>Monthly!BM99</f>
        <v>0</v>
      </c>
      <c r="BL56" s="345">
        <f>Monthly!BN99</f>
        <v>0</v>
      </c>
      <c r="BM56" s="345">
        <f>Monthly!BO99</f>
        <v>0</v>
      </c>
      <c r="BN56" s="345">
        <f>Monthly!BP99</f>
        <v>0</v>
      </c>
      <c r="BO56" s="345">
        <f>Monthly!BQ99</f>
        <v>0</v>
      </c>
      <c r="BP56" s="345">
        <f>Monthly!BR99</f>
        <v>0</v>
      </c>
      <c r="BQ56" s="345">
        <f>Monthly!BS99</f>
        <v>0</v>
      </c>
      <c r="BR56" s="345">
        <f>Monthly!BT99</f>
        <v>0</v>
      </c>
      <c r="BS56" s="345">
        <f>Monthly!BU99</f>
        <v>0</v>
      </c>
      <c r="BT56" s="345">
        <f>Monthly!BV99</f>
        <v>0</v>
      </c>
      <c r="BU56" s="345">
        <f>Monthly!BW99</f>
        <v>0</v>
      </c>
      <c r="BV56" s="345">
        <f>Monthly!BX99</f>
        <v>0</v>
      </c>
      <c r="BW56" s="345">
        <f>Monthly!BY99</f>
        <v>0</v>
      </c>
      <c r="BX56" s="345">
        <f>Monthly!BZ99</f>
        <v>0</v>
      </c>
      <c r="BY56" s="345">
        <f>Monthly!CA99</f>
        <v>0</v>
      </c>
      <c r="BZ56" s="345">
        <f>Monthly!CB99</f>
        <v>0</v>
      </c>
      <c r="CA56" s="345">
        <f>Monthly!CC99</f>
        <v>0</v>
      </c>
      <c r="CB56" s="345">
        <f>Monthly!CD99</f>
        <v>0</v>
      </c>
      <c r="CC56" s="345">
        <f>Monthly!CE99</f>
        <v>0</v>
      </c>
      <c r="CD56" s="345">
        <f>Monthly!CF99</f>
        <v>0</v>
      </c>
      <c r="CE56" s="345">
        <f>Monthly!CG99</f>
        <v>0</v>
      </c>
      <c r="CF56" s="345">
        <f>Monthly!CH99</f>
        <v>0</v>
      </c>
      <c r="CG56" s="345">
        <f>Monthly!CI99</f>
        <v>0</v>
      </c>
      <c r="CH56" s="345">
        <f>Monthly!CJ99</f>
        <v>0</v>
      </c>
      <c r="CI56" s="345">
        <f>Monthly!CK99</f>
        <v>0</v>
      </c>
      <c r="CJ56" s="345">
        <f>Monthly!CL99</f>
        <v>0</v>
      </c>
      <c r="CK56" s="345">
        <f>Monthly!CM99</f>
        <v>0</v>
      </c>
      <c r="CL56" s="345">
        <f>Monthly!CN99</f>
        <v>0</v>
      </c>
      <c r="CM56" s="345">
        <f>Monthly!CO99</f>
        <v>0</v>
      </c>
      <c r="CN56" s="345">
        <f>Monthly!CP99</f>
        <v>0</v>
      </c>
      <c r="CO56" s="345">
        <f>Monthly!CQ99</f>
        <v>0</v>
      </c>
      <c r="CP56" s="345">
        <f>Monthly!CR99</f>
        <v>0</v>
      </c>
      <c r="CQ56" s="345">
        <f>Monthly!CS99</f>
        <v>0</v>
      </c>
      <c r="CR56" s="345">
        <f>Monthly!CT99</f>
        <v>0</v>
      </c>
      <c r="CS56" s="345">
        <f>Monthly!CU99</f>
        <v>0</v>
      </c>
      <c r="CT56" s="345">
        <f>Monthly!CV99</f>
        <v>0</v>
      </c>
      <c r="CU56" s="345">
        <f>Monthly!CW99</f>
        <v>0</v>
      </c>
      <c r="CV56" s="345">
        <f>Monthly!CX99</f>
        <v>0</v>
      </c>
      <c r="CW56" s="345">
        <f>Monthly!CY99</f>
        <v>0</v>
      </c>
      <c r="CX56" s="345">
        <f>Monthly!CZ99</f>
        <v>0</v>
      </c>
      <c r="CY56" s="345">
        <f>Monthly!DA99</f>
        <v>0</v>
      </c>
      <c r="CZ56" s="345">
        <f>Monthly!DB99</f>
        <v>0</v>
      </c>
      <c r="DA56" s="345">
        <f>Monthly!DC99</f>
        <v>0</v>
      </c>
      <c r="DB56" s="345">
        <f>Monthly!DD99</f>
        <v>0</v>
      </c>
      <c r="DC56" s="345">
        <f>Monthly!DE99</f>
        <v>0</v>
      </c>
      <c r="DD56" s="345">
        <f>Monthly!DF99</f>
        <v>0</v>
      </c>
      <c r="DE56" s="345">
        <f>Monthly!DG99</f>
        <v>0</v>
      </c>
      <c r="DF56" s="345">
        <f>Monthly!DH99</f>
        <v>0</v>
      </c>
      <c r="DG56" s="345">
        <f>Monthly!DI99</f>
        <v>0</v>
      </c>
      <c r="DH56" s="345">
        <f>Monthly!DJ99</f>
        <v>0</v>
      </c>
      <c r="DI56" s="345">
        <f>Monthly!DK99</f>
        <v>0</v>
      </c>
      <c r="DJ56" s="345">
        <f>Monthly!DL99</f>
        <v>0</v>
      </c>
      <c r="DK56" s="345">
        <f>Monthly!DM99</f>
        <v>0</v>
      </c>
      <c r="DL56" s="345">
        <f>Monthly!DN99</f>
        <v>0</v>
      </c>
      <c r="DN56" s="345">
        <f>SUM(I56:DL56)</f>
        <v>120000</v>
      </c>
      <c r="DO56" s="330"/>
    </row>
    <row r="57" spans="2:119" x14ac:dyDescent="0.3">
      <c r="B57" s="416"/>
      <c r="D57" s="384"/>
      <c r="E57" s="342" t="s">
        <v>536</v>
      </c>
      <c r="F57" s="342"/>
      <c r="G57" s="760">
        <f>Monthly!H100</f>
        <v>0</v>
      </c>
      <c r="H57" s="760"/>
      <c r="I57" s="347"/>
      <c r="J57" s="347"/>
      <c r="K57" s="347"/>
      <c r="L57" s="347"/>
      <c r="M57" s="347"/>
      <c r="N57" s="347"/>
      <c r="O57" s="347"/>
      <c r="P57" s="347"/>
      <c r="Q57" s="347"/>
      <c r="R57" s="347"/>
      <c r="S57" s="347"/>
      <c r="T57" s="347"/>
      <c r="U57" s="347"/>
      <c r="V57" s="347"/>
      <c r="W57" s="347"/>
      <c r="X57" s="347"/>
      <c r="Y57" s="347"/>
      <c r="Z57" s="347"/>
      <c r="AA57" s="347"/>
      <c r="AB57" s="347"/>
      <c r="AC57" s="347"/>
      <c r="AD57" s="347"/>
      <c r="AE57" s="347"/>
      <c r="AF57" s="347"/>
      <c r="AG57" s="347"/>
      <c r="AH57" s="347"/>
      <c r="AI57" s="347"/>
      <c r="AJ57" s="347"/>
      <c r="AK57" s="347"/>
      <c r="AL57" s="347"/>
      <c r="AM57" s="347"/>
      <c r="AN57" s="347"/>
      <c r="AO57" s="347"/>
      <c r="AP57" s="347"/>
      <c r="AQ57" s="347"/>
      <c r="AR57" s="347"/>
      <c r="AS57" s="347"/>
      <c r="AT57" s="347"/>
      <c r="AU57" s="347"/>
      <c r="AV57" s="347"/>
      <c r="AW57" s="347"/>
      <c r="AX57" s="347"/>
      <c r="AY57" s="347"/>
      <c r="AZ57" s="347"/>
      <c r="BA57" s="347"/>
      <c r="BB57" s="347"/>
      <c r="BC57" s="347"/>
      <c r="BD57" s="347"/>
      <c r="BE57" s="347"/>
      <c r="BF57" s="347"/>
      <c r="BG57" s="347"/>
      <c r="BH57" s="347"/>
      <c r="BI57" s="347"/>
      <c r="BJ57" s="347"/>
      <c r="BK57" s="347"/>
      <c r="BL57" s="347"/>
      <c r="BM57" s="347"/>
      <c r="BN57" s="347"/>
      <c r="BO57" s="347"/>
      <c r="BP57" s="347"/>
      <c r="BQ57" s="347"/>
      <c r="BR57" s="347"/>
      <c r="BS57" s="347"/>
      <c r="BT57" s="347"/>
      <c r="BU57" s="347"/>
      <c r="BV57" s="347"/>
      <c r="BW57" s="347"/>
      <c r="BX57" s="347"/>
      <c r="BY57" s="347"/>
      <c r="BZ57" s="347"/>
      <c r="CA57" s="347"/>
      <c r="CB57" s="347"/>
      <c r="CC57" s="347"/>
      <c r="CD57" s="347"/>
      <c r="CE57" s="347"/>
      <c r="CF57" s="347"/>
      <c r="CG57" s="347"/>
      <c r="CH57" s="347"/>
      <c r="CI57" s="347"/>
      <c r="CJ57" s="347"/>
      <c r="CK57" s="347"/>
      <c r="CL57" s="347"/>
      <c r="CM57" s="347"/>
      <c r="CN57" s="347"/>
      <c r="CO57" s="347"/>
      <c r="CP57" s="347"/>
      <c r="CQ57" s="347"/>
      <c r="CR57" s="347"/>
      <c r="CS57" s="347"/>
      <c r="CT57" s="347"/>
      <c r="CU57" s="347"/>
      <c r="CV57" s="347"/>
      <c r="CW57" s="347"/>
      <c r="CX57" s="347"/>
      <c r="CY57" s="347"/>
      <c r="CZ57" s="347"/>
      <c r="DA57" s="347"/>
      <c r="DB57" s="347"/>
      <c r="DC57" s="347"/>
      <c r="DD57" s="347"/>
      <c r="DE57" s="347"/>
      <c r="DF57" s="347"/>
      <c r="DG57" s="347"/>
      <c r="DH57" s="347"/>
      <c r="DI57" s="347"/>
      <c r="DJ57" s="347"/>
      <c r="DK57" s="347"/>
      <c r="DL57" s="347"/>
      <c r="DM57" s="342"/>
      <c r="DN57" s="347">
        <f>SUM(I57:DL57)</f>
        <v>0</v>
      </c>
      <c r="DO57" s="330"/>
    </row>
    <row r="58" spans="2:119" x14ac:dyDescent="0.3">
      <c r="B58" s="416"/>
      <c r="D58" s="375" t="s">
        <v>257</v>
      </c>
      <c r="I58" s="345">
        <f>I55-I56-I57</f>
        <v>0</v>
      </c>
      <c r="J58" s="345">
        <f t="shared" ref="J58:BU58" si="382">J55-J56-J57</f>
        <v>0</v>
      </c>
      <c r="K58" s="345">
        <f t="shared" si="382"/>
        <v>0</v>
      </c>
      <c r="L58" s="345">
        <f t="shared" si="382"/>
        <v>0</v>
      </c>
      <c r="M58" s="345">
        <f t="shared" si="382"/>
        <v>0</v>
      </c>
      <c r="N58" s="345">
        <f t="shared" si="382"/>
        <v>0</v>
      </c>
      <c r="O58" s="345">
        <f t="shared" si="382"/>
        <v>0</v>
      </c>
      <c r="P58" s="345">
        <f t="shared" si="382"/>
        <v>0</v>
      </c>
      <c r="Q58" s="345">
        <f t="shared" si="382"/>
        <v>0</v>
      </c>
      <c r="R58" s="345">
        <f t="shared" si="382"/>
        <v>0</v>
      </c>
      <c r="S58" s="345">
        <f t="shared" si="382"/>
        <v>0</v>
      </c>
      <c r="T58" s="345">
        <f t="shared" si="382"/>
        <v>0</v>
      </c>
      <c r="U58" s="345">
        <f t="shared" si="382"/>
        <v>10000</v>
      </c>
      <c r="V58" s="345">
        <f t="shared" si="382"/>
        <v>10000</v>
      </c>
      <c r="W58" s="345">
        <f t="shared" si="382"/>
        <v>10000</v>
      </c>
      <c r="X58" s="345">
        <f t="shared" si="382"/>
        <v>10000</v>
      </c>
      <c r="Y58" s="345">
        <f t="shared" si="382"/>
        <v>10000</v>
      </c>
      <c r="Z58" s="345">
        <f t="shared" si="382"/>
        <v>10000</v>
      </c>
      <c r="AA58" s="345">
        <f t="shared" si="382"/>
        <v>10000</v>
      </c>
      <c r="AB58" s="345">
        <f t="shared" si="382"/>
        <v>10000</v>
      </c>
      <c r="AC58" s="345">
        <f t="shared" si="382"/>
        <v>10000</v>
      </c>
      <c r="AD58" s="345">
        <f t="shared" si="382"/>
        <v>10000</v>
      </c>
      <c r="AE58" s="345">
        <f t="shared" si="382"/>
        <v>10000</v>
      </c>
      <c r="AF58" s="345">
        <f t="shared" si="382"/>
        <v>10000</v>
      </c>
      <c r="AG58" s="345">
        <f t="shared" si="382"/>
        <v>0</v>
      </c>
      <c r="AH58" s="345">
        <f t="shared" si="382"/>
        <v>0</v>
      </c>
      <c r="AI58" s="345">
        <f t="shared" si="382"/>
        <v>0</v>
      </c>
      <c r="AJ58" s="345">
        <f t="shared" si="382"/>
        <v>0</v>
      </c>
      <c r="AK58" s="345">
        <f t="shared" si="382"/>
        <v>0</v>
      </c>
      <c r="AL58" s="345">
        <f t="shared" si="382"/>
        <v>0</v>
      </c>
      <c r="AM58" s="345">
        <f t="shared" si="382"/>
        <v>0</v>
      </c>
      <c r="AN58" s="345">
        <f t="shared" si="382"/>
        <v>0</v>
      </c>
      <c r="AO58" s="345">
        <f t="shared" si="382"/>
        <v>0</v>
      </c>
      <c r="AP58" s="345">
        <f t="shared" si="382"/>
        <v>0</v>
      </c>
      <c r="AQ58" s="345">
        <f t="shared" si="382"/>
        <v>0</v>
      </c>
      <c r="AR58" s="345">
        <f t="shared" si="382"/>
        <v>0</v>
      </c>
      <c r="AS58" s="345">
        <f t="shared" si="382"/>
        <v>0</v>
      </c>
      <c r="AT58" s="345">
        <f t="shared" si="382"/>
        <v>0</v>
      </c>
      <c r="AU58" s="345">
        <f t="shared" si="382"/>
        <v>0</v>
      </c>
      <c r="AV58" s="345">
        <f t="shared" si="382"/>
        <v>0</v>
      </c>
      <c r="AW58" s="345">
        <f t="shared" si="382"/>
        <v>0</v>
      </c>
      <c r="AX58" s="345">
        <f t="shared" si="382"/>
        <v>0</v>
      </c>
      <c r="AY58" s="345">
        <f t="shared" si="382"/>
        <v>0</v>
      </c>
      <c r="AZ58" s="345">
        <f t="shared" si="382"/>
        <v>0</v>
      </c>
      <c r="BA58" s="345">
        <f t="shared" si="382"/>
        <v>0</v>
      </c>
      <c r="BB58" s="345">
        <f t="shared" si="382"/>
        <v>0</v>
      </c>
      <c r="BC58" s="345">
        <f t="shared" si="382"/>
        <v>0</v>
      </c>
      <c r="BD58" s="345">
        <f t="shared" si="382"/>
        <v>0</v>
      </c>
      <c r="BE58" s="345">
        <f t="shared" si="382"/>
        <v>0</v>
      </c>
      <c r="BF58" s="345">
        <f t="shared" si="382"/>
        <v>0</v>
      </c>
      <c r="BG58" s="345">
        <f t="shared" si="382"/>
        <v>0</v>
      </c>
      <c r="BH58" s="345">
        <f t="shared" si="382"/>
        <v>0</v>
      </c>
      <c r="BI58" s="345">
        <f t="shared" si="382"/>
        <v>0</v>
      </c>
      <c r="BJ58" s="345">
        <f t="shared" si="382"/>
        <v>0</v>
      </c>
      <c r="BK58" s="345">
        <f t="shared" si="382"/>
        <v>0</v>
      </c>
      <c r="BL58" s="345">
        <f t="shared" si="382"/>
        <v>0</v>
      </c>
      <c r="BM58" s="345">
        <f t="shared" si="382"/>
        <v>0</v>
      </c>
      <c r="BN58" s="345">
        <f t="shared" si="382"/>
        <v>0</v>
      </c>
      <c r="BO58" s="345">
        <f t="shared" si="382"/>
        <v>0</v>
      </c>
      <c r="BP58" s="345">
        <f t="shared" si="382"/>
        <v>0</v>
      </c>
      <c r="BQ58" s="345">
        <f t="shared" si="382"/>
        <v>0</v>
      </c>
      <c r="BR58" s="345">
        <f t="shared" si="382"/>
        <v>0</v>
      </c>
      <c r="BS58" s="345">
        <f t="shared" si="382"/>
        <v>0</v>
      </c>
      <c r="BT58" s="345">
        <f t="shared" si="382"/>
        <v>0</v>
      </c>
      <c r="BU58" s="345">
        <f t="shared" si="382"/>
        <v>0</v>
      </c>
      <c r="BV58" s="345">
        <f t="shared" ref="BV58:DL58" si="383">BV55-BV56-BV57</f>
        <v>0</v>
      </c>
      <c r="BW58" s="345">
        <f t="shared" si="383"/>
        <v>0</v>
      </c>
      <c r="BX58" s="345">
        <f t="shared" si="383"/>
        <v>0</v>
      </c>
      <c r="BY58" s="345">
        <f t="shared" si="383"/>
        <v>0</v>
      </c>
      <c r="BZ58" s="345">
        <f t="shared" si="383"/>
        <v>0</v>
      </c>
      <c r="CA58" s="345">
        <f t="shared" si="383"/>
        <v>0</v>
      </c>
      <c r="CB58" s="345">
        <f t="shared" si="383"/>
        <v>0</v>
      </c>
      <c r="CC58" s="345">
        <f t="shared" si="383"/>
        <v>0</v>
      </c>
      <c r="CD58" s="345">
        <f t="shared" si="383"/>
        <v>0</v>
      </c>
      <c r="CE58" s="345">
        <f t="shared" si="383"/>
        <v>0</v>
      </c>
      <c r="CF58" s="345">
        <f t="shared" si="383"/>
        <v>0</v>
      </c>
      <c r="CG58" s="345">
        <f t="shared" si="383"/>
        <v>0</v>
      </c>
      <c r="CH58" s="345">
        <f t="shared" si="383"/>
        <v>0</v>
      </c>
      <c r="CI58" s="345">
        <f t="shared" si="383"/>
        <v>0</v>
      </c>
      <c r="CJ58" s="345">
        <f t="shared" si="383"/>
        <v>0</v>
      </c>
      <c r="CK58" s="345">
        <f t="shared" si="383"/>
        <v>0</v>
      </c>
      <c r="CL58" s="345">
        <f t="shared" si="383"/>
        <v>0</v>
      </c>
      <c r="CM58" s="345">
        <f t="shared" si="383"/>
        <v>0</v>
      </c>
      <c r="CN58" s="345">
        <f t="shared" si="383"/>
        <v>0</v>
      </c>
      <c r="CO58" s="345">
        <f t="shared" si="383"/>
        <v>0</v>
      </c>
      <c r="CP58" s="345">
        <f t="shared" si="383"/>
        <v>0</v>
      </c>
      <c r="CQ58" s="345">
        <f t="shared" si="383"/>
        <v>0</v>
      </c>
      <c r="CR58" s="345">
        <f t="shared" si="383"/>
        <v>0</v>
      </c>
      <c r="CS58" s="345">
        <f t="shared" si="383"/>
        <v>0</v>
      </c>
      <c r="CT58" s="345">
        <f t="shared" si="383"/>
        <v>0</v>
      </c>
      <c r="CU58" s="345">
        <f t="shared" si="383"/>
        <v>0</v>
      </c>
      <c r="CV58" s="345">
        <f t="shared" si="383"/>
        <v>0</v>
      </c>
      <c r="CW58" s="345">
        <f t="shared" si="383"/>
        <v>0</v>
      </c>
      <c r="CX58" s="345">
        <f t="shared" si="383"/>
        <v>0</v>
      </c>
      <c r="CY58" s="345">
        <f t="shared" si="383"/>
        <v>0</v>
      </c>
      <c r="CZ58" s="345">
        <f t="shared" si="383"/>
        <v>0</v>
      </c>
      <c r="DA58" s="345">
        <f t="shared" si="383"/>
        <v>0</v>
      </c>
      <c r="DB58" s="345">
        <f t="shared" si="383"/>
        <v>0</v>
      </c>
      <c r="DC58" s="345">
        <f t="shared" si="383"/>
        <v>0</v>
      </c>
      <c r="DD58" s="345">
        <f t="shared" si="383"/>
        <v>0</v>
      </c>
      <c r="DE58" s="345">
        <f t="shared" si="383"/>
        <v>0</v>
      </c>
      <c r="DF58" s="345">
        <f t="shared" si="383"/>
        <v>0</v>
      </c>
      <c r="DG58" s="345">
        <f t="shared" si="383"/>
        <v>0</v>
      </c>
      <c r="DH58" s="345">
        <f t="shared" si="383"/>
        <v>0</v>
      </c>
      <c r="DI58" s="345">
        <f t="shared" si="383"/>
        <v>0</v>
      </c>
      <c r="DJ58" s="345">
        <f t="shared" si="383"/>
        <v>0</v>
      </c>
      <c r="DK58" s="345">
        <f t="shared" si="383"/>
        <v>0</v>
      </c>
      <c r="DL58" s="345">
        <f t="shared" si="383"/>
        <v>0</v>
      </c>
      <c r="DO58" s="330"/>
    </row>
    <row r="59" spans="2:119" ht="14.4" thickBot="1" x14ac:dyDescent="0.35">
      <c r="B59" s="417"/>
      <c r="C59" s="325"/>
      <c r="D59" s="325"/>
      <c r="E59" s="327"/>
      <c r="F59" s="327"/>
      <c r="G59" s="327"/>
      <c r="H59" s="327"/>
      <c r="I59" s="327"/>
      <c r="J59" s="327"/>
      <c r="K59" s="327"/>
      <c r="L59" s="327"/>
      <c r="M59" s="327"/>
      <c r="N59" s="327"/>
      <c r="O59" s="327"/>
      <c r="P59" s="327"/>
      <c r="Q59" s="327"/>
      <c r="R59" s="327"/>
      <c r="S59" s="327"/>
      <c r="T59" s="895"/>
      <c r="U59" s="327"/>
      <c r="V59" s="327"/>
      <c r="W59" s="327"/>
      <c r="X59" s="327"/>
      <c r="Y59" s="327"/>
      <c r="Z59" s="327"/>
      <c r="AA59" s="327"/>
      <c r="AB59" s="327"/>
      <c r="AC59" s="327"/>
      <c r="AD59" s="327"/>
      <c r="AE59" s="327"/>
      <c r="AF59" s="895"/>
      <c r="AG59" s="327"/>
      <c r="AH59" s="327"/>
      <c r="AI59" s="327"/>
      <c r="AJ59" s="327"/>
      <c r="AK59" s="327"/>
      <c r="AL59" s="327"/>
      <c r="AM59" s="327"/>
      <c r="AN59" s="327"/>
      <c r="AO59" s="327"/>
      <c r="AP59" s="327"/>
      <c r="AQ59" s="327"/>
      <c r="AR59" s="895"/>
      <c r="AS59" s="327"/>
      <c r="AT59" s="327"/>
      <c r="AU59" s="327"/>
      <c r="AV59" s="327"/>
      <c r="AW59" s="327"/>
      <c r="AX59" s="327"/>
      <c r="AY59" s="327"/>
      <c r="AZ59" s="327"/>
      <c r="BA59" s="327"/>
      <c r="BB59" s="327"/>
      <c r="BC59" s="327"/>
      <c r="BD59" s="895"/>
      <c r="BE59" s="327"/>
      <c r="BF59" s="327"/>
      <c r="BG59" s="327"/>
      <c r="BH59" s="327"/>
      <c r="BI59" s="327"/>
      <c r="BJ59" s="327"/>
      <c r="BK59" s="327"/>
      <c r="BL59" s="327"/>
      <c r="BM59" s="327"/>
      <c r="BN59" s="327"/>
      <c r="BO59" s="327"/>
      <c r="BP59" s="895"/>
      <c r="BQ59" s="327"/>
      <c r="BR59" s="327"/>
      <c r="BS59" s="327"/>
      <c r="BT59" s="327"/>
      <c r="BU59" s="327"/>
      <c r="BV59" s="327"/>
      <c r="BW59" s="327"/>
      <c r="BX59" s="327"/>
      <c r="BY59" s="327"/>
      <c r="BZ59" s="327"/>
      <c r="CA59" s="327"/>
      <c r="CB59" s="895"/>
      <c r="CC59" s="327"/>
      <c r="CD59" s="327"/>
      <c r="CE59" s="327"/>
      <c r="CF59" s="327"/>
      <c r="CG59" s="327"/>
      <c r="CH59" s="327"/>
      <c r="CI59" s="327"/>
      <c r="CJ59" s="327"/>
      <c r="CK59" s="327"/>
      <c r="CL59" s="327"/>
      <c r="CM59" s="327"/>
      <c r="CN59" s="895"/>
      <c r="CO59" s="327"/>
      <c r="CP59" s="327"/>
      <c r="CQ59" s="327"/>
      <c r="CR59" s="327"/>
      <c r="CS59" s="327"/>
      <c r="CT59" s="327"/>
      <c r="CU59" s="327"/>
      <c r="CV59" s="327"/>
      <c r="CW59" s="327"/>
      <c r="CX59" s="327"/>
      <c r="CY59" s="327"/>
      <c r="CZ59" s="895"/>
      <c r="DA59" s="327"/>
      <c r="DB59" s="327"/>
      <c r="DC59" s="327"/>
      <c r="DD59" s="327"/>
      <c r="DE59" s="327"/>
      <c r="DF59" s="327"/>
      <c r="DG59" s="327"/>
      <c r="DH59" s="327"/>
      <c r="DI59" s="327"/>
      <c r="DJ59" s="327"/>
      <c r="DK59" s="327"/>
      <c r="DL59" s="327"/>
      <c r="DM59" s="327"/>
      <c r="DN59" s="327"/>
      <c r="DO59" s="333"/>
    </row>
    <row r="60" spans="2:119" x14ac:dyDescent="0.3">
      <c r="T60" s="561"/>
      <c r="AF60" s="561"/>
      <c r="AR60" s="561"/>
      <c r="BD60" s="561"/>
      <c r="BP60" s="561"/>
      <c r="CB60" s="561"/>
      <c r="CN60" s="561"/>
      <c r="CZ60" s="561"/>
    </row>
    <row r="61" spans="2:119" x14ac:dyDescent="0.3">
      <c r="I61" s="345"/>
      <c r="J61" s="345"/>
      <c r="K61" s="345"/>
      <c r="L61" s="345"/>
      <c r="M61" s="345"/>
      <c r="N61" s="345"/>
      <c r="O61" s="345"/>
      <c r="P61" s="345"/>
      <c r="Q61" s="345"/>
      <c r="R61" s="345"/>
      <c r="S61" s="345"/>
      <c r="T61" s="566"/>
      <c r="U61" s="345"/>
      <c r="V61" s="345"/>
      <c r="W61" s="345"/>
      <c r="X61" s="345"/>
      <c r="Y61" s="345"/>
      <c r="Z61" s="345"/>
      <c r="AA61" s="345"/>
      <c r="AB61" s="345"/>
      <c r="AC61" s="345"/>
      <c r="AD61" s="345"/>
      <c r="AE61" s="345"/>
      <c r="AF61" s="566"/>
      <c r="AG61" s="345"/>
      <c r="AH61" s="345"/>
      <c r="AI61" s="345"/>
      <c r="AJ61" s="345"/>
      <c r="AK61" s="345"/>
      <c r="AL61" s="345"/>
      <c r="AM61" s="345"/>
      <c r="AN61" s="345"/>
      <c r="AO61" s="345"/>
      <c r="AP61" s="345"/>
      <c r="AQ61" s="345"/>
      <c r="AR61" s="566"/>
      <c r="AS61" s="345"/>
      <c r="AT61" s="345"/>
      <c r="AU61" s="345"/>
      <c r="AV61" s="345"/>
      <c r="AW61" s="345"/>
      <c r="AX61" s="345"/>
      <c r="AY61" s="345"/>
      <c r="AZ61" s="345"/>
      <c r="BA61" s="345"/>
      <c r="BB61" s="345"/>
      <c r="BC61" s="345"/>
      <c r="BD61" s="566"/>
      <c r="BE61" s="345"/>
      <c r="BF61" s="345"/>
      <c r="BG61" s="345"/>
      <c r="BH61" s="345"/>
      <c r="BI61" s="345"/>
      <c r="BJ61" s="345"/>
      <c r="BK61" s="345"/>
      <c r="BL61" s="345"/>
      <c r="BM61" s="345"/>
      <c r="BN61" s="345"/>
      <c r="BO61" s="345"/>
      <c r="BP61" s="566"/>
      <c r="BQ61" s="345"/>
      <c r="BR61" s="345"/>
      <c r="BS61" s="345"/>
      <c r="BT61" s="345"/>
      <c r="BU61" s="345"/>
      <c r="BV61" s="345"/>
      <c r="BW61" s="345"/>
      <c r="BX61" s="345"/>
      <c r="BY61" s="345"/>
      <c r="BZ61" s="345"/>
      <c r="CA61" s="345"/>
      <c r="CB61" s="566"/>
      <c r="CC61" s="345"/>
      <c r="CD61" s="345"/>
      <c r="CE61" s="345"/>
      <c r="CF61" s="345"/>
      <c r="CG61" s="345"/>
      <c r="CH61" s="345"/>
      <c r="CI61" s="345"/>
      <c r="CJ61" s="345"/>
      <c r="CK61" s="345"/>
      <c r="CL61" s="345"/>
      <c r="CM61" s="345"/>
      <c r="CN61" s="566"/>
      <c r="CO61" s="345"/>
      <c r="CP61" s="345"/>
      <c r="CQ61" s="345"/>
      <c r="CR61" s="345"/>
      <c r="CS61" s="345"/>
      <c r="CT61" s="345"/>
      <c r="CU61" s="345"/>
      <c r="CV61" s="345"/>
      <c r="CW61" s="345"/>
      <c r="CX61" s="345"/>
      <c r="CY61" s="345"/>
      <c r="CZ61" s="566"/>
      <c r="DA61" s="345"/>
      <c r="DB61" s="345"/>
      <c r="DC61" s="345"/>
      <c r="DD61" s="345"/>
      <c r="DE61" s="345"/>
      <c r="DF61" s="345"/>
      <c r="DG61" s="345"/>
      <c r="DH61" s="345"/>
      <c r="DI61" s="345"/>
      <c r="DJ61" s="345"/>
      <c r="DK61" s="345"/>
      <c r="DL61" s="345"/>
    </row>
    <row r="62" spans="2:119" ht="14.4" thickBot="1" x14ac:dyDescent="0.35">
      <c r="B62" s="375" t="s">
        <v>353</v>
      </c>
      <c r="I62" s="345"/>
      <c r="J62" s="345"/>
      <c r="K62" s="345"/>
      <c r="L62" s="345"/>
      <c r="M62" s="345"/>
      <c r="N62" s="345"/>
      <c r="O62" s="345"/>
      <c r="P62" s="345"/>
      <c r="Q62" s="345"/>
      <c r="R62" s="345"/>
      <c r="S62" s="345"/>
      <c r="T62" s="566"/>
      <c r="U62" s="345"/>
      <c r="V62" s="345"/>
      <c r="W62" s="345"/>
      <c r="X62" s="345"/>
      <c r="Y62" s="345"/>
      <c r="Z62" s="345"/>
      <c r="AA62" s="345"/>
      <c r="AB62" s="345"/>
      <c r="AC62" s="345"/>
      <c r="AD62" s="345"/>
      <c r="AE62" s="345"/>
      <c r="AF62" s="566"/>
      <c r="AG62" s="345"/>
      <c r="AH62" s="345"/>
      <c r="AI62" s="345"/>
      <c r="AJ62" s="345"/>
      <c r="AK62" s="345"/>
      <c r="AL62" s="345"/>
      <c r="AM62" s="345"/>
      <c r="AN62" s="345"/>
      <c r="AO62" s="345"/>
      <c r="AP62" s="345"/>
      <c r="AQ62" s="345"/>
      <c r="AR62" s="566"/>
      <c r="AS62" s="345"/>
      <c r="AT62" s="345"/>
      <c r="AU62" s="345"/>
      <c r="AV62" s="345"/>
      <c r="AW62" s="345"/>
      <c r="AX62" s="345"/>
      <c r="AY62" s="345"/>
      <c r="AZ62" s="345"/>
      <c r="BA62" s="345"/>
      <c r="BB62" s="345"/>
      <c r="BC62" s="345"/>
      <c r="BD62" s="566"/>
      <c r="BE62" s="345"/>
      <c r="BF62" s="345"/>
      <c r="BG62" s="345"/>
      <c r="BH62" s="345"/>
      <c r="BI62" s="345"/>
      <c r="BJ62" s="345"/>
      <c r="BK62" s="345"/>
      <c r="BL62" s="345"/>
      <c r="BM62" s="345"/>
      <c r="BN62" s="345"/>
      <c r="BO62" s="345"/>
      <c r="BP62" s="566"/>
      <c r="BQ62" s="345"/>
      <c r="BR62" s="345"/>
      <c r="BS62" s="345"/>
      <c r="BT62" s="345"/>
      <c r="BU62" s="345"/>
      <c r="BV62" s="345"/>
      <c r="BW62" s="345"/>
      <c r="BX62" s="345"/>
      <c r="BY62" s="345"/>
      <c r="BZ62" s="345"/>
      <c r="CA62" s="345"/>
      <c r="CB62" s="566"/>
      <c r="CC62" s="345"/>
      <c r="CD62" s="345"/>
      <c r="CE62" s="345"/>
      <c r="CF62" s="345"/>
      <c r="CG62" s="345"/>
      <c r="CH62" s="345"/>
      <c r="CI62" s="345"/>
      <c r="CJ62" s="345"/>
      <c r="CK62" s="345"/>
      <c r="CL62" s="345"/>
      <c r="CM62" s="345"/>
      <c r="CN62" s="566"/>
      <c r="CO62" s="345"/>
      <c r="CP62" s="345"/>
      <c r="CQ62" s="345"/>
      <c r="CR62" s="345"/>
      <c r="CS62" s="345"/>
      <c r="CT62" s="345"/>
      <c r="CU62" s="345"/>
      <c r="CV62" s="345"/>
      <c r="CW62" s="345"/>
      <c r="CX62" s="345"/>
      <c r="CY62" s="345"/>
      <c r="CZ62" s="566"/>
      <c r="DA62" s="345"/>
      <c r="DB62" s="345"/>
      <c r="DC62" s="345"/>
      <c r="DD62" s="345"/>
      <c r="DE62" s="345"/>
      <c r="DF62" s="345"/>
      <c r="DG62" s="345"/>
      <c r="DH62" s="345"/>
      <c r="DI62" s="345"/>
      <c r="DJ62" s="345"/>
      <c r="DK62" s="345"/>
      <c r="DL62" s="345"/>
    </row>
    <row r="63" spans="2:119" x14ac:dyDescent="0.3">
      <c r="B63" s="412"/>
      <c r="C63" s="413"/>
      <c r="D63" s="413"/>
      <c r="E63" s="414"/>
      <c r="F63" s="414"/>
      <c r="G63" s="414"/>
      <c r="H63" s="414"/>
      <c r="I63" s="431"/>
      <c r="J63" s="431"/>
      <c r="K63" s="431"/>
      <c r="L63" s="431"/>
      <c r="M63" s="431"/>
      <c r="N63" s="431"/>
      <c r="O63" s="431"/>
      <c r="P63" s="431"/>
      <c r="Q63" s="431"/>
      <c r="R63" s="431"/>
      <c r="S63" s="431"/>
      <c r="T63" s="919"/>
      <c r="U63" s="431"/>
      <c r="V63" s="431"/>
      <c r="W63" s="431"/>
      <c r="X63" s="431"/>
      <c r="Y63" s="431"/>
      <c r="Z63" s="431"/>
      <c r="AA63" s="431"/>
      <c r="AB63" s="431"/>
      <c r="AC63" s="431"/>
      <c r="AD63" s="431"/>
      <c r="AE63" s="431"/>
      <c r="AF63" s="919"/>
      <c r="AG63" s="431"/>
      <c r="AH63" s="431"/>
      <c r="AI63" s="431"/>
      <c r="AJ63" s="431"/>
      <c r="AK63" s="431"/>
      <c r="AL63" s="431"/>
      <c r="AM63" s="431"/>
      <c r="AN63" s="431"/>
      <c r="AO63" s="431"/>
      <c r="AP63" s="431"/>
      <c r="AQ63" s="431"/>
      <c r="AR63" s="919"/>
      <c r="AS63" s="431"/>
      <c r="AT63" s="431"/>
      <c r="AU63" s="431"/>
      <c r="AV63" s="431"/>
      <c r="AW63" s="431"/>
      <c r="AX63" s="431"/>
      <c r="AY63" s="431"/>
      <c r="AZ63" s="431"/>
      <c r="BA63" s="431"/>
      <c r="BB63" s="431"/>
      <c r="BC63" s="431"/>
      <c r="BD63" s="919"/>
      <c r="BE63" s="431"/>
      <c r="BF63" s="431"/>
      <c r="BG63" s="431"/>
      <c r="BH63" s="431"/>
      <c r="BI63" s="431"/>
      <c r="BJ63" s="431"/>
      <c r="BK63" s="431"/>
      <c r="BL63" s="431"/>
      <c r="BM63" s="431"/>
      <c r="BN63" s="431"/>
      <c r="BO63" s="431"/>
      <c r="BP63" s="919"/>
      <c r="BQ63" s="431"/>
      <c r="BR63" s="431"/>
      <c r="BS63" s="431"/>
      <c r="BT63" s="431"/>
      <c r="BU63" s="431"/>
      <c r="BV63" s="431"/>
      <c r="BW63" s="431"/>
      <c r="BX63" s="431"/>
      <c r="BY63" s="431"/>
      <c r="BZ63" s="431"/>
      <c r="CA63" s="431"/>
      <c r="CB63" s="919"/>
      <c r="CC63" s="431"/>
      <c r="CD63" s="431"/>
      <c r="CE63" s="431"/>
      <c r="CF63" s="431"/>
      <c r="CG63" s="431"/>
      <c r="CH63" s="431"/>
      <c r="CI63" s="431"/>
      <c r="CJ63" s="431"/>
      <c r="CK63" s="431"/>
      <c r="CL63" s="431"/>
      <c r="CM63" s="431"/>
      <c r="CN63" s="919"/>
      <c r="CO63" s="431"/>
      <c r="CP63" s="431"/>
      <c r="CQ63" s="431"/>
      <c r="CR63" s="431"/>
      <c r="CS63" s="431"/>
      <c r="CT63" s="431"/>
      <c r="CU63" s="431"/>
      <c r="CV63" s="431"/>
      <c r="CW63" s="431"/>
      <c r="CX63" s="431"/>
      <c r="CY63" s="431"/>
      <c r="CZ63" s="919"/>
      <c r="DA63" s="431"/>
      <c r="DB63" s="431"/>
      <c r="DC63" s="431"/>
      <c r="DD63" s="431"/>
      <c r="DE63" s="431"/>
      <c r="DF63" s="431"/>
      <c r="DG63" s="431"/>
      <c r="DH63" s="431"/>
      <c r="DI63" s="431"/>
      <c r="DJ63" s="431"/>
      <c r="DK63" s="431"/>
      <c r="DL63" s="431"/>
      <c r="DM63" s="414"/>
      <c r="DN63" s="414"/>
      <c r="DO63" s="415"/>
    </row>
    <row r="64" spans="2:119" x14ac:dyDescent="0.3">
      <c r="B64" s="416"/>
      <c r="C64" s="385" t="s">
        <v>336</v>
      </c>
      <c r="D64" s="385"/>
      <c r="E64" s="356"/>
      <c r="F64" s="356"/>
      <c r="G64" s="356"/>
      <c r="H64" s="356"/>
      <c r="I64" s="381"/>
      <c r="J64" s="381"/>
      <c r="K64" s="381"/>
      <c r="L64" s="381"/>
      <c r="M64" s="381"/>
      <c r="N64" s="381"/>
      <c r="O64" s="381"/>
      <c r="P64" s="381"/>
      <c r="Q64" s="381"/>
      <c r="R64" s="381"/>
      <c r="S64" s="381"/>
      <c r="T64" s="917"/>
      <c r="U64" s="381"/>
      <c r="V64" s="381"/>
      <c r="W64" s="381"/>
      <c r="X64" s="381"/>
      <c r="Y64" s="381"/>
      <c r="Z64" s="381"/>
      <c r="AA64" s="381"/>
      <c r="AB64" s="381"/>
      <c r="AC64" s="381"/>
      <c r="AD64" s="381"/>
      <c r="AE64" s="381"/>
      <c r="AF64" s="917"/>
      <c r="AG64" s="381"/>
      <c r="AH64" s="381"/>
      <c r="AI64" s="381"/>
      <c r="AJ64" s="381"/>
      <c r="AK64" s="381"/>
      <c r="AL64" s="381"/>
      <c r="AM64" s="381"/>
      <c r="AN64" s="381"/>
      <c r="AO64" s="381"/>
      <c r="AP64" s="381"/>
      <c r="AQ64" s="381"/>
      <c r="AR64" s="917"/>
      <c r="AS64" s="381"/>
      <c r="AT64" s="381"/>
      <c r="AU64" s="381"/>
      <c r="AV64" s="381"/>
      <c r="AW64" s="381"/>
      <c r="AX64" s="381"/>
      <c r="AY64" s="381"/>
      <c r="AZ64" s="381"/>
      <c r="BA64" s="381"/>
      <c r="BB64" s="381"/>
      <c r="BC64" s="381"/>
      <c r="BD64" s="917"/>
      <c r="BE64" s="381"/>
      <c r="BF64" s="381"/>
      <c r="BG64" s="381"/>
      <c r="BH64" s="381"/>
      <c r="BI64" s="381"/>
      <c r="BJ64" s="381"/>
      <c r="BK64" s="381"/>
      <c r="BL64" s="381"/>
      <c r="BM64" s="381"/>
      <c r="BN64" s="381"/>
      <c r="BO64" s="381"/>
      <c r="BP64" s="917"/>
      <c r="BQ64" s="381"/>
      <c r="BR64" s="381"/>
      <c r="BS64" s="381"/>
      <c r="BT64" s="381"/>
      <c r="BU64" s="381"/>
      <c r="BV64" s="381"/>
      <c r="BW64" s="381"/>
      <c r="BX64" s="381"/>
      <c r="BY64" s="381"/>
      <c r="BZ64" s="381"/>
      <c r="CA64" s="381"/>
      <c r="CB64" s="917"/>
      <c r="CC64" s="381"/>
      <c r="CD64" s="381"/>
      <c r="CE64" s="381"/>
      <c r="CF64" s="381"/>
      <c r="CG64" s="381"/>
      <c r="CH64" s="381"/>
      <c r="CI64" s="381"/>
      <c r="CJ64" s="381"/>
      <c r="CK64" s="381"/>
      <c r="CL64" s="381"/>
      <c r="CM64" s="381"/>
      <c r="CN64" s="917"/>
      <c r="CO64" s="381"/>
      <c r="CP64" s="381"/>
      <c r="CQ64" s="381"/>
      <c r="CR64" s="381"/>
      <c r="CS64" s="381"/>
      <c r="CT64" s="381"/>
      <c r="CU64" s="381"/>
      <c r="CV64" s="381"/>
      <c r="CW64" s="381"/>
      <c r="CX64" s="381"/>
      <c r="CY64" s="381"/>
      <c r="CZ64" s="917"/>
      <c r="DA64" s="381"/>
      <c r="DB64" s="381"/>
      <c r="DC64" s="381"/>
      <c r="DD64" s="381"/>
      <c r="DE64" s="381"/>
      <c r="DF64" s="381"/>
      <c r="DG64" s="381"/>
      <c r="DH64" s="381"/>
      <c r="DI64" s="381"/>
      <c r="DJ64" s="381"/>
      <c r="DK64" s="381"/>
      <c r="DL64" s="381"/>
      <c r="DM64" s="356"/>
      <c r="DN64" s="356"/>
      <c r="DO64" s="330"/>
    </row>
    <row r="65" spans="2:120" x14ac:dyDescent="0.3">
      <c r="B65" s="416"/>
      <c r="C65" s="418"/>
      <c r="D65" s="419" t="s">
        <v>354</v>
      </c>
      <c r="E65" s="420"/>
      <c r="F65" s="420"/>
      <c r="G65" s="420"/>
      <c r="H65" s="420"/>
      <c r="I65" s="421"/>
      <c r="J65" s="421"/>
      <c r="K65" s="421"/>
      <c r="L65" s="421"/>
      <c r="M65" s="421"/>
      <c r="N65" s="421"/>
      <c r="O65" s="421"/>
      <c r="P65" s="421"/>
      <c r="Q65" s="421"/>
      <c r="R65" s="421"/>
      <c r="S65" s="421"/>
      <c r="T65" s="916"/>
      <c r="U65" s="421"/>
      <c r="V65" s="421"/>
      <c r="W65" s="421"/>
      <c r="X65" s="421"/>
      <c r="Y65" s="421"/>
      <c r="Z65" s="421"/>
      <c r="AA65" s="421"/>
      <c r="AB65" s="421"/>
      <c r="AC65" s="421"/>
      <c r="AD65" s="421"/>
      <c r="AE65" s="421"/>
      <c r="AF65" s="916"/>
      <c r="AG65" s="421"/>
      <c r="AH65" s="421"/>
      <c r="AI65" s="421"/>
      <c r="AJ65" s="421"/>
      <c r="AK65" s="421"/>
      <c r="AL65" s="421"/>
      <c r="AM65" s="421"/>
      <c r="AN65" s="421"/>
      <c r="AO65" s="421"/>
      <c r="AP65" s="421"/>
      <c r="AQ65" s="421"/>
      <c r="AR65" s="916"/>
      <c r="AS65" s="421"/>
      <c r="AT65" s="421"/>
      <c r="AU65" s="421"/>
      <c r="AV65" s="421"/>
      <c r="AW65" s="421"/>
      <c r="AX65" s="421"/>
      <c r="AY65" s="421"/>
      <c r="AZ65" s="421"/>
      <c r="BA65" s="421"/>
      <c r="BB65" s="421"/>
      <c r="BC65" s="421"/>
      <c r="BD65" s="916"/>
      <c r="BE65" s="421"/>
      <c r="BF65" s="421"/>
      <c r="BG65" s="421"/>
      <c r="BH65" s="421"/>
      <c r="BI65" s="421"/>
      <c r="BJ65" s="421"/>
      <c r="BK65" s="421"/>
      <c r="BL65" s="421"/>
      <c r="BM65" s="421"/>
      <c r="BN65" s="421"/>
      <c r="BO65" s="421"/>
      <c r="BP65" s="916"/>
      <c r="BQ65" s="421"/>
      <c r="BR65" s="421"/>
      <c r="BS65" s="421"/>
      <c r="BT65" s="421"/>
      <c r="BU65" s="421"/>
      <c r="BV65" s="421"/>
      <c r="BW65" s="421"/>
      <c r="BX65" s="421"/>
      <c r="BY65" s="421"/>
      <c r="BZ65" s="421"/>
      <c r="CA65" s="421"/>
      <c r="CB65" s="916"/>
      <c r="CC65" s="421"/>
      <c r="CD65" s="421"/>
      <c r="CE65" s="421"/>
      <c r="CF65" s="421"/>
      <c r="CG65" s="421"/>
      <c r="CH65" s="421"/>
      <c r="CI65" s="421"/>
      <c r="CJ65" s="421"/>
      <c r="CK65" s="421"/>
      <c r="CL65" s="421"/>
      <c r="CM65" s="421"/>
      <c r="CN65" s="916"/>
      <c r="CO65" s="421"/>
      <c r="CP65" s="421"/>
      <c r="CQ65" s="421"/>
      <c r="CR65" s="421"/>
      <c r="CS65" s="421"/>
      <c r="CT65" s="421"/>
      <c r="CU65" s="421"/>
      <c r="CV65" s="421"/>
      <c r="CW65" s="421"/>
      <c r="CX65" s="421"/>
      <c r="CY65" s="421"/>
      <c r="CZ65" s="916"/>
      <c r="DA65" s="421"/>
      <c r="DB65" s="421"/>
      <c r="DC65" s="421"/>
      <c r="DD65" s="421"/>
      <c r="DE65" s="421"/>
      <c r="DF65" s="421"/>
      <c r="DG65" s="421"/>
      <c r="DH65" s="421"/>
      <c r="DI65" s="421"/>
      <c r="DJ65" s="421"/>
      <c r="DK65" s="421"/>
      <c r="DL65" s="421"/>
      <c r="DM65" s="420"/>
      <c r="DN65" s="422"/>
      <c r="DO65" s="330"/>
    </row>
    <row r="66" spans="2:120" x14ac:dyDescent="0.3">
      <c r="B66" s="416"/>
      <c r="C66" s="423"/>
      <c r="D66" s="385"/>
      <c r="E66" s="356" t="s">
        <v>256</v>
      </c>
      <c r="F66" s="356"/>
      <c r="G66" s="356"/>
      <c r="H66" s="356"/>
      <c r="I66" s="381">
        <f>'Members Capital'!I4</f>
        <v>327416.21999999997</v>
      </c>
      <c r="J66" s="381">
        <f>I68</f>
        <v>327416.21999999997</v>
      </c>
      <c r="K66" s="381">
        <f t="shared" ref="K66:AF66" si="384">J68</f>
        <v>327416.21999999997</v>
      </c>
      <c r="L66" s="381">
        <f t="shared" si="384"/>
        <v>327416.21999999997</v>
      </c>
      <c r="M66" s="381">
        <f t="shared" si="384"/>
        <v>327416.21999999997</v>
      </c>
      <c r="N66" s="381">
        <f t="shared" si="384"/>
        <v>327416.21999999997</v>
      </c>
      <c r="O66" s="381">
        <f t="shared" si="384"/>
        <v>327416.21999999997</v>
      </c>
      <c r="P66" s="381">
        <f t="shared" si="384"/>
        <v>327416.21999999997</v>
      </c>
      <c r="Q66" s="381">
        <f t="shared" si="384"/>
        <v>327416.21999999997</v>
      </c>
      <c r="R66" s="381">
        <f t="shared" si="384"/>
        <v>327416.21999999997</v>
      </c>
      <c r="S66" s="381">
        <f t="shared" si="384"/>
        <v>327416.21999999997</v>
      </c>
      <c r="T66" s="917">
        <f t="shared" si="384"/>
        <v>327416.21999999997</v>
      </c>
      <c r="U66" s="381">
        <f t="shared" si="384"/>
        <v>327416.21999999997</v>
      </c>
      <c r="V66" s="381">
        <f t="shared" si="384"/>
        <v>327416.21999999997</v>
      </c>
      <c r="W66" s="381">
        <f t="shared" si="384"/>
        <v>327416.21999999997</v>
      </c>
      <c r="X66" s="381">
        <f t="shared" si="384"/>
        <v>327416.21999999997</v>
      </c>
      <c r="Y66" s="381">
        <f t="shared" si="384"/>
        <v>327416.21999999997</v>
      </c>
      <c r="Z66" s="381">
        <f t="shared" si="384"/>
        <v>327416.21999999997</v>
      </c>
      <c r="AA66" s="381">
        <f t="shared" si="384"/>
        <v>327416.21999999997</v>
      </c>
      <c r="AB66" s="381">
        <f t="shared" si="384"/>
        <v>327416.21999999997</v>
      </c>
      <c r="AC66" s="381">
        <f t="shared" si="384"/>
        <v>327416.21999999997</v>
      </c>
      <c r="AD66" s="381">
        <f t="shared" si="384"/>
        <v>327416.21999999997</v>
      </c>
      <c r="AE66" s="381">
        <f t="shared" si="384"/>
        <v>327416.21999999997</v>
      </c>
      <c r="AF66" s="917">
        <f t="shared" si="384"/>
        <v>327416.21999999997</v>
      </c>
      <c r="AG66" s="381">
        <f t="shared" ref="AG66" si="385">AF68</f>
        <v>327416.21999999997</v>
      </c>
      <c r="AH66" s="381">
        <f t="shared" ref="AH66" si="386">AG68</f>
        <v>327416.21999999997</v>
      </c>
      <c r="AI66" s="381">
        <f t="shared" ref="AI66" si="387">AH68</f>
        <v>327416.21999999997</v>
      </c>
      <c r="AJ66" s="381">
        <f t="shared" ref="AJ66" si="388">AI68</f>
        <v>327416.21999999997</v>
      </c>
      <c r="AK66" s="381">
        <f t="shared" ref="AK66" si="389">AJ68</f>
        <v>327416.21999999997</v>
      </c>
      <c r="AL66" s="381">
        <f t="shared" ref="AL66" si="390">AK68</f>
        <v>327416.21999999997</v>
      </c>
      <c r="AM66" s="381">
        <f t="shared" ref="AM66" si="391">AL68</f>
        <v>327416.21999999997</v>
      </c>
      <c r="AN66" s="381">
        <f t="shared" ref="AN66" si="392">AM68</f>
        <v>327416.21999999997</v>
      </c>
      <c r="AO66" s="381">
        <f t="shared" ref="AO66" si="393">AN68</f>
        <v>327416.21999999997</v>
      </c>
      <c r="AP66" s="381">
        <f t="shared" ref="AP66" si="394">AO68</f>
        <v>327416.21999999997</v>
      </c>
      <c r="AQ66" s="381">
        <f t="shared" ref="AQ66" si="395">AP68</f>
        <v>327416.21999999997</v>
      </c>
      <c r="AR66" s="917">
        <f t="shared" ref="AR66" si="396">AQ68</f>
        <v>327416.21999999997</v>
      </c>
      <c r="AS66" s="381">
        <f t="shared" ref="AS66" si="397">AR68</f>
        <v>327416.21999999997</v>
      </c>
      <c r="AT66" s="381">
        <f t="shared" ref="AT66" si="398">AS68</f>
        <v>327416.21999999997</v>
      </c>
      <c r="AU66" s="381">
        <f t="shared" ref="AU66" si="399">AT68</f>
        <v>327416.21999999997</v>
      </c>
      <c r="AV66" s="381">
        <f t="shared" ref="AV66" si="400">AU68</f>
        <v>327416.21999999997</v>
      </c>
      <c r="AW66" s="381">
        <f t="shared" ref="AW66" si="401">AV68</f>
        <v>327416.21999999997</v>
      </c>
      <c r="AX66" s="381">
        <f t="shared" ref="AX66" si="402">AW68</f>
        <v>327416.21999999997</v>
      </c>
      <c r="AY66" s="381">
        <f t="shared" ref="AY66" si="403">AX68</f>
        <v>327416.21999999997</v>
      </c>
      <c r="AZ66" s="381">
        <f t="shared" ref="AZ66" si="404">AY68</f>
        <v>327416.21999999997</v>
      </c>
      <c r="BA66" s="381">
        <f t="shared" ref="BA66" si="405">AZ68</f>
        <v>327416.21999999997</v>
      </c>
      <c r="BB66" s="381">
        <f t="shared" ref="BB66" si="406">BA68</f>
        <v>327416.21999999997</v>
      </c>
      <c r="BC66" s="381">
        <f t="shared" ref="BC66" si="407">BB68</f>
        <v>327416.21999999997</v>
      </c>
      <c r="BD66" s="917">
        <f t="shared" ref="BD66" si="408">BC68</f>
        <v>327416.21999999997</v>
      </c>
      <c r="BE66" s="381">
        <f t="shared" ref="BE66" si="409">BD68</f>
        <v>327416.21999999997</v>
      </c>
      <c r="BF66" s="381">
        <f t="shared" ref="BF66" si="410">BE68</f>
        <v>327416.21999999997</v>
      </c>
      <c r="BG66" s="381">
        <f t="shared" ref="BG66" si="411">BF68</f>
        <v>327416.21999999997</v>
      </c>
      <c r="BH66" s="381">
        <f t="shared" ref="BH66" si="412">BG68</f>
        <v>327416.21999999997</v>
      </c>
      <c r="BI66" s="381">
        <f t="shared" ref="BI66" si="413">BH68</f>
        <v>327416.21999999997</v>
      </c>
      <c r="BJ66" s="381">
        <f t="shared" ref="BJ66" si="414">BI68</f>
        <v>327416.21999999997</v>
      </c>
      <c r="BK66" s="381">
        <f t="shared" ref="BK66" si="415">BJ68</f>
        <v>327416.21999999997</v>
      </c>
      <c r="BL66" s="381">
        <f t="shared" ref="BL66" si="416">BK68</f>
        <v>327416.21999999997</v>
      </c>
      <c r="BM66" s="381">
        <f t="shared" ref="BM66" si="417">BL68</f>
        <v>327416.21999999997</v>
      </c>
      <c r="BN66" s="381">
        <f t="shared" ref="BN66" si="418">BM68</f>
        <v>327416.21999999997</v>
      </c>
      <c r="BO66" s="381">
        <f t="shared" ref="BO66" si="419">BN68</f>
        <v>327416.21999999997</v>
      </c>
      <c r="BP66" s="917">
        <f t="shared" ref="BP66" si="420">BO68</f>
        <v>327416.21999999997</v>
      </c>
      <c r="BQ66" s="381">
        <f t="shared" ref="BQ66" si="421">BP68</f>
        <v>327416.21999999997</v>
      </c>
      <c r="BR66" s="381">
        <f t="shared" ref="BR66" si="422">BQ68</f>
        <v>327416.21999999997</v>
      </c>
      <c r="BS66" s="381">
        <f t="shared" ref="BS66" si="423">BR68</f>
        <v>327416.21999999997</v>
      </c>
      <c r="BT66" s="381">
        <f t="shared" ref="BT66" si="424">BS68</f>
        <v>327416.21999999997</v>
      </c>
      <c r="BU66" s="381">
        <f t="shared" ref="BU66" si="425">BT68</f>
        <v>327416.21999999997</v>
      </c>
      <c r="BV66" s="381">
        <f t="shared" ref="BV66" si="426">BU68</f>
        <v>327416.21999999997</v>
      </c>
      <c r="BW66" s="381">
        <f t="shared" ref="BW66" si="427">BV68</f>
        <v>327416.21999999997</v>
      </c>
      <c r="BX66" s="381">
        <f t="shared" ref="BX66" si="428">BW68</f>
        <v>327416.21999999997</v>
      </c>
      <c r="BY66" s="381">
        <f t="shared" ref="BY66" si="429">BX68</f>
        <v>327416.21999999997</v>
      </c>
      <c r="BZ66" s="381">
        <f t="shared" ref="BZ66" si="430">BY68</f>
        <v>327416.21999999997</v>
      </c>
      <c r="CA66" s="381">
        <f t="shared" ref="CA66" si="431">BZ68</f>
        <v>327416.21999999997</v>
      </c>
      <c r="CB66" s="917">
        <f t="shared" ref="CB66" si="432">CA68</f>
        <v>327416.21999999997</v>
      </c>
      <c r="CC66" s="381">
        <f t="shared" ref="CC66" si="433">CB68</f>
        <v>327416.21999999997</v>
      </c>
      <c r="CD66" s="381">
        <f t="shared" ref="CD66" si="434">CC68</f>
        <v>327416.21999999997</v>
      </c>
      <c r="CE66" s="381">
        <f t="shared" ref="CE66" si="435">CD68</f>
        <v>327416.21999999997</v>
      </c>
      <c r="CF66" s="381">
        <f t="shared" ref="CF66" si="436">CE68</f>
        <v>327416.21999999997</v>
      </c>
      <c r="CG66" s="381">
        <f t="shared" ref="CG66" si="437">CF68</f>
        <v>327416.21999999997</v>
      </c>
      <c r="CH66" s="381">
        <f t="shared" ref="CH66" si="438">CG68</f>
        <v>327416.21999999997</v>
      </c>
      <c r="CI66" s="381">
        <f t="shared" ref="CI66" si="439">CH68</f>
        <v>327416.21999999997</v>
      </c>
      <c r="CJ66" s="381">
        <f t="shared" ref="CJ66" si="440">CI68</f>
        <v>327416.21999999997</v>
      </c>
      <c r="CK66" s="381">
        <f t="shared" ref="CK66" si="441">CJ68</f>
        <v>327416.21999999997</v>
      </c>
      <c r="CL66" s="381">
        <f t="shared" ref="CL66" si="442">CK68</f>
        <v>327416.21999999997</v>
      </c>
      <c r="CM66" s="381">
        <f t="shared" ref="CM66" si="443">CL68</f>
        <v>327416.21999999997</v>
      </c>
      <c r="CN66" s="917">
        <f t="shared" ref="CN66" si="444">CM68</f>
        <v>327416.21999999997</v>
      </c>
      <c r="CO66" s="381">
        <f t="shared" ref="CO66" si="445">CN68</f>
        <v>327416.21999999997</v>
      </c>
      <c r="CP66" s="381">
        <f t="shared" ref="CP66" si="446">CO68</f>
        <v>327416.21999999997</v>
      </c>
      <c r="CQ66" s="381">
        <f t="shared" ref="CQ66" si="447">CP68</f>
        <v>327416.21999999997</v>
      </c>
      <c r="CR66" s="381">
        <f t="shared" ref="CR66" si="448">CQ68</f>
        <v>327416.21999999997</v>
      </c>
      <c r="CS66" s="381">
        <f t="shared" ref="CS66" si="449">CR68</f>
        <v>327416.21999999997</v>
      </c>
      <c r="CT66" s="381">
        <f t="shared" ref="CT66" si="450">CS68</f>
        <v>327416.21999999997</v>
      </c>
      <c r="CU66" s="381">
        <f t="shared" ref="CU66" si="451">CT68</f>
        <v>327416.21999999997</v>
      </c>
      <c r="CV66" s="381">
        <f t="shared" ref="CV66" si="452">CU68</f>
        <v>327416.21999999997</v>
      </c>
      <c r="CW66" s="381">
        <f t="shared" ref="CW66" si="453">CV68</f>
        <v>327416.21999999997</v>
      </c>
      <c r="CX66" s="381">
        <f t="shared" ref="CX66" si="454">CW68</f>
        <v>327416.21999999997</v>
      </c>
      <c r="CY66" s="381">
        <f t="shared" ref="CY66" si="455">CX68</f>
        <v>327416.21999999997</v>
      </c>
      <c r="CZ66" s="917">
        <f t="shared" ref="CZ66" si="456">CY68</f>
        <v>327416.21999999997</v>
      </c>
      <c r="DA66" s="381">
        <f t="shared" ref="DA66" si="457">CZ68</f>
        <v>327416.21999999997</v>
      </c>
      <c r="DB66" s="381">
        <f t="shared" ref="DB66" si="458">DA68</f>
        <v>327416.21999999997</v>
      </c>
      <c r="DC66" s="381">
        <f t="shared" ref="DC66" si="459">DB68</f>
        <v>327416.21999999997</v>
      </c>
      <c r="DD66" s="381">
        <f t="shared" ref="DD66" si="460">DC68</f>
        <v>327416.21999999997</v>
      </c>
      <c r="DE66" s="381">
        <f t="shared" ref="DE66" si="461">DD68</f>
        <v>327416.21999999997</v>
      </c>
      <c r="DF66" s="381">
        <f t="shared" ref="DF66" si="462">DE68</f>
        <v>327416.21999999997</v>
      </c>
      <c r="DG66" s="381">
        <f t="shared" ref="DG66" si="463">DF68</f>
        <v>327416.21999999997</v>
      </c>
      <c r="DH66" s="381">
        <f t="shared" ref="DH66" si="464">DG68</f>
        <v>327416.21999999997</v>
      </c>
      <c r="DI66" s="381">
        <f t="shared" ref="DI66" si="465">DH68</f>
        <v>327416.21999999997</v>
      </c>
      <c r="DJ66" s="381">
        <f t="shared" ref="DJ66" si="466">DI68</f>
        <v>327416.21999999997</v>
      </c>
      <c r="DK66" s="381">
        <f t="shared" ref="DK66" si="467">DJ68</f>
        <v>327416.21999999997</v>
      </c>
      <c r="DL66" s="381">
        <f t="shared" ref="DL66" si="468">DK68</f>
        <v>327416.21999999997</v>
      </c>
      <c r="DM66" s="356"/>
      <c r="DN66" s="424"/>
      <c r="DO66" s="330"/>
    </row>
    <row r="67" spans="2:120" x14ac:dyDescent="0.3">
      <c r="B67" s="416"/>
      <c r="C67" s="423"/>
      <c r="D67" s="385"/>
      <c r="E67" s="359"/>
      <c r="F67" s="359" t="s">
        <v>355</v>
      </c>
      <c r="G67" s="359"/>
      <c r="H67" s="359"/>
      <c r="I67" s="382">
        <f>Monthly!K148</f>
        <v>0</v>
      </c>
      <c r="J67" s="382">
        <f>Monthly!L148</f>
        <v>0</v>
      </c>
      <c r="K67" s="382">
        <f>Monthly!M148</f>
        <v>0</v>
      </c>
      <c r="L67" s="382">
        <f>Monthly!N148</f>
        <v>0</v>
      </c>
      <c r="M67" s="382">
        <f>Monthly!O148</f>
        <v>0</v>
      </c>
      <c r="N67" s="382">
        <f>Monthly!P148</f>
        <v>0</v>
      </c>
      <c r="O67" s="382">
        <f>Monthly!Q148</f>
        <v>0</v>
      </c>
      <c r="P67" s="382">
        <f>Monthly!R148</f>
        <v>0</v>
      </c>
      <c r="Q67" s="382">
        <f>Monthly!S148</f>
        <v>0</v>
      </c>
      <c r="R67" s="382">
        <f>Monthly!T148</f>
        <v>0</v>
      </c>
      <c r="S67" s="382">
        <f>Monthly!U148</f>
        <v>0</v>
      </c>
      <c r="T67" s="382">
        <f>Monthly!V148</f>
        <v>0</v>
      </c>
      <c r="U67" s="382">
        <f>Monthly!W148</f>
        <v>0</v>
      </c>
      <c r="V67" s="382">
        <f>Monthly!X148</f>
        <v>0</v>
      </c>
      <c r="W67" s="382">
        <f>Monthly!Y148</f>
        <v>0</v>
      </c>
      <c r="X67" s="382">
        <f>Monthly!Z148</f>
        <v>0</v>
      </c>
      <c r="Y67" s="382">
        <f>Monthly!AA148</f>
        <v>0</v>
      </c>
      <c r="Z67" s="382">
        <f>Monthly!AB148</f>
        <v>0</v>
      </c>
      <c r="AA67" s="382">
        <f>Monthly!AC148</f>
        <v>0</v>
      </c>
      <c r="AB67" s="382">
        <f>Monthly!AD148</f>
        <v>0</v>
      </c>
      <c r="AC67" s="382">
        <f>Monthly!AE148</f>
        <v>0</v>
      </c>
      <c r="AD67" s="382">
        <f>Monthly!AF148</f>
        <v>0</v>
      </c>
      <c r="AE67" s="382">
        <f>Monthly!AG148</f>
        <v>0</v>
      </c>
      <c r="AF67" s="382">
        <f>Monthly!AH148</f>
        <v>0</v>
      </c>
      <c r="AG67" s="382">
        <f>Monthly!AI148</f>
        <v>0</v>
      </c>
      <c r="AH67" s="382">
        <f>Monthly!AJ148</f>
        <v>0</v>
      </c>
      <c r="AI67" s="382">
        <f>Monthly!AK148</f>
        <v>0</v>
      </c>
      <c r="AJ67" s="382">
        <f>Monthly!AL148</f>
        <v>0</v>
      </c>
      <c r="AK67" s="382">
        <f>Monthly!AM148</f>
        <v>0</v>
      </c>
      <c r="AL67" s="382">
        <f>Monthly!AN148</f>
        <v>0</v>
      </c>
      <c r="AM67" s="382">
        <f>Monthly!AO148</f>
        <v>0</v>
      </c>
      <c r="AN67" s="382">
        <f>Monthly!AP148</f>
        <v>0</v>
      </c>
      <c r="AO67" s="382">
        <f>Monthly!AQ148</f>
        <v>0</v>
      </c>
      <c r="AP67" s="382">
        <f>Monthly!AR148</f>
        <v>0</v>
      </c>
      <c r="AQ67" s="382">
        <f>Monthly!AS148</f>
        <v>0</v>
      </c>
      <c r="AR67" s="382">
        <f>Monthly!AT148</f>
        <v>0</v>
      </c>
      <c r="AS67" s="382">
        <f>Monthly!AU148</f>
        <v>0</v>
      </c>
      <c r="AT67" s="382">
        <f>Monthly!AV148</f>
        <v>0</v>
      </c>
      <c r="AU67" s="382">
        <f>Monthly!AW148</f>
        <v>0</v>
      </c>
      <c r="AV67" s="382">
        <f>Monthly!AX148</f>
        <v>0</v>
      </c>
      <c r="AW67" s="382">
        <f>Monthly!AY148</f>
        <v>0</v>
      </c>
      <c r="AX67" s="382">
        <f>Monthly!AZ148</f>
        <v>0</v>
      </c>
      <c r="AY67" s="382">
        <f>Monthly!BA148</f>
        <v>0</v>
      </c>
      <c r="AZ67" s="382">
        <f>Monthly!BB148</f>
        <v>0</v>
      </c>
      <c r="BA67" s="382">
        <f>Monthly!BC148</f>
        <v>0</v>
      </c>
      <c r="BB67" s="382">
        <f>Monthly!BD148</f>
        <v>0</v>
      </c>
      <c r="BC67" s="382">
        <f>Monthly!BE148</f>
        <v>0</v>
      </c>
      <c r="BD67" s="382">
        <f>Monthly!BF148</f>
        <v>0</v>
      </c>
      <c r="BE67" s="382">
        <f>Monthly!BG148</f>
        <v>0</v>
      </c>
      <c r="BF67" s="382">
        <f>Monthly!BH148</f>
        <v>0</v>
      </c>
      <c r="BG67" s="382">
        <f>Monthly!BI148</f>
        <v>0</v>
      </c>
      <c r="BH67" s="382">
        <f>Monthly!BJ148</f>
        <v>0</v>
      </c>
      <c r="BI67" s="382">
        <f>Monthly!BK148</f>
        <v>0</v>
      </c>
      <c r="BJ67" s="382">
        <f>Monthly!BL148</f>
        <v>0</v>
      </c>
      <c r="BK67" s="382">
        <f>Monthly!BM148</f>
        <v>0</v>
      </c>
      <c r="BL67" s="382">
        <f>Monthly!BN148</f>
        <v>0</v>
      </c>
      <c r="BM67" s="382">
        <f>Monthly!BO148</f>
        <v>0</v>
      </c>
      <c r="BN67" s="382">
        <f>Monthly!BP148</f>
        <v>0</v>
      </c>
      <c r="BO67" s="382">
        <f>Monthly!BQ148</f>
        <v>0</v>
      </c>
      <c r="BP67" s="382">
        <f>Monthly!BR148</f>
        <v>0</v>
      </c>
      <c r="BQ67" s="382">
        <f>Monthly!BS148</f>
        <v>0</v>
      </c>
      <c r="BR67" s="382">
        <f>Monthly!BT148</f>
        <v>0</v>
      </c>
      <c r="BS67" s="382">
        <f>Monthly!BU148</f>
        <v>0</v>
      </c>
      <c r="BT67" s="382">
        <f>Monthly!BV148</f>
        <v>0</v>
      </c>
      <c r="BU67" s="382">
        <f>Monthly!BW148</f>
        <v>0</v>
      </c>
      <c r="BV67" s="382">
        <f>Monthly!BX148</f>
        <v>0</v>
      </c>
      <c r="BW67" s="382">
        <f>Monthly!BY148</f>
        <v>0</v>
      </c>
      <c r="BX67" s="382">
        <f>Monthly!BZ148</f>
        <v>0</v>
      </c>
      <c r="BY67" s="382">
        <f>Monthly!CA148</f>
        <v>0</v>
      </c>
      <c r="BZ67" s="382">
        <f>Monthly!CB148</f>
        <v>0</v>
      </c>
      <c r="CA67" s="382">
        <f>Monthly!CC148</f>
        <v>0</v>
      </c>
      <c r="CB67" s="382">
        <f>Monthly!CD148</f>
        <v>0</v>
      </c>
      <c r="CC67" s="382">
        <f>Monthly!CE148</f>
        <v>0</v>
      </c>
      <c r="CD67" s="382">
        <f>Monthly!CF148</f>
        <v>0</v>
      </c>
      <c r="CE67" s="382">
        <f>Monthly!CG148</f>
        <v>0</v>
      </c>
      <c r="CF67" s="382">
        <f>Monthly!CH148</f>
        <v>0</v>
      </c>
      <c r="CG67" s="382">
        <f>Monthly!CI148</f>
        <v>0</v>
      </c>
      <c r="CH67" s="382">
        <f>Monthly!CJ148</f>
        <v>0</v>
      </c>
      <c r="CI67" s="382">
        <f>Monthly!CK148</f>
        <v>0</v>
      </c>
      <c r="CJ67" s="382">
        <f>Monthly!CL148</f>
        <v>0</v>
      </c>
      <c r="CK67" s="382">
        <f>Monthly!CM148</f>
        <v>0</v>
      </c>
      <c r="CL67" s="382">
        <f>Monthly!CN148</f>
        <v>0</v>
      </c>
      <c r="CM67" s="382">
        <f>Monthly!CO148</f>
        <v>0</v>
      </c>
      <c r="CN67" s="382">
        <f>Monthly!CP148</f>
        <v>0</v>
      </c>
      <c r="CO67" s="382">
        <f>Monthly!CQ148</f>
        <v>0</v>
      </c>
      <c r="CP67" s="382">
        <f>Monthly!CR148</f>
        <v>0</v>
      </c>
      <c r="CQ67" s="382">
        <f>Monthly!CS148</f>
        <v>0</v>
      </c>
      <c r="CR67" s="382">
        <f>Monthly!CT148</f>
        <v>0</v>
      </c>
      <c r="CS67" s="382">
        <f>Monthly!CU148</f>
        <v>0</v>
      </c>
      <c r="CT67" s="382">
        <f>Monthly!CV148</f>
        <v>0</v>
      </c>
      <c r="CU67" s="382">
        <f>Monthly!CW148</f>
        <v>0</v>
      </c>
      <c r="CV67" s="382">
        <f>Monthly!CX148</f>
        <v>0</v>
      </c>
      <c r="CW67" s="382">
        <f>Monthly!CY148</f>
        <v>0</v>
      </c>
      <c r="CX67" s="382">
        <f>Monthly!CZ148</f>
        <v>0</v>
      </c>
      <c r="CY67" s="382">
        <f>Monthly!DA148</f>
        <v>0</v>
      </c>
      <c r="CZ67" s="382">
        <f>Monthly!DB148</f>
        <v>0</v>
      </c>
      <c r="DA67" s="382">
        <f>Monthly!DC148</f>
        <v>0</v>
      </c>
      <c r="DB67" s="382">
        <f>Monthly!DD148</f>
        <v>0</v>
      </c>
      <c r="DC67" s="382">
        <f>Monthly!DE148</f>
        <v>0</v>
      </c>
      <c r="DD67" s="382">
        <f>Monthly!DF148</f>
        <v>0</v>
      </c>
      <c r="DE67" s="382">
        <f>Monthly!DG148</f>
        <v>0</v>
      </c>
      <c r="DF67" s="382">
        <f>Monthly!DH148</f>
        <v>0</v>
      </c>
      <c r="DG67" s="382">
        <f>Monthly!DI148</f>
        <v>0</v>
      </c>
      <c r="DH67" s="382">
        <f>Monthly!DJ148</f>
        <v>0</v>
      </c>
      <c r="DI67" s="382">
        <f>Monthly!DK148</f>
        <v>0</v>
      </c>
      <c r="DJ67" s="382">
        <f>Monthly!DL148</f>
        <v>0</v>
      </c>
      <c r="DK67" s="382">
        <f>Monthly!DM148</f>
        <v>0</v>
      </c>
      <c r="DL67" s="382">
        <f>Monthly!DN148</f>
        <v>0</v>
      </c>
      <c r="DM67" s="359"/>
      <c r="DN67" s="425">
        <f>SUM(I67:DL67)</f>
        <v>0</v>
      </c>
      <c r="DO67" s="330"/>
    </row>
    <row r="68" spans="2:120" x14ac:dyDescent="0.3">
      <c r="B68" s="416"/>
      <c r="C68" s="423"/>
      <c r="D68" s="385"/>
      <c r="E68" s="356" t="s">
        <v>257</v>
      </c>
      <c r="F68" s="356"/>
      <c r="G68" s="356"/>
      <c r="H68" s="356"/>
      <c r="I68" s="381">
        <f>I66-I67</f>
        <v>327416.21999999997</v>
      </c>
      <c r="J68" s="381">
        <f>J66-J67</f>
        <v>327416.21999999997</v>
      </c>
      <c r="K68" s="381">
        <f t="shared" ref="K68:AF68" si="469">K66-K67</f>
        <v>327416.21999999997</v>
      </c>
      <c r="L68" s="381">
        <f t="shared" si="469"/>
        <v>327416.21999999997</v>
      </c>
      <c r="M68" s="381">
        <f t="shared" si="469"/>
        <v>327416.21999999997</v>
      </c>
      <c r="N68" s="381">
        <f t="shared" si="469"/>
        <v>327416.21999999997</v>
      </c>
      <c r="O68" s="381">
        <f t="shared" si="469"/>
        <v>327416.21999999997</v>
      </c>
      <c r="P68" s="381">
        <f t="shared" si="469"/>
        <v>327416.21999999997</v>
      </c>
      <c r="Q68" s="381">
        <f t="shared" si="469"/>
        <v>327416.21999999997</v>
      </c>
      <c r="R68" s="381">
        <f t="shared" si="469"/>
        <v>327416.21999999997</v>
      </c>
      <c r="S68" s="381">
        <f t="shared" si="469"/>
        <v>327416.21999999997</v>
      </c>
      <c r="T68" s="917">
        <f t="shared" si="469"/>
        <v>327416.21999999997</v>
      </c>
      <c r="U68" s="381">
        <f t="shared" si="469"/>
        <v>327416.21999999997</v>
      </c>
      <c r="V68" s="381">
        <f t="shared" si="469"/>
        <v>327416.21999999997</v>
      </c>
      <c r="W68" s="381">
        <f t="shared" si="469"/>
        <v>327416.21999999997</v>
      </c>
      <c r="X68" s="381">
        <f t="shared" si="469"/>
        <v>327416.21999999997</v>
      </c>
      <c r="Y68" s="381">
        <f t="shared" si="469"/>
        <v>327416.21999999997</v>
      </c>
      <c r="Z68" s="381">
        <f t="shared" si="469"/>
        <v>327416.21999999997</v>
      </c>
      <c r="AA68" s="381">
        <f t="shared" si="469"/>
        <v>327416.21999999997</v>
      </c>
      <c r="AB68" s="381">
        <f t="shared" si="469"/>
        <v>327416.21999999997</v>
      </c>
      <c r="AC68" s="381">
        <f t="shared" si="469"/>
        <v>327416.21999999997</v>
      </c>
      <c r="AD68" s="381">
        <f t="shared" si="469"/>
        <v>327416.21999999997</v>
      </c>
      <c r="AE68" s="381">
        <f t="shared" si="469"/>
        <v>327416.21999999997</v>
      </c>
      <c r="AF68" s="917">
        <f t="shared" si="469"/>
        <v>327416.21999999997</v>
      </c>
      <c r="AG68" s="381">
        <f t="shared" ref="AG68:AI68" si="470">AG66-AG67</f>
        <v>327416.21999999997</v>
      </c>
      <c r="AH68" s="381">
        <f t="shared" si="470"/>
        <v>327416.21999999997</v>
      </c>
      <c r="AI68" s="381">
        <f t="shared" si="470"/>
        <v>327416.21999999997</v>
      </c>
      <c r="AJ68" s="381">
        <f t="shared" ref="AJ68:BD68" si="471">AJ66-AJ67</f>
        <v>327416.21999999997</v>
      </c>
      <c r="AK68" s="381">
        <f t="shared" si="471"/>
        <v>327416.21999999997</v>
      </c>
      <c r="AL68" s="381">
        <f t="shared" si="471"/>
        <v>327416.21999999997</v>
      </c>
      <c r="AM68" s="381">
        <f t="shared" si="471"/>
        <v>327416.21999999997</v>
      </c>
      <c r="AN68" s="381">
        <f t="shared" si="471"/>
        <v>327416.21999999997</v>
      </c>
      <c r="AO68" s="381">
        <f t="shared" si="471"/>
        <v>327416.21999999997</v>
      </c>
      <c r="AP68" s="381">
        <f t="shared" si="471"/>
        <v>327416.21999999997</v>
      </c>
      <c r="AQ68" s="381">
        <f t="shared" si="471"/>
        <v>327416.21999999997</v>
      </c>
      <c r="AR68" s="917">
        <f t="shared" si="471"/>
        <v>327416.21999999997</v>
      </c>
      <c r="AS68" s="381">
        <f t="shared" si="471"/>
        <v>327416.21999999997</v>
      </c>
      <c r="AT68" s="381">
        <f t="shared" si="471"/>
        <v>327416.21999999997</v>
      </c>
      <c r="AU68" s="381">
        <f t="shared" si="471"/>
        <v>327416.21999999997</v>
      </c>
      <c r="AV68" s="381">
        <f t="shared" si="471"/>
        <v>327416.21999999997</v>
      </c>
      <c r="AW68" s="381">
        <f t="shared" si="471"/>
        <v>327416.21999999997</v>
      </c>
      <c r="AX68" s="381">
        <f t="shared" si="471"/>
        <v>327416.21999999997</v>
      </c>
      <c r="AY68" s="381">
        <f t="shared" si="471"/>
        <v>327416.21999999997</v>
      </c>
      <c r="AZ68" s="381">
        <f t="shared" si="471"/>
        <v>327416.21999999997</v>
      </c>
      <c r="BA68" s="381">
        <f t="shared" si="471"/>
        <v>327416.21999999997</v>
      </c>
      <c r="BB68" s="381">
        <f t="shared" si="471"/>
        <v>327416.21999999997</v>
      </c>
      <c r="BC68" s="381">
        <f t="shared" si="471"/>
        <v>327416.21999999997</v>
      </c>
      <c r="BD68" s="917">
        <f t="shared" si="471"/>
        <v>327416.21999999997</v>
      </c>
      <c r="BE68" s="381">
        <f t="shared" ref="BE68:CB68" si="472">BE66-BE67</f>
        <v>327416.21999999997</v>
      </c>
      <c r="BF68" s="381">
        <f t="shared" si="472"/>
        <v>327416.21999999997</v>
      </c>
      <c r="BG68" s="381">
        <f t="shared" si="472"/>
        <v>327416.21999999997</v>
      </c>
      <c r="BH68" s="381">
        <f t="shared" si="472"/>
        <v>327416.21999999997</v>
      </c>
      <c r="BI68" s="381">
        <f t="shared" si="472"/>
        <v>327416.21999999997</v>
      </c>
      <c r="BJ68" s="381">
        <f t="shared" si="472"/>
        <v>327416.21999999997</v>
      </c>
      <c r="BK68" s="381">
        <f t="shared" si="472"/>
        <v>327416.21999999997</v>
      </c>
      <c r="BL68" s="381">
        <f t="shared" si="472"/>
        <v>327416.21999999997</v>
      </c>
      <c r="BM68" s="381">
        <f t="shared" si="472"/>
        <v>327416.21999999997</v>
      </c>
      <c r="BN68" s="381">
        <f t="shared" si="472"/>
        <v>327416.21999999997</v>
      </c>
      <c r="BO68" s="381">
        <f t="shared" si="472"/>
        <v>327416.21999999997</v>
      </c>
      <c r="BP68" s="917">
        <f t="shared" si="472"/>
        <v>327416.21999999997</v>
      </c>
      <c r="BQ68" s="381">
        <f t="shared" si="472"/>
        <v>327416.21999999997</v>
      </c>
      <c r="BR68" s="381">
        <f t="shared" si="472"/>
        <v>327416.21999999997</v>
      </c>
      <c r="BS68" s="381">
        <f t="shared" si="472"/>
        <v>327416.21999999997</v>
      </c>
      <c r="BT68" s="381">
        <f t="shared" si="472"/>
        <v>327416.21999999997</v>
      </c>
      <c r="BU68" s="381">
        <f t="shared" si="472"/>
        <v>327416.21999999997</v>
      </c>
      <c r="BV68" s="381">
        <f t="shared" si="472"/>
        <v>327416.21999999997</v>
      </c>
      <c r="BW68" s="381">
        <f t="shared" si="472"/>
        <v>327416.21999999997</v>
      </c>
      <c r="BX68" s="381">
        <f t="shared" si="472"/>
        <v>327416.21999999997</v>
      </c>
      <c r="BY68" s="381">
        <f t="shared" si="472"/>
        <v>327416.21999999997</v>
      </c>
      <c r="BZ68" s="381">
        <f t="shared" si="472"/>
        <v>327416.21999999997</v>
      </c>
      <c r="CA68" s="381">
        <f t="shared" si="472"/>
        <v>327416.21999999997</v>
      </c>
      <c r="CB68" s="917">
        <f t="shared" si="472"/>
        <v>327416.21999999997</v>
      </c>
      <c r="CC68" s="381">
        <f t="shared" ref="CC68:CZ68" si="473">CC66-CC67</f>
        <v>327416.21999999997</v>
      </c>
      <c r="CD68" s="381">
        <f t="shared" si="473"/>
        <v>327416.21999999997</v>
      </c>
      <c r="CE68" s="381">
        <f t="shared" si="473"/>
        <v>327416.21999999997</v>
      </c>
      <c r="CF68" s="381">
        <f t="shared" si="473"/>
        <v>327416.21999999997</v>
      </c>
      <c r="CG68" s="381">
        <f t="shared" si="473"/>
        <v>327416.21999999997</v>
      </c>
      <c r="CH68" s="381">
        <f t="shared" si="473"/>
        <v>327416.21999999997</v>
      </c>
      <c r="CI68" s="381">
        <f t="shared" si="473"/>
        <v>327416.21999999997</v>
      </c>
      <c r="CJ68" s="381">
        <f t="shared" si="473"/>
        <v>327416.21999999997</v>
      </c>
      <c r="CK68" s="381">
        <f t="shared" si="473"/>
        <v>327416.21999999997</v>
      </c>
      <c r="CL68" s="381">
        <f t="shared" si="473"/>
        <v>327416.21999999997</v>
      </c>
      <c r="CM68" s="381">
        <f t="shared" si="473"/>
        <v>327416.21999999997</v>
      </c>
      <c r="CN68" s="917">
        <f t="shared" si="473"/>
        <v>327416.21999999997</v>
      </c>
      <c r="CO68" s="381">
        <f t="shared" si="473"/>
        <v>327416.21999999997</v>
      </c>
      <c r="CP68" s="381">
        <f t="shared" si="473"/>
        <v>327416.21999999997</v>
      </c>
      <c r="CQ68" s="381">
        <f t="shared" si="473"/>
        <v>327416.21999999997</v>
      </c>
      <c r="CR68" s="381">
        <f t="shared" si="473"/>
        <v>327416.21999999997</v>
      </c>
      <c r="CS68" s="381">
        <f t="shared" si="473"/>
        <v>327416.21999999997</v>
      </c>
      <c r="CT68" s="381">
        <f t="shared" si="473"/>
        <v>327416.21999999997</v>
      </c>
      <c r="CU68" s="381">
        <f t="shared" si="473"/>
        <v>327416.21999999997</v>
      </c>
      <c r="CV68" s="381">
        <f t="shared" si="473"/>
        <v>327416.21999999997</v>
      </c>
      <c r="CW68" s="381">
        <f t="shared" si="473"/>
        <v>327416.21999999997</v>
      </c>
      <c r="CX68" s="381">
        <f t="shared" si="473"/>
        <v>327416.21999999997</v>
      </c>
      <c r="CY68" s="381">
        <f t="shared" si="473"/>
        <v>327416.21999999997</v>
      </c>
      <c r="CZ68" s="917">
        <f t="shared" si="473"/>
        <v>327416.21999999997</v>
      </c>
      <c r="DA68" s="381">
        <f t="shared" ref="DA68:DL68" si="474">DA66-DA67</f>
        <v>327416.21999999997</v>
      </c>
      <c r="DB68" s="381">
        <f t="shared" si="474"/>
        <v>327416.21999999997</v>
      </c>
      <c r="DC68" s="381">
        <f t="shared" si="474"/>
        <v>327416.21999999997</v>
      </c>
      <c r="DD68" s="381">
        <f t="shared" si="474"/>
        <v>327416.21999999997</v>
      </c>
      <c r="DE68" s="381">
        <f t="shared" si="474"/>
        <v>327416.21999999997</v>
      </c>
      <c r="DF68" s="381">
        <f t="shared" si="474"/>
        <v>327416.21999999997</v>
      </c>
      <c r="DG68" s="381">
        <f t="shared" si="474"/>
        <v>327416.21999999997</v>
      </c>
      <c r="DH68" s="381">
        <f t="shared" si="474"/>
        <v>327416.21999999997</v>
      </c>
      <c r="DI68" s="381">
        <f t="shared" si="474"/>
        <v>327416.21999999997</v>
      </c>
      <c r="DJ68" s="381">
        <f t="shared" si="474"/>
        <v>327416.21999999997</v>
      </c>
      <c r="DK68" s="381">
        <f t="shared" si="474"/>
        <v>327416.21999999997</v>
      </c>
      <c r="DL68" s="381">
        <f t="shared" si="474"/>
        <v>327416.21999999997</v>
      </c>
      <c r="DM68" s="356"/>
      <c r="DN68" s="424"/>
      <c r="DO68" s="330"/>
    </row>
    <row r="69" spans="2:120" x14ac:dyDescent="0.3">
      <c r="B69" s="416"/>
      <c r="C69" s="423"/>
      <c r="D69" s="385"/>
      <c r="E69" s="356"/>
      <c r="F69" s="356"/>
      <c r="G69" s="356"/>
      <c r="H69" s="356"/>
      <c r="I69" s="381"/>
      <c r="J69" s="381"/>
      <c r="K69" s="381"/>
      <c r="L69" s="381"/>
      <c r="M69" s="381"/>
      <c r="N69" s="381"/>
      <c r="O69" s="381"/>
      <c r="P69" s="381"/>
      <c r="Q69" s="381"/>
      <c r="R69" s="381"/>
      <c r="S69" s="381"/>
      <c r="T69" s="917"/>
      <c r="U69" s="381"/>
      <c r="V69" s="381"/>
      <c r="W69" s="381"/>
      <c r="X69" s="381"/>
      <c r="Y69" s="381"/>
      <c r="Z69" s="381"/>
      <c r="AA69" s="381"/>
      <c r="AB69" s="381"/>
      <c r="AC69" s="381"/>
      <c r="AD69" s="381"/>
      <c r="AE69" s="381"/>
      <c r="AF69" s="917"/>
      <c r="AG69" s="381"/>
      <c r="AH69" s="381"/>
      <c r="AI69" s="381"/>
      <c r="AJ69" s="381"/>
      <c r="AK69" s="381"/>
      <c r="AL69" s="381"/>
      <c r="AM69" s="381"/>
      <c r="AN69" s="381"/>
      <c r="AO69" s="381"/>
      <c r="AP69" s="381"/>
      <c r="AQ69" s="381"/>
      <c r="AR69" s="917"/>
      <c r="AS69" s="381"/>
      <c r="AT69" s="381"/>
      <c r="AU69" s="381"/>
      <c r="AV69" s="381"/>
      <c r="AW69" s="381"/>
      <c r="AX69" s="381"/>
      <c r="AY69" s="381"/>
      <c r="AZ69" s="381"/>
      <c r="BA69" s="381"/>
      <c r="BB69" s="381"/>
      <c r="BC69" s="381"/>
      <c r="BD69" s="917"/>
      <c r="BE69" s="381"/>
      <c r="BF69" s="381"/>
      <c r="BG69" s="381"/>
      <c r="BH69" s="381"/>
      <c r="BI69" s="381"/>
      <c r="BJ69" s="381"/>
      <c r="BK69" s="381"/>
      <c r="BL69" s="381"/>
      <c r="BM69" s="381"/>
      <c r="BN69" s="381"/>
      <c r="BO69" s="381"/>
      <c r="BP69" s="917"/>
      <c r="BQ69" s="381"/>
      <c r="BR69" s="381"/>
      <c r="BS69" s="381"/>
      <c r="BT69" s="381"/>
      <c r="BU69" s="381"/>
      <c r="BV69" s="381"/>
      <c r="BW69" s="381"/>
      <c r="BX69" s="381"/>
      <c r="BY69" s="381"/>
      <c r="BZ69" s="381"/>
      <c r="CA69" s="381"/>
      <c r="CB69" s="917"/>
      <c r="CC69" s="381"/>
      <c r="CD69" s="381"/>
      <c r="CE69" s="381"/>
      <c r="CF69" s="381"/>
      <c r="CG69" s="381"/>
      <c r="CH69" s="381"/>
      <c r="CI69" s="381"/>
      <c r="CJ69" s="381"/>
      <c r="CK69" s="381"/>
      <c r="CL69" s="381"/>
      <c r="CM69" s="381"/>
      <c r="CN69" s="917"/>
      <c r="CO69" s="381"/>
      <c r="CP69" s="381"/>
      <c r="CQ69" s="381"/>
      <c r="CR69" s="381"/>
      <c r="CS69" s="381"/>
      <c r="CT69" s="381"/>
      <c r="CU69" s="381"/>
      <c r="CV69" s="381"/>
      <c r="CW69" s="381"/>
      <c r="CX69" s="381"/>
      <c r="CY69" s="381"/>
      <c r="CZ69" s="917"/>
      <c r="DA69" s="381"/>
      <c r="DB69" s="381"/>
      <c r="DC69" s="381"/>
      <c r="DD69" s="381"/>
      <c r="DE69" s="381"/>
      <c r="DF69" s="381"/>
      <c r="DG69" s="381"/>
      <c r="DH69" s="381"/>
      <c r="DI69" s="381"/>
      <c r="DJ69" s="381"/>
      <c r="DK69" s="381"/>
      <c r="DL69" s="381"/>
      <c r="DM69" s="356"/>
      <c r="DN69" s="424"/>
      <c r="DO69" s="330"/>
    </row>
    <row r="70" spans="2:120" x14ac:dyDescent="0.3">
      <c r="B70" s="416"/>
      <c r="C70" s="423"/>
      <c r="D70" s="385" t="s">
        <v>255</v>
      </c>
      <c r="E70" s="356"/>
      <c r="F70" s="356"/>
      <c r="G70" s="356"/>
      <c r="H70" s="356"/>
      <c r="I70" s="381"/>
      <c r="J70" s="381"/>
      <c r="K70" s="381"/>
      <c r="L70" s="381"/>
      <c r="M70" s="381"/>
      <c r="N70" s="381"/>
      <c r="O70" s="381"/>
      <c r="P70" s="381"/>
      <c r="Q70" s="381"/>
      <c r="R70" s="381"/>
      <c r="S70" s="381"/>
      <c r="T70" s="917"/>
      <c r="U70" s="381"/>
      <c r="V70" s="381"/>
      <c r="W70" s="381"/>
      <c r="X70" s="381"/>
      <c r="Y70" s="381"/>
      <c r="Z70" s="381"/>
      <c r="AA70" s="381"/>
      <c r="AB70" s="381"/>
      <c r="AC70" s="381"/>
      <c r="AD70" s="381"/>
      <c r="AE70" s="381"/>
      <c r="AF70" s="917"/>
      <c r="AG70" s="381"/>
      <c r="AH70" s="381"/>
      <c r="AI70" s="381"/>
      <c r="AJ70" s="381"/>
      <c r="AK70" s="381"/>
      <c r="AL70" s="381"/>
      <c r="AM70" s="381"/>
      <c r="AN70" s="381"/>
      <c r="AO70" s="381"/>
      <c r="AP70" s="381"/>
      <c r="AQ70" s="381"/>
      <c r="AR70" s="917"/>
      <c r="AS70" s="381"/>
      <c r="AT70" s="381"/>
      <c r="AU70" s="381"/>
      <c r="AV70" s="381"/>
      <c r="AW70" s="381"/>
      <c r="AX70" s="381"/>
      <c r="AY70" s="381"/>
      <c r="AZ70" s="381"/>
      <c r="BA70" s="381"/>
      <c r="BB70" s="381"/>
      <c r="BC70" s="381"/>
      <c r="BD70" s="917"/>
      <c r="BE70" s="381"/>
      <c r="BF70" s="381"/>
      <c r="BG70" s="381"/>
      <c r="BH70" s="381"/>
      <c r="BI70" s="381"/>
      <c r="BJ70" s="381"/>
      <c r="BK70" s="381"/>
      <c r="BL70" s="381"/>
      <c r="BM70" s="381"/>
      <c r="BN70" s="381"/>
      <c r="BO70" s="381"/>
      <c r="BP70" s="917"/>
      <c r="BQ70" s="381"/>
      <c r="BR70" s="381"/>
      <c r="BS70" s="381"/>
      <c r="BT70" s="381"/>
      <c r="BU70" s="381"/>
      <c r="BV70" s="381"/>
      <c r="BW70" s="381"/>
      <c r="BX70" s="381"/>
      <c r="BY70" s="381"/>
      <c r="BZ70" s="381"/>
      <c r="CA70" s="381"/>
      <c r="CB70" s="917"/>
      <c r="CC70" s="381"/>
      <c r="CD70" s="381"/>
      <c r="CE70" s="381"/>
      <c r="CF70" s="381"/>
      <c r="CG70" s="381"/>
      <c r="CH70" s="381"/>
      <c r="CI70" s="381"/>
      <c r="CJ70" s="381"/>
      <c r="CK70" s="381"/>
      <c r="CL70" s="381"/>
      <c r="CM70" s="381"/>
      <c r="CN70" s="917"/>
      <c r="CO70" s="381"/>
      <c r="CP70" s="381"/>
      <c r="CQ70" s="381"/>
      <c r="CR70" s="381"/>
      <c r="CS70" s="381"/>
      <c r="CT70" s="381"/>
      <c r="CU70" s="381"/>
      <c r="CV70" s="381"/>
      <c r="CW70" s="381"/>
      <c r="CX70" s="381"/>
      <c r="CY70" s="381"/>
      <c r="CZ70" s="917"/>
      <c r="DA70" s="381"/>
      <c r="DB70" s="381"/>
      <c r="DC70" s="381"/>
      <c r="DD70" s="381"/>
      <c r="DE70" s="381"/>
      <c r="DF70" s="381"/>
      <c r="DG70" s="381"/>
      <c r="DH70" s="381"/>
      <c r="DI70" s="381"/>
      <c r="DJ70" s="381"/>
      <c r="DK70" s="381"/>
      <c r="DL70" s="381"/>
      <c r="DM70" s="356"/>
      <c r="DN70" s="424"/>
      <c r="DO70" s="330"/>
    </row>
    <row r="71" spans="2:120" x14ac:dyDescent="0.3">
      <c r="B71" s="416"/>
      <c r="C71" s="423"/>
      <c r="D71" s="385"/>
      <c r="E71" s="356" t="s">
        <v>256</v>
      </c>
      <c r="F71" s="356"/>
      <c r="G71" s="356"/>
      <c r="H71" s="356"/>
      <c r="I71" s="540">
        <v>0</v>
      </c>
      <c r="J71" s="381">
        <f>I74</f>
        <v>2182.7748000000001</v>
      </c>
      <c r="K71" s="381">
        <f t="shared" ref="K71:AF71" si="475">J74</f>
        <v>4365.5496000000003</v>
      </c>
      <c r="L71" s="381">
        <f t="shared" si="475"/>
        <v>6548.3244000000004</v>
      </c>
      <c r="M71" s="381">
        <f t="shared" si="475"/>
        <v>8731.0992000000006</v>
      </c>
      <c r="N71" s="381">
        <f t="shared" si="475"/>
        <v>10913.874</v>
      </c>
      <c r="O71" s="381">
        <f t="shared" si="475"/>
        <v>13096.648799999999</v>
      </c>
      <c r="P71" s="381">
        <f t="shared" si="475"/>
        <v>15279.423599999998</v>
      </c>
      <c r="Q71" s="381">
        <f t="shared" si="475"/>
        <v>17462.198399999997</v>
      </c>
      <c r="R71" s="381">
        <f t="shared" si="475"/>
        <v>19644.973199999997</v>
      </c>
      <c r="S71" s="381">
        <f t="shared" si="475"/>
        <v>21827.747999999996</v>
      </c>
      <c r="T71" s="917">
        <f t="shared" si="475"/>
        <v>24010.522799999995</v>
      </c>
      <c r="U71" s="381">
        <f t="shared" si="475"/>
        <v>26193.297599999994</v>
      </c>
      <c r="V71" s="381">
        <f t="shared" si="475"/>
        <v>28376.072399999994</v>
      </c>
      <c r="W71" s="381">
        <f t="shared" si="475"/>
        <v>30558.847199999993</v>
      </c>
      <c r="X71" s="381">
        <f t="shared" si="475"/>
        <v>32741.621999999992</v>
      </c>
      <c r="Y71" s="381">
        <f t="shared" si="475"/>
        <v>34924.396799999995</v>
      </c>
      <c r="Z71" s="381">
        <f t="shared" si="475"/>
        <v>37107.171599999994</v>
      </c>
      <c r="AA71" s="381">
        <f t="shared" si="475"/>
        <v>39289.946399999993</v>
      </c>
      <c r="AB71" s="381">
        <f t="shared" si="475"/>
        <v>41472.721199999993</v>
      </c>
      <c r="AC71" s="381">
        <f t="shared" si="475"/>
        <v>43655.495999999992</v>
      </c>
      <c r="AD71" s="381">
        <f t="shared" si="475"/>
        <v>45838.270799999991</v>
      </c>
      <c r="AE71" s="381">
        <f t="shared" si="475"/>
        <v>48021.04559999999</v>
      </c>
      <c r="AF71" s="917">
        <f t="shared" si="475"/>
        <v>50203.82039999999</v>
      </c>
      <c r="AG71" s="381">
        <f t="shared" ref="AG71" si="476">AF74</f>
        <v>52386.595199999989</v>
      </c>
      <c r="AH71" s="381">
        <f t="shared" ref="AH71" si="477">AG74</f>
        <v>54569.369999999988</v>
      </c>
      <c r="AI71" s="381">
        <f t="shared" ref="AI71" si="478">AH74</f>
        <v>56752.144799999987</v>
      </c>
      <c r="AJ71" s="381">
        <f t="shared" ref="AJ71" si="479">AI74</f>
        <v>58934.919599999987</v>
      </c>
      <c r="AK71" s="381">
        <f t="shared" ref="AK71" si="480">AJ74</f>
        <v>61117.694399999986</v>
      </c>
      <c r="AL71" s="381">
        <f t="shared" ref="AL71" si="481">AK74</f>
        <v>63300.469199999985</v>
      </c>
      <c r="AM71" s="381">
        <f t="shared" ref="AM71" si="482">AL74</f>
        <v>65483.243999999984</v>
      </c>
      <c r="AN71" s="381">
        <f t="shared" ref="AN71" si="483">AM74</f>
        <v>67666.018799999991</v>
      </c>
      <c r="AO71" s="381">
        <f t="shared" ref="AO71" si="484">AN74</f>
        <v>69848.79359999999</v>
      </c>
      <c r="AP71" s="381">
        <f t="shared" ref="AP71" si="485">AO74</f>
        <v>72031.568399999989</v>
      </c>
      <c r="AQ71" s="381">
        <f t="shared" ref="AQ71" si="486">AP74</f>
        <v>74214.343199999988</v>
      </c>
      <c r="AR71" s="917">
        <f t="shared" ref="AR71" si="487">AQ74</f>
        <v>76397.117999999988</v>
      </c>
      <c r="AS71" s="381">
        <f t="shared" ref="AS71" si="488">AR74</f>
        <v>78579.892799999987</v>
      </c>
      <c r="AT71" s="381">
        <f t="shared" ref="AT71" si="489">AS74</f>
        <v>80762.667599999986</v>
      </c>
      <c r="AU71" s="381">
        <f t="shared" ref="AU71" si="490">AT74</f>
        <v>82945.442399999985</v>
      </c>
      <c r="AV71" s="381">
        <f t="shared" ref="AV71" si="491">AU74</f>
        <v>85128.217199999985</v>
      </c>
      <c r="AW71" s="381">
        <f t="shared" ref="AW71" si="492">AV74</f>
        <v>87310.991999999984</v>
      </c>
      <c r="AX71" s="381">
        <f t="shared" ref="AX71" si="493">AW74</f>
        <v>89493.766799999983</v>
      </c>
      <c r="AY71" s="381">
        <f t="shared" ref="AY71" si="494">AX74</f>
        <v>91676.541599999982</v>
      </c>
      <c r="AZ71" s="381">
        <f t="shared" ref="AZ71" si="495">AY74</f>
        <v>93859.316399999982</v>
      </c>
      <c r="BA71" s="381">
        <f t="shared" ref="BA71" si="496">AZ74</f>
        <v>96042.091199999981</v>
      </c>
      <c r="BB71" s="381">
        <f t="shared" ref="BB71" si="497">BA74</f>
        <v>98224.86599999998</v>
      </c>
      <c r="BC71" s="381">
        <f t="shared" ref="BC71" si="498">BB74</f>
        <v>100407.64079999998</v>
      </c>
      <c r="BD71" s="917">
        <f t="shared" ref="BD71" si="499">BC74</f>
        <v>102590.41559999998</v>
      </c>
      <c r="BE71" s="381">
        <f t="shared" ref="BE71" si="500">BD74</f>
        <v>104773.19039999998</v>
      </c>
      <c r="BF71" s="381">
        <f t="shared" ref="BF71" si="501">BE74</f>
        <v>106955.96519999998</v>
      </c>
      <c r="BG71" s="381">
        <f t="shared" ref="BG71" si="502">BF74</f>
        <v>109138.73999999998</v>
      </c>
      <c r="BH71" s="381">
        <f t="shared" ref="BH71" si="503">BG74</f>
        <v>111321.51479999998</v>
      </c>
      <c r="BI71" s="381">
        <f t="shared" ref="BI71" si="504">BH74</f>
        <v>113504.28959999997</v>
      </c>
      <c r="BJ71" s="381">
        <f t="shared" ref="BJ71" si="505">BI74</f>
        <v>115687.06439999997</v>
      </c>
      <c r="BK71" s="381">
        <f t="shared" ref="BK71" si="506">BJ74</f>
        <v>117869.83919999997</v>
      </c>
      <c r="BL71" s="381">
        <f t="shared" ref="BL71" si="507">BK74</f>
        <v>120052.61399999997</v>
      </c>
      <c r="BM71" s="381">
        <f t="shared" ref="BM71" si="508">BL74</f>
        <v>122235.38879999997</v>
      </c>
      <c r="BN71" s="381">
        <f t="shared" ref="BN71" si="509">BM74</f>
        <v>124418.16359999997</v>
      </c>
      <c r="BO71" s="381">
        <f t="shared" ref="BO71" si="510">BN74</f>
        <v>126600.93839999997</v>
      </c>
      <c r="BP71" s="917">
        <f t="shared" ref="BP71" si="511">BO74</f>
        <v>128783.71319999997</v>
      </c>
      <c r="BQ71" s="381">
        <f t="shared" ref="BQ71" si="512">BP74</f>
        <v>130966.48799999997</v>
      </c>
      <c r="BR71" s="381">
        <f t="shared" ref="BR71" si="513">BQ74</f>
        <v>133149.26279999997</v>
      </c>
      <c r="BS71" s="381">
        <f t="shared" ref="BS71" si="514">BR74</f>
        <v>135332.03759999998</v>
      </c>
      <c r="BT71" s="381">
        <f t="shared" ref="BT71" si="515">BS74</f>
        <v>137514.8124</v>
      </c>
      <c r="BU71" s="381">
        <f t="shared" ref="BU71" si="516">BT74</f>
        <v>139697.58720000001</v>
      </c>
      <c r="BV71" s="381">
        <f t="shared" ref="BV71" si="517">BU74</f>
        <v>141880.36200000002</v>
      </c>
      <c r="BW71" s="381">
        <f t="shared" ref="BW71" si="518">BV74</f>
        <v>144063.13680000004</v>
      </c>
      <c r="BX71" s="381">
        <f t="shared" ref="BX71" si="519">BW74</f>
        <v>146245.91160000005</v>
      </c>
      <c r="BY71" s="381">
        <f t="shared" ref="BY71" si="520">BX74</f>
        <v>148428.68640000006</v>
      </c>
      <c r="BZ71" s="381">
        <f t="shared" ref="BZ71" si="521">BY74</f>
        <v>150611.46120000008</v>
      </c>
      <c r="CA71" s="381">
        <f t="shared" ref="CA71" si="522">BZ74</f>
        <v>152794.23600000009</v>
      </c>
      <c r="CB71" s="917">
        <f t="shared" ref="CB71" si="523">CA74</f>
        <v>154977.01080000011</v>
      </c>
      <c r="CC71" s="381">
        <f t="shared" ref="CC71" si="524">CB74</f>
        <v>157159.78560000012</v>
      </c>
      <c r="CD71" s="381">
        <f t="shared" ref="CD71" si="525">CC74</f>
        <v>159342.56040000013</v>
      </c>
      <c r="CE71" s="381">
        <f t="shared" ref="CE71" si="526">CD74</f>
        <v>161525.33520000015</v>
      </c>
      <c r="CF71" s="381">
        <f t="shared" ref="CF71" si="527">CE74</f>
        <v>163708.11000000016</v>
      </c>
      <c r="CG71" s="381">
        <f t="shared" ref="CG71" si="528">CF74</f>
        <v>165890.88480000017</v>
      </c>
      <c r="CH71" s="381">
        <f t="shared" ref="CH71" si="529">CG74</f>
        <v>168073.65960000019</v>
      </c>
      <c r="CI71" s="381">
        <f t="shared" ref="CI71" si="530">CH74</f>
        <v>170256.4344000002</v>
      </c>
      <c r="CJ71" s="381">
        <f t="shared" ref="CJ71" si="531">CI74</f>
        <v>172439.20920000022</v>
      </c>
      <c r="CK71" s="381">
        <f t="shared" ref="CK71" si="532">CJ74</f>
        <v>174621.98400000023</v>
      </c>
      <c r="CL71" s="381">
        <f t="shared" ref="CL71" si="533">CK74</f>
        <v>176804.75880000024</v>
      </c>
      <c r="CM71" s="381">
        <f t="shared" ref="CM71" si="534">CL74</f>
        <v>178987.53360000026</v>
      </c>
      <c r="CN71" s="917">
        <f t="shared" ref="CN71" si="535">CM74</f>
        <v>181170.30840000027</v>
      </c>
      <c r="CO71" s="381">
        <f t="shared" ref="CO71" si="536">CN74</f>
        <v>183353.08320000028</v>
      </c>
      <c r="CP71" s="381">
        <f t="shared" ref="CP71" si="537">CO74</f>
        <v>185535.8580000003</v>
      </c>
      <c r="CQ71" s="381">
        <f t="shared" ref="CQ71" si="538">CP74</f>
        <v>187718.63280000031</v>
      </c>
      <c r="CR71" s="381">
        <f t="shared" ref="CR71" si="539">CQ74</f>
        <v>189901.40760000033</v>
      </c>
      <c r="CS71" s="381">
        <f t="shared" ref="CS71" si="540">CR74</f>
        <v>192084.18240000034</v>
      </c>
      <c r="CT71" s="381">
        <f t="shared" ref="CT71" si="541">CS74</f>
        <v>194266.95720000035</v>
      </c>
      <c r="CU71" s="381">
        <f t="shared" ref="CU71" si="542">CT74</f>
        <v>196449.73200000037</v>
      </c>
      <c r="CV71" s="381">
        <f t="shared" ref="CV71" si="543">CU74</f>
        <v>198632.50680000038</v>
      </c>
      <c r="CW71" s="381">
        <f t="shared" ref="CW71" si="544">CV74</f>
        <v>200815.28160000039</v>
      </c>
      <c r="CX71" s="381">
        <f t="shared" ref="CX71" si="545">CW74</f>
        <v>202998.05640000041</v>
      </c>
      <c r="CY71" s="381">
        <f t="shared" ref="CY71" si="546">CX74</f>
        <v>205180.83120000042</v>
      </c>
      <c r="CZ71" s="917">
        <f t="shared" ref="CZ71" si="547">CY74</f>
        <v>207363.60600000044</v>
      </c>
      <c r="DA71" s="381">
        <f t="shared" ref="DA71" si="548">CZ74</f>
        <v>209546.38080000045</v>
      </c>
      <c r="DB71" s="381">
        <f t="shared" ref="DB71" si="549">DA74</f>
        <v>211729.15560000046</v>
      </c>
      <c r="DC71" s="381">
        <f t="shared" ref="DC71" si="550">DB74</f>
        <v>213911.93040000048</v>
      </c>
      <c r="DD71" s="381">
        <f t="shared" ref="DD71" si="551">DC74</f>
        <v>216094.70520000049</v>
      </c>
      <c r="DE71" s="381">
        <f t="shared" ref="DE71" si="552">DD74</f>
        <v>218277.48000000051</v>
      </c>
      <c r="DF71" s="381">
        <f t="shared" ref="DF71" si="553">DE74</f>
        <v>220460.25480000052</v>
      </c>
      <c r="DG71" s="381">
        <f t="shared" ref="DG71" si="554">DF74</f>
        <v>222643.02960000053</v>
      </c>
      <c r="DH71" s="381">
        <f t="shared" ref="DH71" si="555">DG74</f>
        <v>224825.80440000055</v>
      </c>
      <c r="DI71" s="381">
        <f t="shared" ref="DI71" si="556">DH74</f>
        <v>227008.57920000056</v>
      </c>
      <c r="DJ71" s="381">
        <f t="shared" ref="DJ71" si="557">DI74</f>
        <v>229191.35400000057</v>
      </c>
      <c r="DK71" s="381">
        <f t="shared" ref="DK71" si="558">DJ74</f>
        <v>231374.12880000059</v>
      </c>
      <c r="DL71" s="381">
        <f t="shared" ref="DL71" si="559">DK74</f>
        <v>233556.9036000006</v>
      </c>
      <c r="DM71" s="356"/>
      <c r="DN71" s="424"/>
      <c r="DO71" s="330"/>
    </row>
    <row r="72" spans="2:120" x14ac:dyDescent="0.3">
      <c r="B72" s="416"/>
      <c r="C72" s="423"/>
      <c r="D72" s="385"/>
      <c r="E72" s="356"/>
      <c r="F72" s="356" t="s">
        <v>356</v>
      </c>
      <c r="G72" s="383">
        <f>'Members Capital'!K4</f>
        <v>0.08</v>
      </c>
      <c r="H72" s="383"/>
      <c r="I72" s="381">
        <f>$G$72/12*I66</f>
        <v>2182.7748000000001</v>
      </c>
      <c r="J72" s="381">
        <f t="shared" ref="J72:BU72" si="560">$G$72/12*J66</f>
        <v>2182.7748000000001</v>
      </c>
      <c r="K72" s="381">
        <f t="shared" si="560"/>
        <v>2182.7748000000001</v>
      </c>
      <c r="L72" s="381">
        <f t="shared" si="560"/>
        <v>2182.7748000000001</v>
      </c>
      <c r="M72" s="381">
        <f t="shared" si="560"/>
        <v>2182.7748000000001</v>
      </c>
      <c r="N72" s="381">
        <f t="shared" si="560"/>
        <v>2182.7748000000001</v>
      </c>
      <c r="O72" s="381">
        <f t="shared" si="560"/>
        <v>2182.7748000000001</v>
      </c>
      <c r="P72" s="381">
        <f t="shared" si="560"/>
        <v>2182.7748000000001</v>
      </c>
      <c r="Q72" s="381">
        <f t="shared" si="560"/>
        <v>2182.7748000000001</v>
      </c>
      <c r="R72" s="381">
        <f t="shared" si="560"/>
        <v>2182.7748000000001</v>
      </c>
      <c r="S72" s="381">
        <f t="shared" si="560"/>
        <v>2182.7748000000001</v>
      </c>
      <c r="T72" s="381">
        <f t="shared" si="560"/>
        <v>2182.7748000000001</v>
      </c>
      <c r="U72" s="381">
        <f t="shared" si="560"/>
        <v>2182.7748000000001</v>
      </c>
      <c r="V72" s="381">
        <f t="shared" si="560"/>
        <v>2182.7748000000001</v>
      </c>
      <c r="W72" s="381">
        <f t="shared" si="560"/>
        <v>2182.7748000000001</v>
      </c>
      <c r="X72" s="381">
        <f t="shared" si="560"/>
        <v>2182.7748000000001</v>
      </c>
      <c r="Y72" s="381">
        <f t="shared" si="560"/>
        <v>2182.7748000000001</v>
      </c>
      <c r="Z72" s="381">
        <f t="shared" si="560"/>
        <v>2182.7748000000001</v>
      </c>
      <c r="AA72" s="381">
        <f t="shared" si="560"/>
        <v>2182.7748000000001</v>
      </c>
      <c r="AB72" s="381">
        <f t="shared" si="560"/>
        <v>2182.7748000000001</v>
      </c>
      <c r="AC72" s="381">
        <f t="shared" si="560"/>
        <v>2182.7748000000001</v>
      </c>
      <c r="AD72" s="381">
        <f t="shared" si="560"/>
        <v>2182.7748000000001</v>
      </c>
      <c r="AE72" s="381">
        <f t="shared" si="560"/>
        <v>2182.7748000000001</v>
      </c>
      <c r="AF72" s="381">
        <f t="shared" si="560"/>
        <v>2182.7748000000001</v>
      </c>
      <c r="AG72" s="381">
        <f t="shared" si="560"/>
        <v>2182.7748000000001</v>
      </c>
      <c r="AH72" s="381">
        <f t="shared" si="560"/>
        <v>2182.7748000000001</v>
      </c>
      <c r="AI72" s="381">
        <f t="shared" si="560"/>
        <v>2182.7748000000001</v>
      </c>
      <c r="AJ72" s="381">
        <f t="shared" si="560"/>
        <v>2182.7748000000001</v>
      </c>
      <c r="AK72" s="381">
        <f t="shared" si="560"/>
        <v>2182.7748000000001</v>
      </c>
      <c r="AL72" s="381">
        <f t="shared" si="560"/>
        <v>2182.7748000000001</v>
      </c>
      <c r="AM72" s="381">
        <f t="shared" si="560"/>
        <v>2182.7748000000001</v>
      </c>
      <c r="AN72" s="381">
        <f t="shared" si="560"/>
        <v>2182.7748000000001</v>
      </c>
      <c r="AO72" s="381">
        <f t="shared" si="560"/>
        <v>2182.7748000000001</v>
      </c>
      <c r="AP72" s="381">
        <f t="shared" si="560"/>
        <v>2182.7748000000001</v>
      </c>
      <c r="AQ72" s="381">
        <f t="shared" si="560"/>
        <v>2182.7748000000001</v>
      </c>
      <c r="AR72" s="381">
        <f t="shared" si="560"/>
        <v>2182.7748000000001</v>
      </c>
      <c r="AS72" s="381">
        <f t="shared" si="560"/>
        <v>2182.7748000000001</v>
      </c>
      <c r="AT72" s="381">
        <f t="shared" si="560"/>
        <v>2182.7748000000001</v>
      </c>
      <c r="AU72" s="381">
        <f t="shared" si="560"/>
        <v>2182.7748000000001</v>
      </c>
      <c r="AV72" s="381">
        <f t="shared" si="560"/>
        <v>2182.7748000000001</v>
      </c>
      <c r="AW72" s="381">
        <f t="shared" si="560"/>
        <v>2182.7748000000001</v>
      </c>
      <c r="AX72" s="381">
        <f t="shared" si="560"/>
        <v>2182.7748000000001</v>
      </c>
      <c r="AY72" s="381">
        <f t="shared" si="560"/>
        <v>2182.7748000000001</v>
      </c>
      <c r="AZ72" s="381">
        <f t="shared" si="560"/>
        <v>2182.7748000000001</v>
      </c>
      <c r="BA72" s="381">
        <f t="shared" si="560"/>
        <v>2182.7748000000001</v>
      </c>
      <c r="BB72" s="381">
        <f t="shared" si="560"/>
        <v>2182.7748000000001</v>
      </c>
      <c r="BC72" s="381">
        <f t="shared" si="560"/>
        <v>2182.7748000000001</v>
      </c>
      <c r="BD72" s="381">
        <f t="shared" si="560"/>
        <v>2182.7748000000001</v>
      </c>
      <c r="BE72" s="381">
        <f t="shared" si="560"/>
        <v>2182.7748000000001</v>
      </c>
      <c r="BF72" s="381">
        <f t="shared" si="560"/>
        <v>2182.7748000000001</v>
      </c>
      <c r="BG72" s="381">
        <f t="shared" si="560"/>
        <v>2182.7748000000001</v>
      </c>
      <c r="BH72" s="381">
        <f t="shared" si="560"/>
        <v>2182.7748000000001</v>
      </c>
      <c r="BI72" s="381">
        <f t="shared" si="560"/>
        <v>2182.7748000000001</v>
      </c>
      <c r="BJ72" s="381">
        <f t="shared" si="560"/>
        <v>2182.7748000000001</v>
      </c>
      <c r="BK72" s="381">
        <f t="shared" si="560"/>
        <v>2182.7748000000001</v>
      </c>
      <c r="BL72" s="381">
        <f t="shared" si="560"/>
        <v>2182.7748000000001</v>
      </c>
      <c r="BM72" s="381">
        <f t="shared" si="560"/>
        <v>2182.7748000000001</v>
      </c>
      <c r="BN72" s="381">
        <f t="shared" si="560"/>
        <v>2182.7748000000001</v>
      </c>
      <c r="BO72" s="381">
        <f t="shared" si="560"/>
        <v>2182.7748000000001</v>
      </c>
      <c r="BP72" s="381">
        <f t="shared" si="560"/>
        <v>2182.7748000000001</v>
      </c>
      <c r="BQ72" s="381">
        <f t="shared" si="560"/>
        <v>2182.7748000000001</v>
      </c>
      <c r="BR72" s="381">
        <f t="shared" si="560"/>
        <v>2182.7748000000001</v>
      </c>
      <c r="BS72" s="381">
        <f t="shared" si="560"/>
        <v>2182.7748000000001</v>
      </c>
      <c r="BT72" s="381">
        <f t="shared" si="560"/>
        <v>2182.7748000000001</v>
      </c>
      <c r="BU72" s="381">
        <f t="shared" si="560"/>
        <v>2182.7748000000001</v>
      </c>
      <c r="BV72" s="381">
        <f t="shared" ref="BV72:DL72" si="561">$G$72/12*BV66</f>
        <v>2182.7748000000001</v>
      </c>
      <c r="BW72" s="381">
        <f t="shared" si="561"/>
        <v>2182.7748000000001</v>
      </c>
      <c r="BX72" s="381">
        <f t="shared" si="561"/>
        <v>2182.7748000000001</v>
      </c>
      <c r="BY72" s="381">
        <f t="shared" si="561"/>
        <v>2182.7748000000001</v>
      </c>
      <c r="BZ72" s="381">
        <f t="shared" si="561"/>
        <v>2182.7748000000001</v>
      </c>
      <c r="CA72" s="381">
        <f t="shared" si="561"/>
        <v>2182.7748000000001</v>
      </c>
      <c r="CB72" s="381">
        <f t="shared" si="561"/>
        <v>2182.7748000000001</v>
      </c>
      <c r="CC72" s="381">
        <f t="shared" si="561"/>
        <v>2182.7748000000001</v>
      </c>
      <c r="CD72" s="381">
        <f t="shared" si="561"/>
        <v>2182.7748000000001</v>
      </c>
      <c r="CE72" s="381">
        <f t="shared" si="561"/>
        <v>2182.7748000000001</v>
      </c>
      <c r="CF72" s="381">
        <f t="shared" si="561"/>
        <v>2182.7748000000001</v>
      </c>
      <c r="CG72" s="381">
        <f t="shared" si="561"/>
        <v>2182.7748000000001</v>
      </c>
      <c r="CH72" s="381">
        <f t="shared" si="561"/>
        <v>2182.7748000000001</v>
      </c>
      <c r="CI72" s="381">
        <f t="shared" si="561"/>
        <v>2182.7748000000001</v>
      </c>
      <c r="CJ72" s="381">
        <f t="shared" si="561"/>
        <v>2182.7748000000001</v>
      </c>
      <c r="CK72" s="381">
        <f t="shared" si="561"/>
        <v>2182.7748000000001</v>
      </c>
      <c r="CL72" s="381">
        <f t="shared" si="561"/>
        <v>2182.7748000000001</v>
      </c>
      <c r="CM72" s="381">
        <f t="shared" si="561"/>
        <v>2182.7748000000001</v>
      </c>
      <c r="CN72" s="381">
        <f t="shared" si="561"/>
        <v>2182.7748000000001</v>
      </c>
      <c r="CO72" s="381">
        <f t="shared" si="561"/>
        <v>2182.7748000000001</v>
      </c>
      <c r="CP72" s="381">
        <f t="shared" si="561"/>
        <v>2182.7748000000001</v>
      </c>
      <c r="CQ72" s="381">
        <f t="shared" si="561"/>
        <v>2182.7748000000001</v>
      </c>
      <c r="CR72" s="381">
        <f t="shared" si="561"/>
        <v>2182.7748000000001</v>
      </c>
      <c r="CS72" s="381">
        <f t="shared" si="561"/>
        <v>2182.7748000000001</v>
      </c>
      <c r="CT72" s="381">
        <f t="shared" si="561"/>
        <v>2182.7748000000001</v>
      </c>
      <c r="CU72" s="381">
        <f t="shared" si="561"/>
        <v>2182.7748000000001</v>
      </c>
      <c r="CV72" s="381">
        <f t="shared" si="561"/>
        <v>2182.7748000000001</v>
      </c>
      <c r="CW72" s="381">
        <f t="shared" si="561"/>
        <v>2182.7748000000001</v>
      </c>
      <c r="CX72" s="381">
        <f t="shared" si="561"/>
        <v>2182.7748000000001</v>
      </c>
      <c r="CY72" s="381">
        <f t="shared" si="561"/>
        <v>2182.7748000000001</v>
      </c>
      <c r="CZ72" s="381">
        <f t="shared" si="561"/>
        <v>2182.7748000000001</v>
      </c>
      <c r="DA72" s="381">
        <f t="shared" si="561"/>
        <v>2182.7748000000001</v>
      </c>
      <c r="DB72" s="381">
        <f t="shared" si="561"/>
        <v>2182.7748000000001</v>
      </c>
      <c r="DC72" s="381">
        <f t="shared" si="561"/>
        <v>2182.7748000000001</v>
      </c>
      <c r="DD72" s="381">
        <f t="shared" si="561"/>
        <v>2182.7748000000001</v>
      </c>
      <c r="DE72" s="381">
        <f t="shared" si="561"/>
        <v>2182.7748000000001</v>
      </c>
      <c r="DF72" s="381">
        <f t="shared" si="561"/>
        <v>2182.7748000000001</v>
      </c>
      <c r="DG72" s="381">
        <f t="shared" si="561"/>
        <v>2182.7748000000001</v>
      </c>
      <c r="DH72" s="381">
        <f t="shared" si="561"/>
        <v>2182.7748000000001</v>
      </c>
      <c r="DI72" s="381">
        <f t="shared" si="561"/>
        <v>2182.7748000000001</v>
      </c>
      <c r="DJ72" s="381">
        <f t="shared" si="561"/>
        <v>2182.7748000000001</v>
      </c>
      <c r="DK72" s="381">
        <f t="shared" si="561"/>
        <v>2182.7748000000001</v>
      </c>
      <c r="DL72" s="381">
        <f t="shared" si="561"/>
        <v>2182.7748000000001</v>
      </c>
      <c r="DM72" s="356"/>
      <c r="DN72" s="426">
        <f>SUM(I72:DL72)</f>
        <v>235739.67840000062</v>
      </c>
      <c r="DO72" s="330"/>
    </row>
    <row r="73" spans="2:120" x14ac:dyDescent="0.3">
      <c r="B73" s="416"/>
      <c r="C73" s="423"/>
      <c r="D73" s="385"/>
      <c r="E73" s="359"/>
      <c r="F73" s="359" t="s">
        <v>357</v>
      </c>
      <c r="G73" s="359"/>
      <c r="H73" s="359"/>
      <c r="I73" s="382">
        <f>Monthly!K146</f>
        <v>0</v>
      </c>
      <c r="J73" s="382">
        <f>Monthly!L146</f>
        <v>0</v>
      </c>
      <c r="K73" s="382">
        <f>Monthly!M146</f>
        <v>0</v>
      </c>
      <c r="L73" s="382">
        <f>Monthly!N146</f>
        <v>0</v>
      </c>
      <c r="M73" s="382">
        <f>Monthly!O146</f>
        <v>0</v>
      </c>
      <c r="N73" s="382">
        <f>Monthly!P146</f>
        <v>0</v>
      </c>
      <c r="O73" s="382">
        <f>Monthly!Q146</f>
        <v>0</v>
      </c>
      <c r="P73" s="382">
        <f>Monthly!R146</f>
        <v>0</v>
      </c>
      <c r="Q73" s="382">
        <f>Monthly!S146</f>
        <v>0</v>
      </c>
      <c r="R73" s="382">
        <f>Monthly!T146</f>
        <v>0</v>
      </c>
      <c r="S73" s="382">
        <f>Monthly!U146</f>
        <v>0</v>
      </c>
      <c r="T73" s="382">
        <f>Monthly!V146</f>
        <v>0</v>
      </c>
      <c r="U73" s="382">
        <f>Monthly!W146</f>
        <v>0</v>
      </c>
      <c r="V73" s="382">
        <f>Monthly!X146</f>
        <v>0</v>
      </c>
      <c r="W73" s="382">
        <f>Monthly!Y146</f>
        <v>0</v>
      </c>
      <c r="X73" s="382">
        <f>Monthly!Z146</f>
        <v>0</v>
      </c>
      <c r="Y73" s="382">
        <f>Monthly!AA146</f>
        <v>0</v>
      </c>
      <c r="Z73" s="382">
        <f>Monthly!AB146</f>
        <v>0</v>
      </c>
      <c r="AA73" s="382">
        <f>Monthly!AC146</f>
        <v>0</v>
      </c>
      <c r="AB73" s="382">
        <f>Monthly!AD146</f>
        <v>0</v>
      </c>
      <c r="AC73" s="382">
        <f>Monthly!AE146</f>
        <v>0</v>
      </c>
      <c r="AD73" s="382">
        <f>Monthly!AF146</f>
        <v>0</v>
      </c>
      <c r="AE73" s="382">
        <f>Monthly!AG146</f>
        <v>0</v>
      </c>
      <c r="AF73" s="382">
        <f>Monthly!AH146</f>
        <v>0</v>
      </c>
      <c r="AG73" s="382">
        <f>Monthly!AI146</f>
        <v>0</v>
      </c>
      <c r="AH73" s="382">
        <f>Monthly!AJ146</f>
        <v>0</v>
      </c>
      <c r="AI73" s="382">
        <f>Monthly!AK146</f>
        <v>0</v>
      </c>
      <c r="AJ73" s="382">
        <f>Monthly!AL146</f>
        <v>0</v>
      </c>
      <c r="AK73" s="382">
        <f>Monthly!AM146</f>
        <v>0</v>
      </c>
      <c r="AL73" s="382">
        <f>Monthly!AN146</f>
        <v>0</v>
      </c>
      <c r="AM73" s="382">
        <f>Monthly!AO146</f>
        <v>0</v>
      </c>
      <c r="AN73" s="382">
        <f>Monthly!AP146</f>
        <v>0</v>
      </c>
      <c r="AO73" s="382">
        <f>Monthly!AQ146</f>
        <v>0</v>
      </c>
      <c r="AP73" s="382">
        <f>Monthly!AR146</f>
        <v>0</v>
      </c>
      <c r="AQ73" s="382">
        <f>Monthly!AS146</f>
        <v>0</v>
      </c>
      <c r="AR73" s="382">
        <f>Monthly!AT146</f>
        <v>0</v>
      </c>
      <c r="AS73" s="382">
        <f>Monthly!AU146</f>
        <v>0</v>
      </c>
      <c r="AT73" s="382">
        <f>Monthly!AV146</f>
        <v>0</v>
      </c>
      <c r="AU73" s="382">
        <f>Monthly!AW146</f>
        <v>0</v>
      </c>
      <c r="AV73" s="382">
        <f>Monthly!AX146</f>
        <v>0</v>
      </c>
      <c r="AW73" s="382">
        <f>Monthly!AY146</f>
        <v>0</v>
      </c>
      <c r="AX73" s="382">
        <f>Monthly!AZ146</f>
        <v>0</v>
      </c>
      <c r="AY73" s="382">
        <f>Monthly!BA146</f>
        <v>0</v>
      </c>
      <c r="AZ73" s="382">
        <f>Monthly!BB146</f>
        <v>0</v>
      </c>
      <c r="BA73" s="382">
        <f>Monthly!BC146</f>
        <v>0</v>
      </c>
      <c r="BB73" s="382">
        <f>Monthly!BD146</f>
        <v>0</v>
      </c>
      <c r="BC73" s="382">
        <f>Monthly!BE146</f>
        <v>0</v>
      </c>
      <c r="BD73" s="382">
        <f>Monthly!BF146</f>
        <v>0</v>
      </c>
      <c r="BE73" s="382">
        <f>Monthly!BG146</f>
        <v>0</v>
      </c>
      <c r="BF73" s="382">
        <f>Monthly!BH146</f>
        <v>0</v>
      </c>
      <c r="BG73" s="382">
        <f>Monthly!BI146</f>
        <v>0</v>
      </c>
      <c r="BH73" s="382">
        <f>Monthly!BJ146</f>
        <v>0</v>
      </c>
      <c r="BI73" s="382">
        <f>Monthly!BK146</f>
        <v>0</v>
      </c>
      <c r="BJ73" s="382">
        <f>Monthly!BL146</f>
        <v>0</v>
      </c>
      <c r="BK73" s="382">
        <f>Monthly!BM146</f>
        <v>0</v>
      </c>
      <c r="BL73" s="382">
        <f>Monthly!BN146</f>
        <v>0</v>
      </c>
      <c r="BM73" s="382">
        <f>Monthly!BO146</f>
        <v>0</v>
      </c>
      <c r="BN73" s="382">
        <f>Monthly!BP146</f>
        <v>0</v>
      </c>
      <c r="BO73" s="382">
        <f>Monthly!BQ146</f>
        <v>0</v>
      </c>
      <c r="BP73" s="382">
        <f>Monthly!BR146</f>
        <v>0</v>
      </c>
      <c r="BQ73" s="382">
        <f>Monthly!BS146</f>
        <v>0</v>
      </c>
      <c r="BR73" s="382">
        <f>Monthly!BT146</f>
        <v>0</v>
      </c>
      <c r="BS73" s="382">
        <f>Monthly!BU146</f>
        <v>0</v>
      </c>
      <c r="BT73" s="382">
        <f>Monthly!BV146</f>
        <v>0</v>
      </c>
      <c r="BU73" s="382">
        <f>Monthly!BW146</f>
        <v>0</v>
      </c>
      <c r="BV73" s="382">
        <f>Monthly!BX146</f>
        <v>0</v>
      </c>
      <c r="BW73" s="382">
        <f>Monthly!BY146</f>
        <v>0</v>
      </c>
      <c r="BX73" s="382">
        <f>Monthly!BZ146</f>
        <v>0</v>
      </c>
      <c r="BY73" s="382">
        <f>Monthly!CA146</f>
        <v>0</v>
      </c>
      <c r="BZ73" s="382">
        <f>Monthly!CB146</f>
        <v>0</v>
      </c>
      <c r="CA73" s="382">
        <f>Monthly!CC146</f>
        <v>0</v>
      </c>
      <c r="CB73" s="382">
        <f>Monthly!CD146</f>
        <v>0</v>
      </c>
      <c r="CC73" s="382">
        <f>Monthly!CE146</f>
        <v>0</v>
      </c>
      <c r="CD73" s="382">
        <f>Monthly!CF146</f>
        <v>0</v>
      </c>
      <c r="CE73" s="382">
        <f>Monthly!CG146</f>
        <v>0</v>
      </c>
      <c r="CF73" s="382">
        <f>Monthly!CH146</f>
        <v>0</v>
      </c>
      <c r="CG73" s="382">
        <f>Monthly!CI146</f>
        <v>0</v>
      </c>
      <c r="CH73" s="382">
        <f>Monthly!CJ146</f>
        <v>0</v>
      </c>
      <c r="CI73" s="382">
        <f>Monthly!CK146</f>
        <v>0</v>
      </c>
      <c r="CJ73" s="382">
        <f>Monthly!CL146</f>
        <v>0</v>
      </c>
      <c r="CK73" s="382">
        <f>Monthly!CM146</f>
        <v>0</v>
      </c>
      <c r="CL73" s="382">
        <f>Monthly!CN146</f>
        <v>0</v>
      </c>
      <c r="CM73" s="382">
        <f>Monthly!CO146</f>
        <v>0</v>
      </c>
      <c r="CN73" s="382">
        <f>Monthly!CP146</f>
        <v>0</v>
      </c>
      <c r="CO73" s="382">
        <f>Monthly!CQ146</f>
        <v>0</v>
      </c>
      <c r="CP73" s="382">
        <f>Monthly!CR146</f>
        <v>0</v>
      </c>
      <c r="CQ73" s="382">
        <f>Monthly!CS146</f>
        <v>0</v>
      </c>
      <c r="CR73" s="382">
        <f>Monthly!CT146</f>
        <v>0</v>
      </c>
      <c r="CS73" s="382">
        <f>Monthly!CU146</f>
        <v>0</v>
      </c>
      <c r="CT73" s="382">
        <f>Monthly!CV146</f>
        <v>0</v>
      </c>
      <c r="CU73" s="382">
        <f>Monthly!CW146</f>
        <v>0</v>
      </c>
      <c r="CV73" s="382">
        <f>Monthly!CX146</f>
        <v>0</v>
      </c>
      <c r="CW73" s="382">
        <f>Monthly!CY146</f>
        <v>0</v>
      </c>
      <c r="CX73" s="382">
        <f>Monthly!CZ146</f>
        <v>0</v>
      </c>
      <c r="CY73" s="382">
        <f>Monthly!DA146</f>
        <v>0</v>
      </c>
      <c r="CZ73" s="382">
        <f>Monthly!DB146</f>
        <v>0</v>
      </c>
      <c r="DA73" s="382">
        <f>Monthly!DC146</f>
        <v>0</v>
      </c>
      <c r="DB73" s="382">
        <f>Monthly!DD146</f>
        <v>0</v>
      </c>
      <c r="DC73" s="382">
        <f>Monthly!DE146</f>
        <v>0</v>
      </c>
      <c r="DD73" s="382">
        <f>Monthly!DF146</f>
        <v>0</v>
      </c>
      <c r="DE73" s="382">
        <f>Monthly!DG146</f>
        <v>0</v>
      </c>
      <c r="DF73" s="382">
        <f>Monthly!DH146</f>
        <v>0</v>
      </c>
      <c r="DG73" s="382">
        <f>Monthly!DI146</f>
        <v>0</v>
      </c>
      <c r="DH73" s="382">
        <f>Monthly!DJ146</f>
        <v>0</v>
      </c>
      <c r="DI73" s="382">
        <f>Monthly!DK146</f>
        <v>0</v>
      </c>
      <c r="DJ73" s="382">
        <f>Monthly!DL146</f>
        <v>0</v>
      </c>
      <c r="DK73" s="382">
        <f>Monthly!DM146</f>
        <v>0</v>
      </c>
      <c r="DL73" s="382">
        <f>Monthly!DN146</f>
        <v>0</v>
      </c>
      <c r="DM73" s="359"/>
      <c r="DN73" s="425">
        <f>SUM(I73:DL73)</f>
        <v>0</v>
      </c>
      <c r="DO73" s="330"/>
    </row>
    <row r="74" spans="2:120" x14ac:dyDescent="0.3">
      <c r="B74" s="416"/>
      <c r="C74" s="423"/>
      <c r="D74" s="385"/>
      <c r="E74" s="356" t="s">
        <v>257</v>
      </c>
      <c r="F74" s="356"/>
      <c r="G74" s="356"/>
      <c r="H74" s="356"/>
      <c r="I74" s="381">
        <f>I71+I72-I73</f>
        <v>2182.7748000000001</v>
      </c>
      <c r="J74" s="381">
        <f t="shared" ref="J74:BU74" si="562">J71+J72-J73</f>
        <v>4365.5496000000003</v>
      </c>
      <c r="K74" s="381">
        <f t="shared" si="562"/>
        <v>6548.3244000000004</v>
      </c>
      <c r="L74" s="381">
        <f t="shared" si="562"/>
        <v>8731.0992000000006</v>
      </c>
      <c r="M74" s="381">
        <f t="shared" si="562"/>
        <v>10913.874</v>
      </c>
      <c r="N74" s="381">
        <f t="shared" si="562"/>
        <v>13096.648799999999</v>
      </c>
      <c r="O74" s="381">
        <f t="shared" si="562"/>
        <v>15279.423599999998</v>
      </c>
      <c r="P74" s="381">
        <f t="shared" si="562"/>
        <v>17462.198399999997</v>
      </c>
      <c r="Q74" s="381">
        <f t="shared" si="562"/>
        <v>19644.973199999997</v>
      </c>
      <c r="R74" s="381">
        <f t="shared" si="562"/>
        <v>21827.747999999996</v>
      </c>
      <c r="S74" s="381">
        <f t="shared" si="562"/>
        <v>24010.522799999995</v>
      </c>
      <c r="T74" s="381">
        <f t="shared" si="562"/>
        <v>26193.297599999994</v>
      </c>
      <c r="U74" s="381">
        <f t="shared" si="562"/>
        <v>28376.072399999994</v>
      </c>
      <c r="V74" s="381">
        <f t="shared" si="562"/>
        <v>30558.847199999993</v>
      </c>
      <c r="W74" s="381">
        <f t="shared" si="562"/>
        <v>32741.621999999992</v>
      </c>
      <c r="X74" s="381">
        <f t="shared" si="562"/>
        <v>34924.396799999995</v>
      </c>
      <c r="Y74" s="381">
        <f t="shared" si="562"/>
        <v>37107.171599999994</v>
      </c>
      <c r="Z74" s="381">
        <f t="shared" si="562"/>
        <v>39289.946399999993</v>
      </c>
      <c r="AA74" s="381">
        <f t="shared" si="562"/>
        <v>41472.721199999993</v>
      </c>
      <c r="AB74" s="381">
        <f t="shared" si="562"/>
        <v>43655.495999999992</v>
      </c>
      <c r="AC74" s="381">
        <f t="shared" si="562"/>
        <v>45838.270799999991</v>
      </c>
      <c r="AD74" s="381">
        <f t="shared" si="562"/>
        <v>48021.04559999999</v>
      </c>
      <c r="AE74" s="381">
        <f t="shared" si="562"/>
        <v>50203.82039999999</v>
      </c>
      <c r="AF74" s="381">
        <f t="shared" si="562"/>
        <v>52386.595199999989</v>
      </c>
      <c r="AG74" s="381">
        <f t="shared" si="562"/>
        <v>54569.369999999988</v>
      </c>
      <c r="AH74" s="381">
        <f t="shared" si="562"/>
        <v>56752.144799999987</v>
      </c>
      <c r="AI74" s="381">
        <f t="shared" si="562"/>
        <v>58934.919599999987</v>
      </c>
      <c r="AJ74" s="381">
        <f t="shared" si="562"/>
        <v>61117.694399999986</v>
      </c>
      <c r="AK74" s="381">
        <f t="shared" si="562"/>
        <v>63300.469199999985</v>
      </c>
      <c r="AL74" s="381">
        <f t="shared" si="562"/>
        <v>65483.243999999984</v>
      </c>
      <c r="AM74" s="381">
        <f t="shared" si="562"/>
        <v>67666.018799999991</v>
      </c>
      <c r="AN74" s="381">
        <f t="shared" si="562"/>
        <v>69848.79359999999</v>
      </c>
      <c r="AO74" s="381">
        <f t="shared" si="562"/>
        <v>72031.568399999989</v>
      </c>
      <c r="AP74" s="381">
        <f t="shared" si="562"/>
        <v>74214.343199999988</v>
      </c>
      <c r="AQ74" s="381">
        <f t="shared" si="562"/>
        <v>76397.117999999988</v>
      </c>
      <c r="AR74" s="381">
        <f t="shared" si="562"/>
        <v>78579.892799999987</v>
      </c>
      <c r="AS74" s="381">
        <f t="shared" si="562"/>
        <v>80762.667599999986</v>
      </c>
      <c r="AT74" s="381">
        <f t="shared" si="562"/>
        <v>82945.442399999985</v>
      </c>
      <c r="AU74" s="381">
        <f t="shared" si="562"/>
        <v>85128.217199999985</v>
      </c>
      <c r="AV74" s="381">
        <f t="shared" si="562"/>
        <v>87310.991999999984</v>
      </c>
      <c r="AW74" s="381">
        <f t="shared" si="562"/>
        <v>89493.766799999983</v>
      </c>
      <c r="AX74" s="381">
        <f t="shared" si="562"/>
        <v>91676.541599999982</v>
      </c>
      <c r="AY74" s="381">
        <f t="shared" si="562"/>
        <v>93859.316399999982</v>
      </c>
      <c r="AZ74" s="381">
        <f t="shared" si="562"/>
        <v>96042.091199999981</v>
      </c>
      <c r="BA74" s="381">
        <f t="shared" si="562"/>
        <v>98224.86599999998</v>
      </c>
      <c r="BB74" s="381">
        <f t="shared" si="562"/>
        <v>100407.64079999998</v>
      </c>
      <c r="BC74" s="381">
        <f t="shared" si="562"/>
        <v>102590.41559999998</v>
      </c>
      <c r="BD74" s="381">
        <f t="shared" si="562"/>
        <v>104773.19039999998</v>
      </c>
      <c r="BE74" s="381">
        <f t="shared" si="562"/>
        <v>106955.96519999998</v>
      </c>
      <c r="BF74" s="381">
        <f t="shared" si="562"/>
        <v>109138.73999999998</v>
      </c>
      <c r="BG74" s="381">
        <f t="shared" si="562"/>
        <v>111321.51479999998</v>
      </c>
      <c r="BH74" s="381">
        <f t="shared" si="562"/>
        <v>113504.28959999997</v>
      </c>
      <c r="BI74" s="381">
        <f t="shared" si="562"/>
        <v>115687.06439999997</v>
      </c>
      <c r="BJ74" s="381">
        <f t="shared" si="562"/>
        <v>117869.83919999997</v>
      </c>
      <c r="BK74" s="381">
        <f t="shared" si="562"/>
        <v>120052.61399999997</v>
      </c>
      <c r="BL74" s="381">
        <f t="shared" si="562"/>
        <v>122235.38879999997</v>
      </c>
      <c r="BM74" s="381">
        <f t="shared" si="562"/>
        <v>124418.16359999997</v>
      </c>
      <c r="BN74" s="381">
        <f t="shared" si="562"/>
        <v>126600.93839999997</v>
      </c>
      <c r="BO74" s="381">
        <f t="shared" si="562"/>
        <v>128783.71319999997</v>
      </c>
      <c r="BP74" s="381">
        <f t="shared" si="562"/>
        <v>130966.48799999997</v>
      </c>
      <c r="BQ74" s="381">
        <f t="shared" si="562"/>
        <v>133149.26279999997</v>
      </c>
      <c r="BR74" s="381">
        <f t="shared" si="562"/>
        <v>135332.03759999998</v>
      </c>
      <c r="BS74" s="381">
        <f t="shared" si="562"/>
        <v>137514.8124</v>
      </c>
      <c r="BT74" s="381">
        <f t="shared" si="562"/>
        <v>139697.58720000001</v>
      </c>
      <c r="BU74" s="381">
        <f t="shared" si="562"/>
        <v>141880.36200000002</v>
      </c>
      <c r="BV74" s="381">
        <f t="shared" ref="BV74:DL74" si="563">BV71+BV72-BV73</f>
        <v>144063.13680000004</v>
      </c>
      <c r="BW74" s="381">
        <f t="shared" si="563"/>
        <v>146245.91160000005</v>
      </c>
      <c r="BX74" s="381">
        <f t="shared" si="563"/>
        <v>148428.68640000006</v>
      </c>
      <c r="BY74" s="381">
        <f t="shared" si="563"/>
        <v>150611.46120000008</v>
      </c>
      <c r="BZ74" s="381">
        <f t="shared" si="563"/>
        <v>152794.23600000009</v>
      </c>
      <c r="CA74" s="381">
        <f t="shared" si="563"/>
        <v>154977.01080000011</v>
      </c>
      <c r="CB74" s="381">
        <f t="shared" si="563"/>
        <v>157159.78560000012</v>
      </c>
      <c r="CC74" s="381">
        <f t="shared" si="563"/>
        <v>159342.56040000013</v>
      </c>
      <c r="CD74" s="381">
        <f t="shared" si="563"/>
        <v>161525.33520000015</v>
      </c>
      <c r="CE74" s="381">
        <f t="shared" si="563"/>
        <v>163708.11000000016</v>
      </c>
      <c r="CF74" s="381">
        <f t="shared" si="563"/>
        <v>165890.88480000017</v>
      </c>
      <c r="CG74" s="381">
        <f t="shared" si="563"/>
        <v>168073.65960000019</v>
      </c>
      <c r="CH74" s="381">
        <f t="shared" si="563"/>
        <v>170256.4344000002</v>
      </c>
      <c r="CI74" s="381">
        <f t="shared" si="563"/>
        <v>172439.20920000022</v>
      </c>
      <c r="CJ74" s="381">
        <f t="shared" si="563"/>
        <v>174621.98400000023</v>
      </c>
      <c r="CK74" s="381">
        <f t="shared" si="563"/>
        <v>176804.75880000024</v>
      </c>
      <c r="CL74" s="381">
        <f t="shared" si="563"/>
        <v>178987.53360000026</v>
      </c>
      <c r="CM74" s="381">
        <f t="shared" si="563"/>
        <v>181170.30840000027</v>
      </c>
      <c r="CN74" s="381">
        <f t="shared" si="563"/>
        <v>183353.08320000028</v>
      </c>
      <c r="CO74" s="381">
        <f t="shared" si="563"/>
        <v>185535.8580000003</v>
      </c>
      <c r="CP74" s="381">
        <f t="shared" si="563"/>
        <v>187718.63280000031</v>
      </c>
      <c r="CQ74" s="381">
        <f t="shared" si="563"/>
        <v>189901.40760000033</v>
      </c>
      <c r="CR74" s="381">
        <f t="shared" si="563"/>
        <v>192084.18240000034</v>
      </c>
      <c r="CS74" s="381">
        <f t="shared" si="563"/>
        <v>194266.95720000035</v>
      </c>
      <c r="CT74" s="381">
        <f t="shared" si="563"/>
        <v>196449.73200000037</v>
      </c>
      <c r="CU74" s="381">
        <f t="shared" si="563"/>
        <v>198632.50680000038</v>
      </c>
      <c r="CV74" s="381">
        <f t="shared" si="563"/>
        <v>200815.28160000039</v>
      </c>
      <c r="CW74" s="381">
        <f t="shared" si="563"/>
        <v>202998.05640000041</v>
      </c>
      <c r="CX74" s="381">
        <f t="shared" si="563"/>
        <v>205180.83120000042</v>
      </c>
      <c r="CY74" s="381">
        <f t="shared" si="563"/>
        <v>207363.60600000044</v>
      </c>
      <c r="CZ74" s="381">
        <f t="shared" si="563"/>
        <v>209546.38080000045</v>
      </c>
      <c r="DA74" s="381">
        <f t="shared" si="563"/>
        <v>211729.15560000046</v>
      </c>
      <c r="DB74" s="381">
        <f t="shared" si="563"/>
        <v>213911.93040000048</v>
      </c>
      <c r="DC74" s="381">
        <f t="shared" si="563"/>
        <v>216094.70520000049</v>
      </c>
      <c r="DD74" s="381">
        <f t="shared" si="563"/>
        <v>218277.48000000051</v>
      </c>
      <c r="DE74" s="381">
        <f t="shared" si="563"/>
        <v>220460.25480000052</v>
      </c>
      <c r="DF74" s="381">
        <f t="shared" si="563"/>
        <v>222643.02960000053</v>
      </c>
      <c r="DG74" s="381">
        <f t="shared" si="563"/>
        <v>224825.80440000055</v>
      </c>
      <c r="DH74" s="381">
        <f t="shared" si="563"/>
        <v>227008.57920000056</v>
      </c>
      <c r="DI74" s="381">
        <f t="shared" si="563"/>
        <v>229191.35400000057</v>
      </c>
      <c r="DJ74" s="381">
        <f t="shared" si="563"/>
        <v>231374.12880000059</v>
      </c>
      <c r="DK74" s="381">
        <f t="shared" si="563"/>
        <v>233556.9036000006</v>
      </c>
      <c r="DL74" s="381">
        <f t="shared" si="563"/>
        <v>235739.67840000062</v>
      </c>
      <c r="DM74" s="356"/>
      <c r="DN74" s="424"/>
      <c r="DO74" s="330"/>
    </row>
    <row r="75" spans="2:120" x14ac:dyDescent="0.3">
      <c r="B75" s="416"/>
      <c r="C75" s="423"/>
      <c r="D75" s="385"/>
      <c r="E75" s="356"/>
      <c r="F75" s="356"/>
      <c r="G75" s="356"/>
      <c r="H75" s="356"/>
      <c r="I75" s="381"/>
      <c r="J75" s="381"/>
      <c r="K75" s="381"/>
      <c r="L75" s="381"/>
      <c r="M75" s="381"/>
      <c r="N75" s="381"/>
      <c r="O75" s="381"/>
      <c r="P75" s="381"/>
      <c r="Q75" s="381"/>
      <c r="R75" s="381"/>
      <c r="S75" s="381"/>
      <c r="T75" s="381"/>
      <c r="U75" s="381"/>
      <c r="V75" s="381"/>
      <c r="W75" s="381"/>
      <c r="X75" s="381"/>
      <c r="Y75" s="381"/>
      <c r="Z75" s="381"/>
      <c r="AA75" s="381"/>
      <c r="AB75" s="381"/>
      <c r="AC75" s="381"/>
      <c r="AD75" s="381"/>
      <c r="AE75" s="381"/>
      <c r="AF75" s="381"/>
      <c r="AG75" s="381"/>
      <c r="AH75" s="381"/>
      <c r="AI75" s="381"/>
      <c r="AJ75" s="381"/>
      <c r="AK75" s="381"/>
      <c r="AL75" s="381"/>
      <c r="AM75" s="381"/>
      <c r="AN75" s="381"/>
      <c r="AO75" s="381"/>
      <c r="AP75" s="381"/>
      <c r="AQ75" s="381"/>
      <c r="AR75" s="381"/>
      <c r="AS75" s="381"/>
      <c r="AT75" s="381"/>
      <c r="AU75" s="381"/>
      <c r="AV75" s="381"/>
      <c r="AW75" s="381"/>
      <c r="AX75" s="381"/>
      <c r="AY75" s="381"/>
      <c r="AZ75" s="381"/>
      <c r="BA75" s="381"/>
      <c r="BB75" s="381"/>
      <c r="BC75" s="381"/>
      <c r="BD75" s="381"/>
      <c r="BE75" s="381"/>
      <c r="BF75" s="381"/>
      <c r="BG75" s="381"/>
      <c r="BH75" s="381"/>
      <c r="BI75" s="381"/>
      <c r="BJ75" s="381"/>
      <c r="BK75" s="381"/>
      <c r="BL75" s="381"/>
      <c r="BM75" s="381"/>
      <c r="BN75" s="381"/>
      <c r="BO75" s="381"/>
      <c r="BP75" s="381"/>
      <c r="BQ75" s="381"/>
      <c r="BR75" s="381"/>
      <c r="BS75" s="381"/>
      <c r="BT75" s="381"/>
      <c r="BU75" s="381"/>
      <c r="BV75" s="381"/>
      <c r="BW75" s="381"/>
      <c r="BX75" s="381"/>
      <c r="BY75" s="381"/>
      <c r="BZ75" s="381"/>
      <c r="CA75" s="381"/>
      <c r="CB75" s="381"/>
      <c r="CC75" s="381"/>
      <c r="CD75" s="381"/>
      <c r="CE75" s="381"/>
      <c r="CF75" s="381"/>
      <c r="CG75" s="381"/>
      <c r="CH75" s="381"/>
      <c r="CI75" s="381"/>
      <c r="CJ75" s="381"/>
      <c r="CK75" s="381"/>
      <c r="CL75" s="381"/>
      <c r="CM75" s="381"/>
      <c r="CN75" s="381"/>
      <c r="CO75" s="381"/>
      <c r="CP75" s="381"/>
      <c r="CQ75" s="381"/>
      <c r="CR75" s="381"/>
      <c r="CS75" s="381"/>
      <c r="CT75" s="381"/>
      <c r="CU75" s="381"/>
      <c r="CV75" s="381"/>
      <c r="CW75" s="381"/>
      <c r="CX75" s="381"/>
      <c r="CY75" s="381"/>
      <c r="CZ75" s="381"/>
      <c r="DA75" s="381"/>
      <c r="DB75" s="381"/>
      <c r="DC75" s="381"/>
      <c r="DD75" s="381"/>
      <c r="DE75" s="381"/>
      <c r="DF75" s="381"/>
      <c r="DG75" s="381"/>
      <c r="DH75" s="381"/>
      <c r="DI75" s="381"/>
      <c r="DJ75" s="381"/>
      <c r="DK75" s="381"/>
      <c r="DL75" s="381"/>
      <c r="DM75" s="356"/>
      <c r="DN75" s="424"/>
      <c r="DO75" s="330"/>
    </row>
    <row r="76" spans="2:120" x14ac:dyDescent="0.3">
      <c r="B76" s="416"/>
      <c r="C76" s="423"/>
      <c r="D76" s="385" t="s">
        <v>365</v>
      </c>
      <c r="E76" s="356"/>
      <c r="F76" s="356"/>
      <c r="G76" s="356"/>
      <c r="H76" s="356"/>
      <c r="I76" s="381">
        <f>Monthly!K152</f>
        <v>0</v>
      </c>
      <c r="J76" s="381">
        <f>Monthly!L152</f>
        <v>0</v>
      </c>
      <c r="K76" s="381">
        <f>Monthly!M152</f>
        <v>0</v>
      </c>
      <c r="L76" s="381">
        <f>Monthly!N152</f>
        <v>0</v>
      </c>
      <c r="M76" s="381">
        <f>Monthly!O152</f>
        <v>0</v>
      </c>
      <c r="N76" s="381">
        <f>Monthly!P152</f>
        <v>0</v>
      </c>
      <c r="O76" s="381">
        <f>Monthly!Q152</f>
        <v>0</v>
      </c>
      <c r="P76" s="381">
        <f>Monthly!R152</f>
        <v>0</v>
      </c>
      <c r="Q76" s="381">
        <f>Monthly!S152</f>
        <v>0</v>
      </c>
      <c r="R76" s="381">
        <f>Monthly!T152</f>
        <v>0</v>
      </c>
      <c r="S76" s="381">
        <f>Monthly!U152</f>
        <v>0</v>
      </c>
      <c r="T76" s="381">
        <f>Monthly!V152</f>
        <v>0</v>
      </c>
      <c r="U76" s="381">
        <f>Monthly!W152</f>
        <v>0</v>
      </c>
      <c r="V76" s="381">
        <f>Monthly!X152</f>
        <v>0</v>
      </c>
      <c r="W76" s="381">
        <f>Monthly!Y152</f>
        <v>0</v>
      </c>
      <c r="X76" s="381">
        <f>Monthly!Z152</f>
        <v>0</v>
      </c>
      <c r="Y76" s="381">
        <f>Monthly!AA152</f>
        <v>0</v>
      </c>
      <c r="Z76" s="381">
        <f>Monthly!AB152</f>
        <v>0</v>
      </c>
      <c r="AA76" s="381">
        <f>Monthly!AC152</f>
        <v>0</v>
      </c>
      <c r="AB76" s="381">
        <f>Monthly!AD152</f>
        <v>0</v>
      </c>
      <c r="AC76" s="381">
        <f>Monthly!AE152</f>
        <v>0</v>
      </c>
      <c r="AD76" s="381">
        <f>Monthly!AF152</f>
        <v>0</v>
      </c>
      <c r="AE76" s="381">
        <f>Monthly!AG152</f>
        <v>0</v>
      </c>
      <c r="AF76" s="381">
        <f>Monthly!AH152</f>
        <v>0</v>
      </c>
      <c r="AG76" s="381">
        <f>Monthly!AI152</f>
        <v>0</v>
      </c>
      <c r="AH76" s="381">
        <f>Monthly!AJ152</f>
        <v>0</v>
      </c>
      <c r="AI76" s="381">
        <f>Monthly!AK152</f>
        <v>0</v>
      </c>
      <c r="AJ76" s="381">
        <f>Monthly!AL152</f>
        <v>0</v>
      </c>
      <c r="AK76" s="381">
        <f>Monthly!AM152</f>
        <v>0</v>
      </c>
      <c r="AL76" s="381">
        <f>Monthly!AN152</f>
        <v>0</v>
      </c>
      <c r="AM76" s="381">
        <f>Monthly!AO152</f>
        <v>0</v>
      </c>
      <c r="AN76" s="381">
        <f>Monthly!AP152</f>
        <v>0</v>
      </c>
      <c r="AO76" s="381">
        <f>Monthly!AQ152</f>
        <v>0</v>
      </c>
      <c r="AP76" s="381">
        <f>Monthly!AR152</f>
        <v>0</v>
      </c>
      <c r="AQ76" s="381">
        <f>Monthly!AS152</f>
        <v>0</v>
      </c>
      <c r="AR76" s="381">
        <f>Monthly!AT152</f>
        <v>0</v>
      </c>
      <c r="AS76" s="381">
        <f>Monthly!AU152</f>
        <v>0</v>
      </c>
      <c r="AT76" s="381">
        <f>Monthly!AV152</f>
        <v>0</v>
      </c>
      <c r="AU76" s="381">
        <f>Monthly!AW152</f>
        <v>0</v>
      </c>
      <c r="AV76" s="381">
        <f>Monthly!AX152</f>
        <v>0</v>
      </c>
      <c r="AW76" s="381">
        <f>Monthly!AY152</f>
        <v>0</v>
      </c>
      <c r="AX76" s="381">
        <f>Monthly!AZ152</f>
        <v>0</v>
      </c>
      <c r="AY76" s="381">
        <f>Monthly!BA152</f>
        <v>0</v>
      </c>
      <c r="AZ76" s="381">
        <f>Monthly!BB152</f>
        <v>0</v>
      </c>
      <c r="BA76" s="381">
        <f>Monthly!BC152</f>
        <v>0</v>
      </c>
      <c r="BB76" s="381">
        <f>Monthly!BD152</f>
        <v>0</v>
      </c>
      <c r="BC76" s="381">
        <f>Monthly!BE152</f>
        <v>0</v>
      </c>
      <c r="BD76" s="381">
        <f>Monthly!BF152</f>
        <v>0</v>
      </c>
      <c r="BE76" s="381">
        <f>Monthly!BG152</f>
        <v>0</v>
      </c>
      <c r="BF76" s="381">
        <f>Monthly!BH152</f>
        <v>0</v>
      </c>
      <c r="BG76" s="381">
        <f>Monthly!BI152</f>
        <v>0</v>
      </c>
      <c r="BH76" s="381">
        <f>Monthly!BJ152</f>
        <v>0</v>
      </c>
      <c r="BI76" s="381">
        <f>Monthly!BK152</f>
        <v>0</v>
      </c>
      <c r="BJ76" s="381">
        <f>Monthly!BL152</f>
        <v>0</v>
      </c>
      <c r="BK76" s="381">
        <f>Monthly!BM152</f>
        <v>0</v>
      </c>
      <c r="BL76" s="381">
        <f>Monthly!BN152</f>
        <v>0</v>
      </c>
      <c r="BM76" s="381">
        <f>Monthly!BO152</f>
        <v>0</v>
      </c>
      <c r="BN76" s="381">
        <f>Monthly!BP152</f>
        <v>0</v>
      </c>
      <c r="BO76" s="381">
        <f>Monthly!BQ152</f>
        <v>0</v>
      </c>
      <c r="BP76" s="381">
        <f>Monthly!BR152</f>
        <v>0</v>
      </c>
      <c r="BQ76" s="381">
        <f>Monthly!BS152</f>
        <v>0</v>
      </c>
      <c r="BR76" s="381">
        <f>Monthly!BT152</f>
        <v>0</v>
      </c>
      <c r="BS76" s="381">
        <f>Monthly!BU152</f>
        <v>0</v>
      </c>
      <c r="BT76" s="381">
        <f>Monthly!BV152</f>
        <v>0</v>
      </c>
      <c r="BU76" s="381">
        <f>Monthly!BW152</f>
        <v>0</v>
      </c>
      <c r="BV76" s="381">
        <f>Monthly!BX152</f>
        <v>0</v>
      </c>
      <c r="BW76" s="381">
        <f>Monthly!BY152</f>
        <v>0</v>
      </c>
      <c r="BX76" s="381">
        <f>Monthly!BZ152</f>
        <v>0</v>
      </c>
      <c r="BY76" s="381">
        <f>Monthly!CA152</f>
        <v>0</v>
      </c>
      <c r="BZ76" s="381">
        <f>Monthly!CB152</f>
        <v>0</v>
      </c>
      <c r="CA76" s="381">
        <f>Monthly!CC152</f>
        <v>0</v>
      </c>
      <c r="CB76" s="381">
        <f>Monthly!CD152</f>
        <v>0</v>
      </c>
      <c r="CC76" s="381">
        <f>Monthly!CE152</f>
        <v>0</v>
      </c>
      <c r="CD76" s="381">
        <f>Monthly!CF152</f>
        <v>0</v>
      </c>
      <c r="CE76" s="381">
        <f>Monthly!CG152</f>
        <v>0</v>
      </c>
      <c r="CF76" s="381">
        <f>Monthly!CH152</f>
        <v>0</v>
      </c>
      <c r="CG76" s="381">
        <f>Monthly!CI152</f>
        <v>0</v>
      </c>
      <c r="CH76" s="381">
        <f>Monthly!CJ152</f>
        <v>0</v>
      </c>
      <c r="CI76" s="381">
        <f>Monthly!CK152</f>
        <v>0</v>
      </c>
      <c r="CJ76" s="381">
        <f>Monthly!CL152</f>
        <v>0</v>
      </c>
      <c r="CK76" s="381">
        <f>Monthly!CM152</f>
        <v>0</v>
      </c>
      <c r="CL76" s="381">
        <f>Monthly!CN152</f>
        <v>0</v>
      </c>
      <c r="CM76" s="381">
        <f>Monthly!CO152</f>
        <v>0</v>
      </c>
      <c r="CN76" s="381">
        <f>Monthly!CP152</f>
        <v>0</v>
      </c>
      <c r="CO76" s="381">
        <f>Monthly!CQ152</f>
        <v>0</v>
      </c>
      <c r="CP76" s="381">
        <f>Monthly!CR152</f>
        <v>0</v>
      </c>
      <c r="CQ76" s="381">
        <f>Monthly!CS152</f>
        <v>0</v>
      </c>
      <c r="CR76" s="381">
        <f>Monthly!CT152</f>
        <v>0</v>
      </c>
      <c r="CS76" s="381">
        <f>Monthly!CU152</f>
        <v>0</v>
      </c>
      <c r="CT76" s="381">
        <f>Monthly!CV152</f>
        <v>0</v>
      </c>
      <c r="CU76" s="381">
        <f>Monthly!CW152</f>
        <v>0</v>
      </c>
      <c r="CV76" s="381">
        <f>Monthly!CX152</f>
        <v>0</v>
      </c>
      <c r="CW76" s="381">
        <f>Monthly!CY152</f>
        <v>0</v>
      </c>
      <c r="CX76" s="381">
        <f>Monthly!CZ152</f>
        <v>0</v>
      </c>
      <c r="CY76" s="381">
        <f>Monthly!DA152</f>
        <v>0</v>
      </c>
      <c r="CZ76" s="381">
        <f>Monthly!DB152</f>
        <v>0</v>
      </c>
      <c r="DA76" s="381">
        <f>Monthly!DC152</f>
        <v>0</v>
      </c>
      <c r="DB76" s="381">
        <f>Monthly!DD152</f>
        <v>0</v>
      </c>
      <c r="DC76" s="381">
        <f>Monthly!DE152</f>
        <v>0</v>
      </c>
      <c r="DD76" s="381">
        <f>Monthly!DF152</f>
        <v>0</v>
      </c>
      <c r="DE76" s="381">
        <f>Monthly!DG152</f>
        <v>0</v>
      </c>
      <c r="DF76" s="381">
        <f>Monthly!DH152</f>
        <v>0</v>
      </c>
      <c r="DG76" s="381">
        <f>Monthly!DI152</f>
        <v>0</v>
      </c>
      <c r="DH76" s="381">
        <f>Monthly!DJ152</f>
        <v>0</v>
      </c>
      <c r="DI76" s="381">
        <f>Monthly!DK152</f>
        <v>0</v>
      </c>
      <c r="DJ76" s="381">
        <f>Monthly!DL152</f>
        <v>0</v>
      </c>
      <c r="DK76" s="381">
        <f>Monthly!DM152</f>
        <v>0</v>
      </c>
      <c r="DL76" s="381">
        <f>Monthly!DN152</f>
        <v>0</v>
      </c>
      <c r="DM76" s="381"/>
      <c r="DN76" s="426">
        <f>SUM(I76:DL76)</f>
        <v>0</v>
      </c>
      <c r="DO76" s="330"/>
      <c r="DP76" s="345"/>
    </row>
    <row r="77" spans="2:120" x14ac:dyDescent="0.3">
      <c r="B77" s="416"/>
      <c r="C77" s="423"/>
      <c r="D77" s="385"/>
      <c r="E77" s="356"/>
      <c r="F77" s="356"/>
      <c r="G77" s="356"/>
      <c r="H77" s="356"/>
      <c r="I77" s="381"/>
      <c r="J77" s="381"/>
      <c r="K77" s="381"/>
      <c r="L77" s="381"/>
      <c r="M77" s="381"/>
      <c r="N77" s="381"/>
      <c r="O77" s="381"/>
      <c r="P77" s="381"/>
      <c r="Q77" s="381"/>
      <c r="R77" s="381"/>
      <c r="S77" s="381"/>
      <c r="T77" s="381"/>
      <c r="U77" s="381"/>
      <c r="V77" s="381"/>
      <c r="W77" s="381"/>
      <c r="X77" s="381"/>
      <c r="Y77" s="381"/>
      <c r="Z77" s="381"/>
      <c r="AA77" s="381"/>
      <c r="AB77" s="381"/>
      <c r="AC77" s="381"/>
      <c r="AD77" s="381"/>
      <c r="AE77" s="381"/>
      <c r="AF77" s="381"/>
      <c r="AG77" s="381"/>
      <c r="AH77" s="381"/>
      <c r="AI77" s="381"/>
      <c r="AJ77" s="381"/>
      <c r="AK77" s="381"/>
      <c r="AL77" s="381"/>
      <c r="AM77" s="381"/>
      <c r="AN77" s="381"/>
      <c r="AO77" s="381"/>
      <c r="AP77" s="381"/>
      <c r="AQ77" s="381"/>
      <c r="AR77" s="381"/>
      <c r="AS77" s="381"/>
      <c r="AT77" s="381"/>
      <c r="AU77" s="381"/>
      <c r="AV77" s="381"/>
      <c r="AW77" s="381"/>
      <c r="AX77" s="381"/>
      <c r="AY77" s="381"/>
      <c r="AZ77" s="381"/>
      <c r="BA77" s="381"/>
      <c r="BB77" s="381"/>
      <c r="BC77" s="381"/>
      <c r="BD77" s="381"/>
      <c r="BE77" s="381"/>
      <c r="BF77" s="381"/>
      <c r="BG77" s="381"/>
      <c r="BH77" s="381"/>
      <c r="BI77" s="381"/>
      <c r="BJ77" s="381"/>
      <c r="BK77" s="381"/>
      <c r="BL77" s="381"/>
      <c r="BM77" s="381"/>
      <c r="BN77" s="381"/>
      <c r="BO77" s="381"/>
      <c r="BP77" s="381"/>
      <c r="BQ77" s="381"/>
      <c r="BR77" s="381"/>
      <c r="BS77" s="381"/>
      <c r="BT77" s="381"/>
      <c r="BU77" s="381"/>
      <c r="BV77" s="381"/>
      <c r="BW77" s="381"/>
      <c r="BX77" s="381"/>
      <c r="BY77" s="381"/>
      <c r="BZ77" s="381"/>
      <c r="CA77" s="381"/>
      <c r="CB77" s="381"/>
      <c r="CC77" s="381"/>
      <c r="CD77" s="381"/>
      <c r="CE77" s="381"/>
      <c r="CF77" s="381"/>
      <c r="CG77" s="381"/>
      <c r="CH77" s="381"/>
      <c r="CI77" s="381"/>
      <c r="CJ77" s="381"/>
      <c r="CK77" s="381"/>
      <c r="CL77" s="381"/>
      <c r="CM77" s="381"/>
      <c r="CN77" s="381"/>
      <c r="CO77" s="381"/>
      <c r="CP77" s="381"/>
      <c r="CQ77" s="381"/>
      <c r="CR77" s="381"/>
      <c r="CS77" s="381"/>
      <c r="CT77" s="381"/>
      <c r="CU77" s="381"/>
      <c r="CV77" s="381"/>
      <c r="CW77" s="381"/>
      <c r="CX77" s="381"/>
      <c r="CY77" s="381"/>
      <c r="CZ77" s="381"/>
      <c r="DA77" s="381"/>
      <c r="DB77" s="381"/>
      <c r="DC77" s="381"/>
      <c r="DD77" s="381"/>
      <c r="DE77" s="381"/>
      <c r="DF77" s="381"/>
      <c r="DG77" s="381"/>
      <c r="DH77" s="381"/>
      <c r="DI77" s="381"/>
      <c r="DJ77" s="381"/>
      <c r="DK77" s="381"/>
      <c r="DL77" s="381"/>
      <c r="DM77" s="356"/>
      <c r="DN77" s="424"/>
      <c r="DO77" s="330"/>
    </row>
    <row r="78" spans="2:120" x14ac:dyDescent="0.3">
      <c r="B78" s="416"/>
      <c r="C78" s="423"/>
      <c r="D78" s="385"/>
      <c r="E78" s="356" t="s">
        <v>512</v>
      </c>
      <c r="F78" s="356"/>
      <c r="G78" s="512">
        <f>'Members Capital'!G8</f>
        <v>281774.21999999997</v>
      </c>
      <c r="H78" s="515">
        <f>G78/G80</f>
        <v>0.86059945350294498</v>
      </c>
      <c r="I78" s="381">
        <f>$H78*(I67+I73+I76)</f>
        <v>0</v>
      </c>
      <c r="J78" s="381">
        <f t="shared" ref="J78:BU78" si="564">$H78*(J67+J73+J76)</f>
        <v>0</v>
      </c>
      <c r="K78" s="381">
        <f t="shared" si="564"/>
        <v>0</v>
      </c>
      <c r="L78" s="381">
        <f t="shared" si="564"/>
        <v>0</v>
      </c>
      <c r="M78" s="381">
        <f t="shared" si="564"/>
        <v>0</v>
      </c>
      <c r="N78" s="381">
        <f t="shared" si="564"/>
        <v>0</v>
      </c>
      <c r="O78" s="381">
        <f t="shared" si="564"/>
        <v>0</v>
      </c>
      <c r="P78" s="381">
        <f t="shared" si="564"/>
        <v>0</v>
      </c>
      <c r="Q78" s="381">
        <f t="shared" si="564"/>
        <v>0</v>
      </c>
      <c r="R78" s="381">
        <f t="shared" si="564"/>
        <v>0</v>
      </c>
      <c r="S78" s="381">
        <f t="shared" si="564"/>
        <v>0</v>
      </c>
      <c r="T78" s="381">
        <f t="shared" si="564"/>
        <v>0</v>
      </c>
      <c r="U78" s="381">
        <f t="shared" si="564"/>
        <v>0</v>
      </c>
      <c r="V78" s="381">
        <f t="shared" si="564"/>
        <v>0</v>
      </c>
      <c r="W78" s="381">
        <f t="shared" si="564"/>
        <v>0</v>
      </c>
      <c r="X78" s="381">
        <f t="shared" si="564"/>
        <v>0</v>
      </c>
      <c r="Y78" s="381">
        <f t="shared" si="564"/>
        <v>0</v>
      </c>
      <c r="Z78" s="381">
        <f t="shared" si="564"/>
        <v>0</v>
      </c>
      <c r="AA78" s="381">
        <f t="shared" si="564"/>
        <v>0</v>
      </c>
      <c r="AB78" s="381">
        <f t="shared" si="564"/>
        <v>0</v>
      </c>
      <c r="AC78" s="381">
        <f t="shared" si="564"/>
        <v>0</v>
      </c>
      <c r="AD78" s="381">
        <f t="shared" si="564"/>
        <v>0</v>
      </c>
      <c r="AE78" s="381">
        <f t="shared" si="564"/>
        <v>0</v>
      </c>
      <c r="AF78" s="381">
        <f t="shared" si="564"/>
        <v>0</v>
      </c>
      <c r="AG78" s="381">
        <f t="shared" si="564"/>
        <v>0</v>
      </c>
      <c r="AH78" s="381">
        <f t="shared" si="564"/>
        <v>0</v>
      </c>
      <c r="AI78" s="381">
        <f t="shared" si="564"/>
        <v>0</v>
      </c>
      <c r="AJ78" s="381">
        <f t="shared" si="564"/>
        <v>0</v>
      </c>
      <c r="AK78" s="381">
        <f t="shared" si="564"/>
        <v>0</v>
      </c>
      <c r="AL78" s="381">
        <f t="shared" si="564"/>
        <v>0</v>
      </c>
      <c r="AM78" s="381">
        <f t="shared" si="564"/>
        <v>0</v>
      </c>
      <c r="AN78" s="381">
        <f t="shared" si="564"/>
        <v>0</v>
      </c>
      <c r="AO78" s="381">
        <f t="shared" si="564"/>
        <v>0</v>
      </c>
      <c r="AP78" s="381">
        <f t="shared" si="564"/>
        <v>0</v>
      </c>
      <c r="AQ78" s="381">
        <f t="shared" si="564"/>
        <v>0</v>
      </c>
      <c r="AR78" s="381">
        <f t="shared" si="564"/>
        <v>0</v>
      </c>
      <c r="AS78" s="381">
        <f t="shared" si="564"/>
        <v>0</v>
      </c>
      <c r="AT78" s="381">
        <f t="shared" si="564"/>
        <v>0</v>
      </c>
      <c r="AU78" s="381">
        <f t="shared" si="564"/>
        <v>0</v>
      </c>
      <c r="AV78" s="381">
        <f t="shared" si="564"/>
        <v>0</v>
      </c>
      <c r="AW78" s="381">
        <f t="shared" si="564"/>
        <v>0</v>
      </c>
      <c r="AX78" s="381">
        <f t="shared" si="564"/>
        <v>0</v>
      </c>
      <c r="AY78" s="381">
        <f t="shared" si="564"/>
        <v>0</v>
      </c>
      <c r="AZ78" s="381">
        <f t="shared" si="564"/>
        <v>0</v>
      </c>
      <c r="BA78" s="381">
        <f t="shared" si="564"/>
        <v>0</v>
      </c>
      <c r="BB78" s="381">
        <f t="shared" si="564"/>
        <v>0</v>
      </c>
      <c r="BC78" s="381">
        <f t="shared" si="564"/>
        <v>0</v>
      </c>
      <c r="BD78" s="381">
        <f t="shared" si="564"/>
        <v>0</v>
      </c>
      <c r="BE78" s="381">
        <f t="shared" si="564"/>
        <v>0</v>
      </c>
      <c r="BF78" s="381">
        <f t="shared" si="564"/>
        <v>0</v>
      </c>
      <c r="BG78" s="381">
        <f t="shared" si="564"/>
        <v>0</v>
      </c>
      <c r="BH78" s="381">
        <f t="shared" si="564"/>
        <v>0</v>
      </c>
      <c r="BI78" s="381">
        <f t="shared" si="564"/>
        <v>0</v>
      </c>
      <c r="BJ78" s="381">
        <f t="shared" si="564"/>
        <v>0</v>
      </c>
      <c r="BK78" s="381">
        <f t="shared" si="564"/>
        <v>0</v>
      </c>
      <c r="BL78" s="381">
        <f t="shared" si="564"/>
        <v>0</v>
      </c>
      <c r="BM78" s="381">
        <f t="shared" si="564"/>
        <v>0</v>
      </c>
      <c r="BN78" s="381">
        <f t="shared" si="564"/>
        <v>0</v>
      </c>
      <c r="BO78" s="381">
        <f t="shared" si="564"/>
        <v>0</v>
      </c>
      <c r="BP78" s="381">
        <f t="shared" si="564"/>
        <v>0</v>
      </c>
      <c r="BQ78" s="381">
        <f t="shared" si="564"/>
        <v>0</v>
      </c>
      <c r="BR78" s="381">
        <f t="shared" si="564"/>
        <v>0</v>
      </c>
      <c r="BS78" s="381">
        <f t="shared" si="564"/>
        <v>0</v>
      </c>
      <c r="BT78" s="381">
        <f t="shared" si="564"/>
        <v>0</v>
      </c>
      <c r="BU78" s="381">
        <f t="shared" si="564"/>
        <v>0</v>
      </c>
      <c r="BV78" s="381">
        <f t="shared" ref="BV78:DL78" si="565">$H78*(BV67+BV73+BV76)</f>
        <v>0</v>
      </c>
      <c r="BW78" s="381">
        <f t="shared" si="565"/>
        <v>0</v>
      </c>
      <c r="BX78" s="381">
        <f t="shared" si="565"/>
        <v>0</v>
      </c>
      <c r="BY78" s="381">
        <f t="shared" si="565"/>
        <v>0</v>
      </c>
      <c r="BZ78" s="381">
        <f t="shared" si="565"/>
        <v>0</v>
      </c>
      <c r="CA78" s="381">
        <f t="shared" si="565"/>
        <v>0</v>
      </c>
      <c r="CB78" s="381">
        <f t="shared" si="565"/>
        <v>0</v>
      </c>
      <c r="CC78" s="381">
        <f t="shared" si="565"/>
        <v>0</v>
      </c>
      <c r="CD78" s="381">
        <f t="shared" si="565"/>
        <v>0</v>
      </c>
      <c r="CE78" s="381">
        <f t="shared" si="565"/>
        <v>0</v>
      </c>
      <c r="CF78" s="381">
        <f t="shared" si="565"/>
        <v>0</v>
      </c>
      <c r="CG78" s="381">
        <f t="shared" si="565"/>
        <v>0</v>
      </c>
      <c r="CH78" s="381">
        <f t="shared" si="565"/>
        <v>0</v>
      </c>
      <c r="CI78" s="381">
        <f t="shared" si="565"/>
        <v>0</v>
      </c>
      <c r="CJ78" s="381">
        <f t="shared" si="565"/>
        <v>0</v>
      </c>
      <c r="CK78" s="381">
        <f t="shared" si="565"/>
        <v>0</v>
      </c>
      <c r="CL78" s="381">
        <f t="shared" si="565"/>
        <v>0</v>
      </c>
      <c r="CM78" s="381">
        <f t="shared" si="565"/>
        <v>0</v>
      </c>
      <c r="CN78" s="381">
        <f t="shared" si="565"/>
        <v>0</v>
      </c>
      <c r="CO78" s="381">
        <f t="shared" si="565"/>
        <v>0</v>
      </c>
      <c r="CP78" s="381">
        <f t="shared" si="565"/>
        <v>0</v>
      </c>
      <c r="CQ78" s="381">
        <f t="shared" si="565"/>
        <v>0</v>
      </c>
      <c r="CR78" s="381">
        <f t="shared" si="565"/>
        <v>0</v>
      </c>
      <c r="CS78" s="381">
        <f t="shared" si="565"/>
        <v>0</v>
      </c>
      <c r="CT78" s="381">
        <f t="shared" si="565"/>
        <v>0</v>
      </c>
      <c r="CU78" s="381">
        <f t="shared" si="565"/>
        <v>0</v>
      </c>
      <c r="CV78" s="381">
        <f t="shared" si="565"/>
        <v>0</v>
      </c>
      <c r="CW78" s="381">
        <f t="shared" si="565"/>
        <v>0</v>
      </c>
      <c r="CX78" s="381">
        <f t="shared" si="565"/>
        <v>0</v>
      </c>
      <c r="CY78" s="381">
        <f t="shared" si="565"/>
        <v>0</v>
      </c>
      <c r="CZ78" s="381">
        <f t="shared" si="565"/>
        <v>0</v>
      </c>
      <c r="DA78" s="381">
        <f t="shared" si="565"/>
        <v>0</v>
      </c>
      <c r="DB78" s="381">
        <f t="shared" si="565"/>
        <v>0</v>
      </c>
      <c r="DC78" s="381">
        <f t="shared" si="565"/>
        <v>0</v>
      </c>
      <c r="DD78" s="381">
        <f t="shared" si="565"/>
        <v>0</v>
      </c>
      <c r="DE78" s="381">
        <f t="shared" si="565"/>
        <v>0</v>
      </c>
      <c r="DF78" s="381">
        <f t="shared" si="565"/>
        <v>0</v>
      </c>
      <c r="DG78" s="381">
        <f t="shared" si="565"/>
        <v>0</v>
      </c>
      <c r="DH78" s="381">
        <f t="shared" si="565"/>
        <v>0</v>
      </c>
      <c r="DI78" s="381">
        <f t="shared" si="565"/>
        <v>0</v>
      </c>
      <c r="DJ78" s="381">
        <f t="shared" si="565"/>
        <v>0</v>
      </c>
      <c r="DK78" s="381">
        <f t="shared" si="565"/>
        <v>0</v>
      </c>
      <c r="DL78" s="381">
        <f t="shared" si="565"/>
        <v>0</v>
      </c>
      <c r="DM78" s="512"/>
      <c r="DN78" s="426">
        <f>SUM(I78:DL78)</f>
        <v>0</v>
      </c>
      <c r="DO78" s="330"/>
    </row>
    <row r="79" spans="2:120" x14ac:dyDescent="0.3">
      <c r="B79" s="416"/>
      <c r="C79" s="423"/>
      <c r="D79" s="385"/>
      <c r="E79" s="359" t="s">
        <v>513</v>
      </c>
      <c r="F79" s="359"/>
      <c r="G79" s="517">
        <f>'Members Capital'!G7</f>
        <v>45642</v>
      </c>
      <c r="H79" s="428">
        <f>1-H78</f>
        <v>0.13940054649705502</v>
      </c>
      <c r="I79" s="382">
        <f>I67+I73+I76-I78</f>
        <v>0</v>
      </c>
      <c r="J79" s="382">
        <f t="shared" ref="J79:BU79" si="566">J67+J73+J76-J78</f>
        <v>0</v>
      </c>
      <c r="K79" s="382">
        <f t="shared" si="566"/>
        <v>0</v>
      </c>
      <c r="L79" s="382">
        <f t="shared" si="566"/>
        <v>0</v>
      </c>
      <c r="M79" s="382">
        <f t="shared" si="566"/>
        <v>0</v>
      </c>
      <c r="N79" s="382">
        <f t="shared" si="566"/>
        <v>0</v>
      </c>
      <c r="O79" s="382">
        <f t="shared" si="566"/>
        <v>0</v>
      </c>
      <c r="P79" s="382">
        <f t="shared" si="566"/>
        <v>0</v>
      </c>
      <c r="Q79" s="382">
        <f t="shared" si="566"/>
        <v>0</v>
      </c>
      <c r="R79" s="382">
        <f t="shared" si="566"/>
        <v>0</v>
      </c>
      <c r="S79" s="382">
        <f t="shared" si="566"/>
        <v>0</v>
      </c>
      <c r="T79" s="382">
        <f t="shared" si="566"/>
        <v>0</v>
      </c>
      <c r="U79" s="382">
        <f t="shared" si="566"/>
        <v>0</v>
      </c>
      <c r="V79" s="382">
        <f t="shared" si="566"/>
        <v>0</v>
      </c>
      <c r="W79" s="382">
        <f t="shared" si="566"/>
        <v>0</v>
      </c>
      <c r="X79" s="382">
        <f t="shared" si="566"/>
        <v>0</v>
      </c>
      <c r="Y79" s="382">
        <f t="shared" si="566"/>
        <v>0</v>
      </c>
      <c r="Z79" s="382">
        <f t="shared" si="566"/>
        <v>0</v>
      </c>
      <c r="AA79" s="382">
        <f t="shared" si="566"/>
        <v>0</v>
      </c>
      <c r="AB79" s="382">
        <f t="shared" si="566"/>
        <v>0</v>
      </c>
      <c r="AC79" s="382">
        <f t="shared" si="566"/>
        <v>0</v>
      </c>
      <c r="AD79" s="382">
        <f t="shared" si="566"/>
        <v>0</v>
      </c>
      <c r="AE79" s="382">
        <f t="shared" si="566"/>
        <v>0</v>
      </c>
      <c r="AF79" s="382">
        <f t="shared" si="566"/>
        <v>0</v>
      </c>
      <c r="AG79" s="382">
        <f t="shared" si="566"/>
        <v>0</v>
      </c>
      <c r="AH79" s="382">
        <f t="shared" si="566"/>
        <v>0</v>
      </c>
      <c r="AI79" s="382">
        <f t="shared" si="566"/>
        <v>0</v>
      </c>
      <c r="AJ79" s="382">
        <f t="shared" si="566"/>
        <v>0</v>
      </c>
      <c r="AK79" s="382">
        <f t="shared" si="566"/>
        <v>0</v>
      </c>
      <c r="AL79" s="382">
        <f t="shared" si="566"/>
        <v>0</v>
      </c>
      <c r="AM79" s="382">
        <f t="shared" si="566"/>
        <v>0</v>
      </c>
      <c r="AN79" s="382">
        <f t="shared" si="566"/>
        <v>0</v>
      </c>
      <c r="AO79" s="382">
        <f t="shared" si="566"/>
        <v>0</v>
      </c>
      <c r="AP79" s="382">
        <f t="shared" si="566"/>
        <v>0</v>
      </c>
      <c r="AQ79" s="382">
        <f t="shared" si="566"/>
        <v>0</v>
      </c>
      <c r="AR79" s="382">
        <f t="shared" si="566"/>
        <v>0</v>
      </c>
      <c r="AS79" s="382">
        <f t="shared" si="566"/>
        <v>0</v>
      </c>
      <c r="AT79" s="382">
        <f t="shared" si="566"/>
        <v>0</v>
      </c>
      <c r="AU79" s="382">
        <f t="shared" si="566"/>
        <v>0</v>
      </c>
      <c r="AV79" s="382">
        <f t="shared" si="566"/>
        <v>0</v>
      </c>
      <c r="AW79" s="382">
        <f t="shared" si="566"/>
        <v>0</v>
      </c>
      <c r="AX79" s="382">
        <f t="shared" si="566"/>
        <v>0</v>
      </c>
      <c r="AY79" s="382">
        <f t="shared" si="566"/>
        <v>0</v>
      </c>
      <c r="AZ79" s="382">
        <f t="shared" si="566"/>
        <v>0</v>
      </c>
      <c r="BA79" s="382">
        <f t="shared" si="566"/>
        <v>0</v>
      </c>
      <c r="BB79" s="382">
        <f t="shared" si="566"/>
        <v>0</v>
      </c>
      <c r="BC79" s="382">
        <f t="shared" si="566"/>
        <v>0</v>
      </c>
      <c r="BD79" s="382">
        <f t="shared" si="566"/>
        <v>0</v>
      </c>
      <c r="BE79" s="382">
        <f t="shared" si="566"/>
        <v>0</v>
      </c>
      <c r="BF79" s="382">
        <f t="shared" si="566"/>
        <v>0</v>
      </c>
      <c r="BG79" s="382">
        <f t="shared" si="566"/>
        <v>0</v>
      </c>
      <c r="BH79" s="382">
        <f t="shared" si="566"/>
        <v>0</v>
      </c>
      <c r="BI79" s="382">
        <f t="shared" si="566"/>
        <v>0</v>
      </c>
      <c r="BJ79" s="382">
        <f t="shared" si="566"/>
        <v>0</v>
      </c>
      <c r="BK79" s="382">
        <f t="shared" si="566"/>
        <v>0</v>
      </c>
      <c r="BL79" s="382">
        <f t="shared" si="566"/>
        <v>0</v>
      </c>
      <c r="BM79" s="382">
        <f t="shared" si="566"/>
        <v>0</v>
      </c>
      <c r="BN79" s="382">
        <f t="shared" si="566"/>
        <v>0</v>
      </c>
      <c r="BO79" s="382">
        <f t="shared" si="566"/>
        <v>0</v>
      </c>
      <c r="BP79" s="382">
        <f t="shared" si="566"/>
        <v>0</v>
      </c>
      <c r="BQ79" s="382">
        <f t="shared" si="566"/>
        <v>0</v>
      </c>
      <c r="BR79" s="382">
        <f t="shared" si="566"/>
        <v>0</v>
      </c>
      <c r="BS79" s="382">
        <f t="shared" si="566"/>
        <v>0</v>
      </c>
      <c r="BT79" s="382">
        <f t="shared" si="566"/>
        <v>0</v>
      </c>
      <c r="BU79" s="382">
        <f t="shared" si="566"/>
        <v>0</v>
      </c>
      <c r="BV79" s="382">
        <f t="shared" ref="BV79:DL79" si="567">BV67+BV73+BV76-BV78</f>
        <v>0</v>
      </c>
      <c r="BW79" s="382">
        <f t="shared" si="567"/>
        <v>0</v>
      </c>
      <c r="BX79" s="382">
        <f t="shared" si="567"/>
        <v>0</v>
      </c>
      <c r="BY79" s="382">
        <f t="shared" si="567"/>
        <v>0</v>
      </c>
      <c r="BZ79" s="382">
        <f t="shared" si="567"/>
        <v>0</v>
      </c>
      <c r="CA79" s="382">
        <f t="shared" si="567"/>
        <v>0</v>
      </c>
      <c r="CB79" s="382">
        <f t="shared" si="567"/>
        <v>0</v>
      </c>
      <c r="CC79" s="382">
        <f t="shared" si="567"/>
        <v>0</v>
      </c>
      <c r="CD79" s="382">
        <f t="shared" si="567"/>
        <v>0</v>
      </c>
      <c r="CE79" s="382">
        <f t="shared" si="567"/>
        <v>0</v>
      </c>
      <c r="CF79" s="382">
        <f t="shared" si="567"/>
        <v>0</v>
      </c>
      <c r="CG79" s="382">
        <f t="shared" si="567"/>
        <v>0</v>
      </c>
      <c r="CH79" s="382">
        <f t="shared" si="567"/>
        <v>0</v>
      </c>
      <c r="CI79" s="382">
        <f t="shared" si="567"/>
        <v>0</v>
      </c>
      <c r="CJ79" s="382">
        <f t="shared" si="567"/>
        <v>0</v>
      </c>
      <c r="CK79" s="382">
        <f t="shared" si="567"/>
        <v>0</v>
      </c>
      <c r="CL79" s="382">
        <f t="shared" si="567"/>
        <v>0</v>
      </c>
      <c r="CM79" s="382">
        <f t="shared" si="567"/>
        <v>0</v>
      </c>
      <c r="CN79" s="382">
        <f t="shared" si="567"/>
        <v>0</v>
      </c>
      <c r="CO79" s="382">
        <f t="shared" si="567"/>
        <v>0</v>
      </c>
      <c r="CP79" s="382">
        <f t="shared" si="567"/>
        <v>0</v>
      </c>
      <c r="CQ79" s="382">
        <f t="shared" si="567"/>
        <v>0</v>
      </c>
      <c r="CR79" s="382">
        <f t="shared" si="567"/>
        <v>0</v>
      </c>
      <c r="CS79" s="382">
        <f t="shared" si="567"/>
        <v>0</v>
      </c>
      <c r="CT79" s="382">
        <f t="shared" si="567"/>
        <v>0</v>
      </c>
      <c r="CU79" s="382">
        <f t="shared" si="567"/>
        <v>0</v>
      </c>
      <c r="CV79" s="382">
        <f t="shared" si="567"/>
        <v>0</v>
      </c>
      <c r="CW79" s="382">
        <f t="shared" si="567"/>
        <v>0</v>
      </c>
      <c r="CX79" s="382">
        <f t="shared" si="567"/>
        <v>0</v>
      </c>
      <c r="CY79" s="382">
        <f t="shared" si="567"/>
        <v>0</v>
      </c>
      <c r="CZ79" s="382">
        <f t="shared" si="567"/>
        <v>0</v>
      </c>
      <c r="DA79" s="382">
        <f t="shared" si="567"/>
        <v>0</v>
      </c>
      <c r="DB79" s="382">
        <f t="shared" si="567"/>
        <v>0</v>
      </c>
      <c r="DC79" s="382">
        <f t="shared" si="567"/>
        <v>0</v>
      </c>
      <c r="DD79" s="382">
        <f t="shared" si="567"/>
        <v>0</v>
      </c>
      <c r="DE79" s="382">
        <f t="shared" si="567"/>
        <v>0</v>
      </c>
      <c r="DF79" s="382">
        <f t="shared" si="567"/>
        <v>0</v>
      </c>
      <c r="DG79" s="382">
        <f t="shared" si="567"/>
        <v>0</v>
      </c>
      <c r="DH79" s="382">
        <f t="shared" si="567"/>
        <v>0</v>
      </c>
      <c r="DI79" s="382">
        <f t="shared" si="567"/>
        <v>0</v>
      </c>
      <c r="DJ79" s="382">
        <f t="shared" si="567"/>
        <v>0</v>
      </c>
      <c r="DK79" s="382">
        <f t="shared" si="567"/>
        <v>0</v>
      </c>
      <c r="DL79" s="382">
        <f t="shared" si="567"/>
        <v>0</v>
      </c>
      <c r="DM79" s="517"/>
      <c r="DN79" s="426">
        <f>SUM(I79:DL79)</f>
        <v>0</v>
      </c>
      <c r="DO79" s="330"/>
    </row>
    <row r="80" spans="2:120" x14ac:dyDescent="0.3">
      <c r="B80" s="416"/>
      <c r="C80" s="423"/>
      <c r="D80" s="385"/>
      <c r="E80" s="356" t="s">
        <v>117</v>
      </c>
      <c r="F80" s="356"/>
      <c r="G80" s="512">
        <f>SUM(G78:G79)</f>
        <v>327416.21999999997</v>
      </c>
      <c r="H80" s="515">
        <f t="shared" ref="H80:I80" si="568">SUM(H78:H79)</f>
        <v>1</v>
      </c>
      <c r="I80" s="381">
        <f t="shared" si="568"/>
        <v>0</v>
      </c>
      <c r="J80" s="381">
        <f t="shared" ref="J80:BU80" si="569">SUM(J78:J79)</f>
        <v>0</v>
      </c>
      <c r="K80" s="381">
        <f t="shared" si="569"/>
        <v>0</v>
      </c>
      <c r="L80" s="381">
        <f t="shared" si="569"/>
        <v>0</v>
      </c>
      <c r="M80" s="381">
        <f t="shared" si="569"/>
        <v>0</v>
      </c>
      <c r="N80" s="381">
        <f t="shared" si="569"/>
        <v>0</v>
      </c>
      <c r="O80" s="381">
        <f t="shared" si="569"/>
        <v>0</v>
      </c>
      <c r="P80" s="381">
        <f t="shared" si="569"/>
        <v>0</v>
      </c>
      <c r="Q80" s="381">
        <f t="shared" si="569"/>
        <v>0</v>
      </c>
      <c r="R80" s="381">
        <f t="shared" si="569"/>
        <v>0</v>
      </c>
      <c r="S80" s="381">
        <f t="shared" si="569"/>
        <v>0</v>
      </c>
      <c r="T80" s="381">
        <f t="shared" si="569"/>
        <v>0</v>
      </c>
      <c r="U80" s="381">
        <f t="shared" si="569"/>
        <v>0</v>
      </c>
      <c r="V80" s="381">
        <f t="shared" si="569"/>
        <v>0</v>
      </c>
      <c r="W80" s="381">
        <f t="shared" si="569"/>
        <v>0</v>
      </c>
      <c r="X80" s="381">
        <f t="shared" si="569"/>
        <v>0</v>
      </c>
      <c r="Y80" s="381">
        <f t="shared" si="569"/>
        <v>0</v>
      </c>
      <c r="Z80" s="381">
        <f t="shared" si="569"/>
        <v>0</v>
      </c>
      <c r="AA80" s="381">
        <f t="shared" si="569"/>
        <v>0</v>
      </c>
      <c r="AB80" s="381">
        <f t="shared" si="569"/>
        <v>0</v>
      </c>
      <c r="AC80" s="381">
        <f t="shared" si="569"/>
        <v>0</v>
      </c>
      <c r="AD80" s="381">
        <f t="shared" si="569"/>
        <v>0</v>
      </c>
      <c r="AE80" s="381">
        <f t="shared" si="569"/>
        <v>0</v>
      </c>
      <c r="AF80" s="381">
        <f t="shared" si="569"/>
        <v>0</v>
      </c>
      <c r="AG80" s="381">
        <f t="shared" si="569"/>
        <v>0</v>
      </c>
      <c r="AH80" s="381">
        <f t="shared" si="569"/>
        <v>0</v>
      </c>
      <c r="AI80" s="381">
        <f t="shared" si="569"/>
        <v>0</v>
      </c>
      <c r="AJ80" s="381">
        <f t="shared" si="569"/>
        <v>0</v>
      </c>
      <c r="AK80" s="381">
        <f t="shared" si="569"/>
        <v>0</v>
      </c>
      <c r="AL80" s="381">
        <f t="shared" si="569"/>
        <v>0</v>
      </c>
      <c r="AM80" s="381">
        <f t="shared" si="569"/>
        <v>0</v>
      </c>
      <c r="AN80" s="381">
        <f t="shared" si="569"/>
        <v>0</v>
      </c>
      <c r="AO80" s="381">
        <f t="shared" si="569"/>
        <v>0</v>
      </c>
      <c r="AP80" s="381">
        <f t="shared" si="569"/>
        <v>0</v>
      </c>
      <c r="AQ80" s="381">
        <f t="shared" si="569"/>
        <v>0</v>
      </c>
      <c r="AR80" s="381">
        <f t="shared" si="569"/>
        <v>0</v>
      </c>
      <c r="AS80" s="381">
        <f t="shared" si="569"/>
        <v>0</v>
      </c>
      <c r="AT80" s="381">
        <f t="shared" si="569"/>
        <v>0</v>
      </c>
      <c r="AU80" s="381">
        <f t="shared" si="569"/>
        <v>0</v>
      </c>
      <c r="AV80" s="381">
        <f t="shared" si="569"/>
        <v>0</v>
      </c>
      <c r="AW80" s="381">
        <f t="shared" si="569"/>
        <v>0</v>
      </c>
      <c r="AX80" s="381">
        <f t="shared" si="569"/>
        <v>0</v>
      </c>
      <c r="AY80" s="381">
        <f t="shared" si="569"/>
        <v>0</v>
      </c>
      <c r="AZ80" s="381">
        <f t="shared" si="569"/>
        <v>0</v>
      </c>
      <c r="BA80" s="381">
        <f t="shared" si="569"/>
        <v>0</v>
      </c>
      <c r="BB80" s="381">
        <f t="shared" si="569"/>
        <v>0</v>
      </c>
      <c r="BC80" s="381">
        <f t="shared" si="569"/>
        <v>0</v>
      </c>
      <c r="BD80" s="381">
        <f t="shared" si="569"/>
        <v>0</v>
      </c>
      <c r="BE80" s="381">
        <f t="shared" si="569"/>
        <v>0</v>
      </c>
      <c r="BF80" s="381">
        <f t="shared" si="569"/>
        <v>0</v>
      </c>
      <c r="BG80" s="381">
        <f t="shared" si="569"/>
        <v>0</v>
      </c>
      <c r="BH80" s="381">
        <f t="shared" si="569"/>
        <v>0</v>
      </c>
      <c r="BI80" s="381">
        <f t="shared" si="569"/>
        <v>0</v>
      </c>
      <c r="BJ80" s="381">
        <f t="shared" si="569"/>
        <v>0</v>
      </c>
      <c r="BK80" s="381">
        <f t="shared" si="569"/>
        <v>0</v>
      </c>
      <c r="BL80" s="381">
        <f t="shared" si="569"/>
        <v>0</v>
      </c>
      <c r="BM80" s="381">
        <f t="shared" si="569"/>
        <v>0</v>
      </c>
      <c r="BN80" s="381">
        <f t="shared" si="569"/>
        <v>0</v>
      </c>
      <c r="BO80" s="381">
        <f t="shared" si="569"/>
        <v>0</v>
      </c>
      <c r="BP80" s="381">
        <f t="shared" si="569"/>
        <v>0</v>
      </c>
      <c r="BQ80" s="381">
        <f t="shared" si="569"/>
        <v>0</v>
      </c>
      <c r="BR80" s="381">
        <f t="shared" si="569"/>
        <v>0</v>
      </c>
      <c r="BS80" s="381">
        <f t="shared" si="569"/>
        <v>0</v>
      </c>
      <c r="BT80" s="381">
        <f t="shared" si="569"/>
        <v>0</v>
      </c>
      <c r="BU80" s="381">
        <f t="shared" si="569"/>
        <v>0</v>
      </c>
      <c r="BV80" s="381">
        <f t="shared" ref="BV80:DL80" si="570">SUM(BV78:BV79)</f>
        <v>0</v>
      </c>
      <c r="BW80" s="381">
        <f t="shared" si="570"/>
        <v>0</v>
      </c>
      <c r="BX80" s="381">
        <f t="shared" si="570"/>
        <v>0</v>
      </c>
      <c r="BY80" s="381">
        <f t="shared" si="570"/>
        <v>0</v>
      </c>
      <c r="BZ80" s="381">
        <f t="shared" si="570"/>
        <v>0</v>
      </c>
      <c r="CA80" s="381">
        <f t="shared" si="570"/>
        <v>0</v>
      </c>
      <c r="CB80" s="381">
        <f t="shared" si="570"/>
        <v>0</v>
      </c>
      <c r="CC80" s="381">
        <f t="shared" si="570"/>
        <v>0</v>
      </c>
      <c r="CD80" s="381">
        <f t="shared" si="570"/>
        <v>0</v>
      </c>
      <c r="CE80" s="381">
        <f t="shared" si="570"/>
        <v>0</v>
      </c>
      <c r="CF80" s="381">
        <f t="shared" si="570"/>
        <v>0</v>
      </c>
      <c r="CG80" s="381">
        <f t="shared" si="570"/>
        <v>0</v>
      </c>
      <c r="CH80" s="381">
        <f t="shared" si="570"/>
        <v>0</v>
      </c>
      <c r="CI80" s="381">
        <f t="shared" si="570"/>
        <v>0</v>
      </c>
      <c r="CJ80" s="381">
        <f t="shared" si="570"/>
        <v>0</v>
      </c>
      <c r="CK80" s="381">
        <f t="shared" si="570"/>
        <v>0</v>
      </c>
      <c r="CL80" s="381">
        <f t="shared" si="570"/>
        <v>0</v>
      </c>
      <c r="CM80" s="381">
        <f t="shared" si="570"/>
        <v>0</v>
      </c>
      <c r="CN80" s="381">
        <f t="shared" si="570"/>
        <v>0</v>
      </c>
      <c r="CO80" s="381">
        <f t="shared" si="570"/>
        <v>0</v>
      </c>
      <c r="CP80" s="381">
        <f t="shared" si="570"/>
        <v>0</v>
      </c>
      <c r="CQ80" s="381">
        <f t="shared" si="570"/>
        <v>0</v>
      </c>
      <c r="CR80" s="381">
        <f t="shared" si="570"/>
        <v>0</v>
      </c>
      <c r="CS80" s="381">
        <f t="shared" si="570"/>
        <v>0</v>
      </c>
      <c r="CT80" s="381">
        <f t="shared" si="570"/>
        <v>0</v>
      </c>
      <c r="CU80" s="381">
        <f t="shared" si="570"/>
        <v>0</v>
      </c>
      <c r="CV80" s="381">
        <f t="shared" si="570"/>
        <v>0</v>
      </c>
      <c r="CW80" s="381">
        <f t="shared" si="570"/>
        <v>0</v>
      </c>
      <c r="CX80" s="381">
        <f t="shared" si="570"/>
        <v>0</v>
      </c>
      <c r="CY80" s="381">
        <f t="shared" si="570"/>
        <v>0</v>
      </c>
      <c r="CZ80" s="381">
        <f t="shared" si="570"/>
        <v>0</v>
      </c>
      <c r="DA80" s="381">
        <f t="shared" si="570"/>
        <v>0</v>
      </c>
      <c r="DB80" s="381">
        <f t="shared" si="570"/>
        <v>0</v>
      </c>
      <c r="DC80" s="381">
        <f t="shared" si="570"/>
        <v>0</v>
      </c>
      <c r="DD80" s="381">
        <f t="shared" si="570"/>
        <v>0</v>
      </c>
      <c r="DE80" s="381">
        <f t="shared" si="570"/>
        <v>0</v>
      </c>
      <c r="DF80" s="381">
        <f t="shared" si="570"/>
        <v>0</v>
      </c>
      <c r="DG80" s="381">
        <f t="shared" si="570"/>
        <v>0</v>
      </c>
      <c r="DH80" s="381">
        <f t="shared" si="570"/>
        <v>0</v>
      </c>
      <c r="DI80" s="381">
        <f t="shared" si="570"/>
        <v>0</v>
      </c>
      <c r="DJ80" s="381">
        <f t="shared" si="570"/>
        <v>0</v>
      </c>
      <c r="DK80" s="381">
        <f t="shared" si="570"/>
        <v>0</v>
      </c>
      <c r="DL80" s="381">
        <f t="shared" si="570"/>
        <v>0</v>
      </c>
      <c r="DM80" s="381"/>
      <c r="DN80" s="430"/>
      <c r="DO80" s="330"/>
    </row>
    <row r="81" spans="2:119" x14ac:dyDescent="0.3">
      <c r="B81" s="416"/>
      <c r="C81" s="423"/>
      <c r="D81" s="385"/>
      <c r="E81" s="356"/>
      <c r="F81" s="356"/>
      <c r="G81" s="356"/>
      <c r="H81" s="356"/>
      <c r="I81" s="381"/>
      <c r="J81" s="381"/>
      <c r="K81" s="381"/>
      <c r="L81" s="381"/>
      <c r="M81" s="381"/>
      <c r="N81" s="381"/>
      <c r="O81" s="381"/>
      <c r="P81" s="381"/>
      <c r="Q81" s="381"/>
      <c r="R81" s="381"/>
      <c r="S81" s="381"/>
      <c r="T81" s="381"/>
      <c r="U81" s="381"/>
      <c r="V81" s="381"/>
      <c r="W81" s="381"/>
      <c r="X81" s="381"/>
      <c r="Y81" s="381"/>
      <c r="Z81" s="381"/>
      <c r="AA81" s="381"/>
      <c r="AB81" s="381"/>
      <c r="AC81" s="381"/>
      <c r="AD81" s="381"/>
      <c r="AE81" s="381"/>
      <c r="AF81" s="381"/>
      <c r="AG81" s="381"/>
      <c r="AH81" s="381"/>
      <c r="AI81" s="381"/>
      <c r="AJ81" s="381"/>
      <c r="AK81" s="381"/>
      <c r="AL81" s="381"/>
      <c r="AM81" s="381"/>
      <c r="AN81" s="381"/>
      <c r="AO81" s="381"/>
      <c r="AP81" s="381"/>
      <c r="AQ81" s="381"/>
      <c r="AR81" s="381"/>
      <c r="AS81" s="381"/>
      <c r="AT81" s="381"/>
      <c r="AU81" s="381"/>
      <c r="AV81" s="381"/>
      <c r="AW81" s="381"/>
      <c r="AX81" s="381"/>
      <c r="AY81" s="381"/>
      <c r="AZ81" s="381"/>
      <c r="BA81" s="381"/>
      <c r="BB81" s="381"/>
      <c r="BC81" s="381"/>
      <c r="BD81" s="381"/>
      <c r="BE81" s="381"/>
      <c r="BF81" s="381"/>
      <c r="BG81" s="381"/>
      <c r="BH81" s="381"/>
      <c r="BI81" s="381"/>
      <c r="BJ81" s="381"/>
      <c r="BK81" s="381"/>
      <c r="BL81" s="381"/>
      <c r="BM81" s="381"/>
      <c r="BN81" s="381"/>
      <c r="BO81" s="381"/>
      <c r="BP81" s="381"/>
      <c r="BQ81" s="381"/>
      <c r="BR81" s="381"/>
      <c r="BS81" s="381"/>
      <c r="BT81" s="381"/>
      <c r="BU81" s="381"/>
      <c r="BV81" s="381"/>
      <c r="BW81" s="381"/>
      <c r="BX81" s="381"/>
      <c r="BY81" s="381"/>
      <c r="BZ81" s="381"/>
      <c r="CA81" s="381"/>
      <c r="CB81" s="381"/>
      <c r="CC81" s="381"/>
      <c r="CD81" s="381"/>
      <c r="CE81" s="381"/>
      <c r="CF81" s="381"/>
      <c r="CG81" s="381"/>
      <c r="CH81" s="381"/>
      <c r="CI81" s="381"/>
      <c r="CJ81" s="381"/>
      <c r="CK81" s="381"/>
      <c r="CL81" s="381"/>
      <c r="CM81" s="381"/>
      <c r="CN81" s="381"/>
      <c r="CO81" s="381"/>
      <c r="CP81" s="381"/>
      <c r="CQ81" s="381"/>
      <c r="CR81" s="381"/>
      <c r="CS81" s="381"/>
      <c r="CT81" s="381"/>
      <c r="CU81" s="381"/>
      <c r="CV81" s="381"/>
      <c r="CW81" s="381"/>
      <c r="CX81" s="381"/>
      <c r="CY81" s="381"/>
      <c r="CZ81" s="381"/>
      <c r="DA81" s="381"/>
      <c r="DB81" s="381"/>
      <c r="DC81" s="381"/>
      <c r="DD81" s="381"/>
      <c r="DE81" s="381"/>
      <c r="DF81" s="381"/>
      <c r="DG81" s="381"/>
      <c r="DH81" s="381"/>
      <c r="DI81" s="381"/>
      <c r="DJ81" s="381"/>
      <c r="DK81" s="381"/>
      <c r="DL81" s="381"/>
      <c r="DM81" s="356"/>
      <c r="DN81" s="424"/>
      <c r="DO81" s="330"/>
    </row>
    <row r="82" spans="2:119" x14ac:dyDescent="0.3">
      <c r="B82" s="416"/>
      <c r="C82" s="423"/>
      <c r="D82" s="385" t="s">
        <v>367</v>
      </c>
      <c r="E82" s="356"/>
      <c r="F82" s="356"/>
      <c r="G82" s="356"/>
      <c r="H82" s="356"/>
      <c r="I82" s="381"/>
      <c r="J82" s="381"/>
      <c r="K82" s="381"/>
      <c r="L82" s="381"/>
      <c r="M82" s="381"/>
      <c r="N82" s="381"/>
      <c r="O82" s="381"/>
      <c r="P82" s="381"/>
      <c r="Q82" s="381"/>
      <c r="R82" s="381"/>
      <c r="S82" s="381"/>
      <c r="T82" s="381"/>
      <c r="U82" s="381"/>
      <c r="V82" s="381"/>
      <c r="W82" s="381"/>
      <c r="X82" s="381"/>
      <c r="Y82" s="381"/>
      <c r="Z82" s="381"/>
      <c r="AA82" s="381"/>
      <c r="AB82" s="381"/>
      <c r="AC82" s="381"/>
      <c r="AD82" s="381"/>
      <c r="AE82" s="381"/>
      <c r="AF82" s="381"/>
      <c r="AG82" s="381"/>
      <c r="AH82" s="381"/>
      <c r="AI82" s="381"/>
      <c r="AJ82" s="381"/>
      <c r="AK82" s="381"/>
      <c r="AL82" s="381"/>
      <c r="AM82" s="381"/>
      <c r="AN82" s="381"/>
      <c r="AO82" s="381"/>
      <c r="AP82" s="381"/>
      <c r="AQ82" s="381"/>
      <c r="AR82" s="381"/>
      <c r="AS82" s="381"/>
      <c r="AT82" s="381"/>
      <c r="AU82" s="381"/>
      <c r="AV82" s="381"/>
      <c r="AW82" s="381"/>
      <c r="AX82" s="381"/>
      <c r="AY82" s="381"/>
      <c r="AZ82" s="381"/>
      <c r="BA82" s="381"/>
      <c r="BB82" s="381"/>
      <c r="BC82" s="381"/>
      <c r="BD82" s="381"/>
      <c r="BE82" s="381"/>
      <c r="BF82" s="381"/>
      <c r="BG82" s="381"/>
      <c r="BH82" s="381"/>
      <c r="BI82" s="381"/>
      <c r="BJ82" s="381"/>
      <c r="BK82" s="381"/>
      <c r="BL82" s="381"/>
      <c r="BM82" s="381"/>
      <c r="BN82" s="381"/>
      <c r="BO82" s="381"/>
      <c r="BP82" s="381"/>
      <c r="BQ82" s="381"/>
      <c r="BR82" s="381"/>
      <c r="BS82" s="381"/>
      <c r="BT82" s="381"/>
      <c r="BU82" s="381"/>
      <c r="BV82" s="381"/>
      <c r="BW82" s="381"/>
      <c r="BX82" s="381"/>
      <c r="BY82" s="381"/>
      <c r="BZ82" s="381"/>
      <c r="CA82" s="381"/>
      <c r="CB82" s="381"/>
      <c r="CC82" s="381"/>
      <c r="CD82" s="381"/>
      <c r="CE82" s="381"/>
      <c r="CF82" s="381"/>
      <c r="CG82" s="381"/>
      <c r="CH82" s="381"/>
      <c r="CI82" s="381"/>
      <c r="CJ82" s="381"/>
      <c r="CK82" s="381"/>
      <c r="CL82" s="381"/>
      <c r="CM82" s="381"/>
      <c r="CN82" s="381"/>
      <c r="CO82" s="381"/>
      <c r="CP82" s="381"/>
      <c r="CQ82" s="381"/>
      <c r="CR82" s="381"/>
      <c r="CS82" s="381"/>
      <c r="CT82" s="381"/>
      <c r="CU82" s="381"/>
      <c r="CV82" s="381"/>
      <c r="CW82" s="381"/>
      <c r="CX82" s="381"/>
      <c r="CY82" s="381"/>
      <c r="CZ82" s="381"/>
      <c r="DA82" s="381"/>
      <c r="DB82" s="381"/>
      <c r="DC82" s="381"/>
      <c r="DD82" s="381"/>
      <c r="DE82" s="381"/>
      <c r="DF82" s="381"/>
      <c r="DG82" s="381"/>
      <c r="DH82" s="381"/>
      <c r="DI82" s="381"/>
      <c r="DJ82" s="381"/>
      <c r="DK82" s="381"/>
      <c r="DL82" s="381"/>
      <c r="DM82" s="356"/>
      <c r="DN82" s="424"/>
      <c r="DO82" s="330"/>
    </row>
    <row r="83" spans="2:119" x14ac:dyDescent="0.3">
      <c r="B83" s="416"/>
      <c r="C83" s="423"/>
      <c r="D83" s="385"/>
      <c r="E83" s="356" t="s">
        <v>366</v>
      </c>
      <c r="F83" s="356"/>
      <c r="G83" s="356"/>
      <c r="H83" s="381">
        <f>-'Members Capital'!G8</f>
        <v>-281774.21999999997</v>
      </c>
      <c r="I83" s="381">
        <f>I78</f>
        <v>0</v>
      </c>
      <c r="J83" s="381">
        <f t="shared" ref="J83:BU83" si="571">J78</f>
        <v>0</v>
      </c>
      <c r="K83" s="381">
        <f t="shared" si="571"/>
        <v>0</v>
      </c>
      <c r="L83" s="381">
        <f t="shared" si="571"/>
        <v>0</v>
      </c>
      <c r="M83" s="381">
        <f t="shared" si="571"/>
        <v>0</v>
      </c>
      <c r="N83" s="381">
        <f t="shared" si="571"/>
        <v>0</v>
      </c>
      <c r="O83" s="381">
        <f t="shared" si="571"/>
        <v>0</v>
      </c>
      <c r="P83" s="381">
        <f t="shared" si="571"/>
        <v>0</v>
      </c>
      <c r="Q83" s="381">
        <f t="shared" si="571"/>
        <v>0</v>
      </c>
      <c r="R83" s="381">
        <f t="shared" si="571"/>
        <v>0</v>
      </c>
      <c r="S83" s="381">
        <f t="shared" si="571"/>
        <v>0</v>
      </c>
      <c r="T83" s="381">
        <f t="shared" si="571"/>
        <v>0</v>
      </c>
      <c r="U83" s="381">
        <f t="shared" si="571"/>
        <v>0</v>
      </c>
      <c r="V83" s="381">
        <f t="shared" si="571"/>
        <v>0</v>
      </c>
      <c r="W83" s="381">
        <f t="shared" si="571"/>
        <v>0</v>
      </c>
      <c r="X83" s="381">
        <f t="shared" si="571"/>
        <v>0</v>
      </c>
      <c r="Y83" s="381">
        <f t="shared" si="571"/>
        <v>0</v>
      </c>
      <c r="Z83" s="381">
        <f t="shared" si="571"/>
        <v>0</v>
      </c>
      <c r="AA83" s="381">
        <f t="shared" si="571"/>
        <v>0</v>
      </c>
      <c r="AB83" s="381">
        <f t="shared" si="571"/>
        <v>0</v>
      </c>
      <c r="AC83" s="381">
        <f t="shared" si="571"/>
        <v>0</v>
      </c>
      <c r="AD83" s="381">
        <f t="shared" si="571"/>
        <v>0</v>
      </c>
      <c r="AE83" s="381">
        <f t="shared" si="571"/>
        <v>0</v>
      </c>
      <c r="AF83" s="381">
        <f t="shared" si="571"/>
        <v>0</v>
      </c>
      <c r="AG83" s="381">
        <f t="shared" si="571"/>
        <v>0</v>
      </c>
      <c r="AH83" s="381">
        <f t="shared" si="571"/>
        <v>0</v>
      </c>
      <c r="AI83" s="381">
        <f t="shared" si="571"/>
        <v>0</v>
      </c>
      <c r="AJ83" s="381">
        <f t="shared" si="571"/>
        <v>0</v>
      </c>
      <c r="AK83" s="381">
        <f t="shared" si="571"/>
        <v>0</v>
      </c>
      <c r="AL83" s="381">
        <f t="shared" si="571"/>
        <v>0</v>
      </c>
      <c r="AM83" s="381">
        <f t="shared" si="571"/>
        <v>0</v>
      </c>
      <c r="AN83" s="381">
        <f t="shared" si="571"/>
        <v>0</v>
      </c>
      <c r="AO83" s="381">
        <f t="shared" si="571"/>
        <v>0</v>
      </c>
      <c r="AP83" s="381">
        <f t="shared" si="571"/>
        <v>0</v>
      </c>
      <c r="AQ83" s="381">
        <f t="shared" si="571"/>
        <v>0</v>
      </c>
      <c r="AR83" s="381">
        <f t="shared" si="571"/>
        <v>0</v>
      </c>
      <c r="AS83" s="381">
        <f t="shared" si="571"/>
        <v>0</v>
      </c>
      <c r="AT83" s="381">
        <f t="shared" si="571"/>
        <v>0</v>
      </c>
      <c r="AU83" s="381">
        <f t="shared" si="571"/>
        <v>0</v>
      </c>
      <c r="AV83" s="381">
        <f t="shared" si="571"/>
        <v>0</v>
      </c>
      <c r="AW83" s="381">
        <f t="shared" si="571"/>
        <v>0</v>
      </c>
      <c r="AX83" s="381">
        <f t="shared" si="571"/>
        <v>0</v>
      </c>
      <c r="AY83" s="381">
        <f t="shared" si="571"/>
        <v>0</v>
      </c>
      <c r="AZ83" s="381">
        <f t="shared" si="571"/>
        <v>0</v>
      </c>
      <c r="BA83" s="381">
        <f t="shared" si="571"/>
        <v>0</v>
      </c>
      <c r="BB83" s="381">
        <f t="shared" si="571"/>
        <v>0</v>
      </c>
      <c r="BC83" s="381">
        <f t="shared" si="571"/>
        <v>0</v>
      </c>
      <c r="BD83" s="381">
        <f t="shared" si="571"/>
        <v>0</v>
      </c>
      <c r="BE83" s="381">
        <f t="shared" si="571"/>
        <v>0</v>
      </c>
      <c r="BF83" s="381">
        <f t="shared" si="571"/>
        <v>0</v>
      </c>
      <c r="BG83" s="381">
        <f t="shared" si="571"/>
        <v>0</v>
      </c>
      <c r="BH83" s="381">
        <f t="shared" si="571"/>
        <v>0</v>
      </c>
      <c r="BI83" s="381">
        <f t="shared" si="571"/>
        <v>0</v>
      </c>
      <c r="BJ83" s="381">
        <f t="shared" si="571"/>
        <v>0</v>
      </c>
      <c r="BK83" s="381">
        <f t="shared" si="571"/>
        <v>0</v>
      </c>
      <c r="BL83" s="381">
        <f t="shared" si="571"/>
        <v>0</v>
      </c>
      <c r="BM83" s="381">
        <f t="shared" si="571"/>
        <v>0</v>
      </c>
      <c r="BN83" s="381">
        <f t="shared" si="571"/>
        <v>0</v>
      </c>
      <c r="BO83" s="381">
        <f t="shared" si="571"/>
        <v>0</v>
      </c>
      <c r="BP83" s="381">
        <f t="shared" si="571"/>
        <v>0</v>
      </c>
      <c r="BQ83" s="381">
        <f t="shared" si="571"/>
        <v>0</v>
      </c>
      <c r="BR83" s="381">
        <f t="shared" si="571"/>
        <v>0</v>
      </c>
      <c r="BS83" s="381">
        <f t="shared" si="571"/>
        <v>0</v>
      </c>
      <c r="BT83" s="381">
        <f t="shared" si="571"/>
        <v>0</v>
      </c>
      <c r="BU83" s="381">
        <f t="shared" si="571"/>
        <v>0</v>
      </c>
      <c r="BV83" s="381">
        <f t="shared" ref="BV83:DL83" si="572">BV78</f>
        <v>0</v>
      </c>
      <c r="BW83" s="381">
        <f t="shared" si="572"/>
        <v>0</v>
      </c>
      <c r="BX83" s="381">
        <f t="shared" si="572"/>
        <v>0</v>
      </c>
      <c r="BY83" s="381">
        <f t="shared" si="572"/>
        <v>0</v>
      </c>
      <c r="BZ83" s="381">
        <f t="shared" si="572"/>
        <v>0</v>
      </c>
      <c r="CA83" s="381">
        <f t="shared" si="572"/>
        <v>0</v>
      </c>
      <c r="CB83" s="381">
        <f t="shared" si="572"/>
        <v>0</v>
      </c>
      <c r="CC83" s="381">
        <f t="shared" si="572"/>
        <v>0</v>
      </c>
      <c r="CD83" s="381">
        <f t="shared" si="572"/>
        <v>0</v>
      </c>
      <c r="CE83" s="381">
        <f t="shared" si="572"/>
        <v>0</v>
      </c>
      <c r="CF83" s="381">
        <f t="shared" si="572"/>
        <v>0</v>
      </c>
      <c r="CG83" s="381">
        <f t="shared" si="572"/>
        <v>0</v>
      </c>
      <c r="CH83" s="381">
        <f t="shared" si="572"/>
        <v>0</v>
      </c>
      <c r="CI83" s="381">
        <f t="shared" si="572"/>
        <v>0</v>
      </c>
      <c r="CJ83" s="381">
        <f t="shared" si="572"/>
        <v>0</v>
      </c>
      <c r="CK83" s="381">
        <f t="shared" si="572"/>
        <v>0</v>
      </c>
      <c r="CL83" s="381">
        <f t="shared" si="572"/>
        <v>0</v>
      </c>
      <c r="CM83" s="381">
        <f t="shared" si="572"/>
        <v>0</v>
      </c>
      <c r="CN83" s="381">
        <f t="shared" si="572"/>
        <v>0</v>
      </c>
      <c r="CO83" s="381">
        <f t="shared" si="572"/>
        <v>0</v>
      </c>
      <c r="CP83" s="381">
        <f t="shared" si="572"/>
        <v>0</v>
      </c>
      <c r="CQ83" s="381">
        <f t="shared" si="572"/>
        <v>0</v>
      </c>
      <c r="CR83" s="381">
        <f t="shared" si="572"/>
        <v>0</v>
      </c>
      <c r="CS83" s="381">
        <f t="shared" si="572"/>
        <v>0</v>
      </c>
      <c r="CT83" s="381">
        <f t="shared" si="572"/>
        <v>0</v>
      </c>
      <c r="CU83" s="381">
        <f t="shared" si="572"/>
        <v>0</v>
      </c>
      <c r="CV83" s="381">
        <f t="shared" si="572"/>
        <v>0</v>
      </c>
      <c r="CW83" s="381">
        <f t="shared" si="572"/>
        <v>0</v>
      </c>
      <c r="CX83" s="381">
        <f t="shared" si="572"/>
        <v>0</v>
      </c>
      <c r="CY83" s="381">
        <f t="shared" si="572"/>
        <v>0</v>
      </c>
      <c r="CZ83" s="381">
        <f t="shared" si="572"/>
        <v>0</v>
      </c>
      <c r="DA83" s="381">
        <f t="shared" si="572"/>
        <v>0</v>
      </c>
      <c r="DB83" s="381">
        <f t="shared" si="572"/>
        <v>0</v>
      </c>
      <c r="DC83" s="381">
        <f t="shared" si="572"/>
        <v>0</v>
      </c>
      <c r="DD83" s="381">
        <f t="shared" si="572"/>
        <v>0</v>
      </c>
      <c r="DE83" s="381">
        <f t="shared" si="572"/>
        <v>0</v>
      </c>
      <c r="DF83" s="381">
        <f t="shared" si="572"/>
        <v>0</v>
      </c>
      <c r="DG83" s="381">
        <f t="shared" si="572"/>
        <v>0</v>
      </c>
      <c r="DH83" s="381">
        <f t="shared" si="572"/>
        <v>0</v>
      </c>
      <c r="DI83" s="381">
        <f t="shared" si="572"/>
        <v>0</v>
      </c>
      <c r="DJ83" s="381">
        <f t="shared" si="572"/>
        <v>0</v>
      </c>
      <c r="DK83" s="381">
        <f t="shared" si="572"/>
        <v>0</v>
      </c>
      <c r="DL83" s="381">
        <f t="shared" si="572"/>
        <v>0</v>
      </c>
      <c r="DM83" s="356"/>
      <c r="DN83" s="426">
        <f>SUM(H83:DL83)</f>
        <v>-281774.21999999997</v>
      </c>
      <c r="DO83" s="330"/>
    </row>
    <row r="84" spans="2:119" x14ac:dyDescent="0.3">
      <c r="B84" s="416"/>
      <c r="C84" s="423"/>
      <c r="D84" s="385"/>
      <c r="E84" s="356"/>
      <c r="F84" s="356" t="s">
        <v>364</v>
      </c>
      <c r="G84" s="383" t="e">
        <f>XIRR(H83:DL83,H2:DL2,0.16)</f>
        <v>#NUM!</v>
      </c>
      <c r="H84" s="383"/>
      <c r="I84" s="381"/>
      <c r="J84" s="381"/>
      <c r="K84" s="381"/>
      <c r="L84" s="381"/>
      <c r="M84" s="381"/>
      <c r="N84" s="381"/>
      <c r="O84" s="381"/>
      <c r="P84" s="381"/>
      <c r="Q84" s="381"/>
      <c r="R84" s="381"/>
      <c r="S84" s="381"/>
      <c r="T84" s="917"/>
      <c r="U84" s="381"/>
      <c r="V84" s="381"/>
      <c r="W84" s="381"/>
      <c r="X84" s="381"/>
      <c r="Y84" s="381"/>
      <c r="Z84" s="381"/>
      <c r="AA84" s="381"/>
      <c r="AB84" s="381"/>
      <c r="AC84" s="381"/>
      <c r="AD84" s="381"/>
      <c r="AE84" s="381"/>
      <c r="AF84" s="917"/>
      <c r="AG84" s="381"/>
      <c r="AH84" s="381"/>
      <c r="AI84" s="381"/>
      <c r="AJ84" s="381"/>
      <c r="AK84" s="381"/>
      <c r="AL84" s="381"/>
      <c r="AM84" s="381"/>
      <c r="AN84" s="381"/>
      <c r="AO84" s="381"/>
      <c r="AP84" s="381"/>
      <c r="AQ84" s="381"/>
      <c r="AR84" s="917"/>
      <c r="AS84" s="381"/>
      <c r="AT84" s="381"/>
      <c r="AU84" s="381"/>
      <c r="AV84" s="381"/>
      <c r="AW84" s="381"/>
      <c r="AX84" s="381"/>
      <c r="AY84" s="381"/>
      <c r="AZ84" s="381"/>
      <c r="BA84" s="381"/>
      <c r="BB84" s="381"/>
      <c r="BC84" s="381"/>
      <c r="BD84" s="917"/>
      <c r="BE84" s="381"/>
      <c r="BF84" s="381"/>
      <c r="BG84" s="381"/>
      <c r="BH84" s="381"/>
      <c r="BI84" s="381"/>
      <c r="BJ84" s="381"/>
      <c r="BK84" s="381"/>
      <c r="BL84" s="381"/>
      <c r="BM84" s="381"/>
      <c r="BN84" s="381"/>
      <c r="BO84" s="381"/>
      <c r="BP84" s="917"/>
      <c r="BQ84" s="381"/>
      <c r="BR84" s="381"/>
      <c r="BS84" s="381"/>
      <c r="BT84" s="381"/>
      <c r="BU84" s="381"/>
      <c r="BV84" s="381"/>
      <c r="BW84" s="381"/>
      <c r="BX84" s="381"/>
      <c r="BY84" s="381"/>
      <c r="BZ84" s="381"/>
      <c r="CA84" s="381"/>
      <c r="CB84" s="917"/>
      <c r="CC84" s="381"/>
      <c r="CD84" s="381"/>
      <c r="CE84" s="381"/>
      <c r="CF84" s="381"/>
      <c r="CG84" s="381"/>
      <c r="CH84" s="381"/>
      <c r="CI84" s="381"/>
      <c r="CJ84" s="381"/>
      <c r="CK84" s="381"/>
      <c r="CL84" s="381"/>
      <c r="CM84" s="381"/>
      <c r="CN84" s="917"/>
      <c r="CO84" s="381"/>
      <c r="CP84" s="381"/>
      <c r="CQ84" s="381"/>
      <c r="CR84" s="381"/>
      <c r="CS84" s="381"/>
      <c r="CT84" s="381"/>
      <c r="CU84" s="381"/>
      <c r="CV84" s="381"/>
      <c r="CW84" s="381"/>
      <c r="CX84" s="381"/>
      <c r="CY84" s="381"/>
      <c r="CZ84" s="917"/>
      <c r="DA84" s="381"/>
      <c r="DB84" s="381"/>
      <c r="DC84" s="381"/>
      <c r="DD84" s="381"/>
      <c r="DE84" s="381"/>
      <c r="DF84" s="381"/>
      <c r="DG84" s="381"/>
      <c r="DH84" s="381"/>
      <c r="DI84" s="381"/>
      <c r="DJ84" s="381"/>
      <c r="DK84" s="381"/>
      <c r="DL84" s="381"/>
      <c r="DM84" s="356"/>
      <c r="DN84" s="424"/>
      <c r="DO84" s="330"/>
    </row>
    <row r="85" spans="2:119" x14ac:dyDescent="0.3">
      <c r="B85" s="416"/>
      <c r="C85" s="423"/>
      <c r="D85" s="385"/>
      <c r="E85" s="356"/>
      <c r="F85" s="356" t="s">
        <v>369</v>
      </c>
      <c r="G85" s="518">
        <f>DN83</f>
        <v>-281774.21999999997</v>
      </c>
      <c r="H85" s="381"/>
      <c r="I85" s="381"/>
      <c r="J85" s="381"/>
      <c r="K85" s="381"/>
      <c r="L85" s="381"/>
      <c r="M85" s="381"/>
      <c r="N85" s="381"/>
      <c r="O85" s="381"/>
      <c r="P85" s="381"/>
      <c r="Q85" s="381"/>
      <c r="R85" s="381"/>
      <c r="S85" s="381"/>
      <c r="T85" s="917"/>
      <c r="U85" s="381"/>
      <c r="V85" s="381"/>
      <c r="W85" s="381"/>
      <c r="X85" s="381"/>
      <c r="Y85" s="381"/>
      <c r="Z85" s="381"/>
      <c r="AA85" s="381"/>
      <c r="AB85" s="381"/>
      <c r="AC85" s="381"/>
      <c r="AD85" s="381"/>
      <c r="AE85" s="381"/>
      <c r="AF85" s="917"/>
      <c r="AG85" s="381"/>
      <c r="AH85" s="381"/>
      <c r="AI85" s="381"/>
      <c r="AJ85" s="381"/>
      <c r="AK85" s="381"/>
      <c r="AL85" s="381"/>
      <c r="AM85" s="381"/>
      <c r="AN85" s="381"/>
      <c r="AO85" s="381"/>
      <c r="AP85" s="381"/>
      <c r="AQ85" s="381"/>
      <c r="AR85" s="917"/>
      <c r="AS85" s="381"/>
      <c r="AT85" s="381"/>
      <c r="AU85" s="381"/>
      <c r="AV85" s="381"/>
      <c r="AW85" s="381"/>
      <c r="AX85" s="381"/>
      <c r="AY85" s="381"/>
      <c r="AZ85" s="381"/>
      <c r="BA85" s="381"/>
      <c r="BB85" s="381"/>
      <c r="BC85" s="381"/>
      <c r="BD85" s="917"/>
      <c r="BE85" s="381"/>
      <c r="BF85" s="381"/>
      <c r="BG85" s="381"/>
      <c r="BH85" s="381"/>
      <c r="BI85" s="381"/>
      <c r="BJ85" s="381"/>
      <c r="BK85" s="381"/>
      <c r="BL85" s="381"/>
      <c r="BM85" s="381"/>
      <c r="BN85" s="381"/>
      <c r="BO85" s="381"/>
      <c r="BP85" s="917"/>
      <c r="BQ85" s="381"/>
      <c r="BR85" s="381"/>
      <c r="BS85" s="381"/>
      <c r="BT85" s="381"/>
      <c r="BU85" s="381"/>
      <c r="BV85" s="381"/>
      <c r="BW85" s="381"/>
      <c r="BX85" s="381"/>
      <c r="BY85" s="381"/>
      <c r="BZ85" s="381"/>
      <c r="CA85" s="381"/>
      <c r="CB85" s="917"/>
      <c r="CC85" s="381"/>
      <c r="CD85" s="381"/>
      <c r="CE85" s="381"/>
      <c r="CF85" s="381"/>
      <c r="CG85" s="381"/>
      <c r="CH85" s="381"/>
      <c r="CI85" s="381"/>
      <c r="CJ85" s="381"/>
      <c r="CK85" s="381"/>
      <c r="CL85" s="381"/>
      <c r="CM85" s="381"/>
      <c r="CN85" s="917"/>
      <c r="CO85" s="381"/>
      <c r="CP85" s="381"/>
      <c r="CQ85" s="381"/>
      <c r="CR85" s="381"/>
      <c r="CS85" s="381"/>
      <c r="CT85" s="381"/>
      <c r="CU85" s="381"/>
      <c r="CV85" s="381"/>
      <c r="CW85" s="381"/>
      <c r="CX85" s="381"/>
      <c r="CY85" s="381"/>
      <c r="CZ85" s="917"/>
      <c r="DA85" s="381"/>
      <c r="DB85" s="381"/>
      <c r="DC85" s="381"/>
      <c r="DD85" s="381"/>
      <c r="DE85" s="381"/>
      <c r="DF85" s="381"/>
      <c r="DG85" s="381"/>
      <c r="DH85" s="381"/>
      <c r="DI85" s="381"/>
      <c r="DJ85" s="381"/>
      <c r="DK85" s="381"/>
      <c r="DL85" s="381"/>
      <c r="DM85" s="356"/>
      <c r="DN85" s="424"/>
      <c r="DO85" s="330"/>
    </row>
    <row r="86" spans="2:119" x14ac:dyDescent="0.3">
      <c r="B86" s="416"/>
      <c r="C86" s="427"/>
      <c r="D86" s="387"/>
      <c r="E86" s="359"/>
      <c r="F86" s="359" t="s">
        <v>368</v>
      </c>
      <c r="G86" s="428">
        <f>SUM(I83:CZ83)/-H83</f>
        <v>0</v>
      </c>
      <c r="H86" s="428"/>
      <c r="I86" s="382"/>
      <c r="J86" s="382"/>
      <c r="K86" s="382"/>
      <c r="L86" s="382"/>
      <c r="M86" s="382"/>
      <c r="N86" s="382"/>
      <c r="O86" s="382"/>
      <c r="P86" s="382"/>
      <c r="Q86" s="382"/>
      <c r="R86" s="382"/>
      <c r="S86" s="382"/>
      <c r="T86" s="920"/>
      <c r="U86" s="382"/>
      <c r="V86" s="382"/>
      <c r="W86" s="382"/>
      <c r="X86" s="382"/>
      <c r="Y86" s="382"/>
      <c r="Z86" s="382"/>
      <c r="AA86" s="382"/>
      <c r="AB86" s="382"/>
      <c r="AC86" s="382"/>
      <c r="AD86" s="382"/>
      <c r="AE86" s="382"/>
      <c r="AF86" s="920"/>
      <c r="AG86" s="382"/>
      <c r="AH86" s="382"/>
      <c r="AI86" s="382"/>
      <c r="AJ86" s="382"/>
      <c r="AK86" s="382"/>
      <c r="AL86" s="382"/>
      <c r="AM86" s="382"/>
      <c r="AN86" s="382"/>
      <c r="AO86" s="382"/>
      <c r="AP86" s="382"/>
      <c r="AQ86" s="382"/>
      <c r="AR86" s="920"/>
      <c r="AS86" s="382"/>
      <c r="AT86" s="382"/>
      <c r="AU86" s="382"/>
      <c r="AV86" s="382"/>
      <c r="AW86" s="382"/>
      <c r="AX86" s="382"/>
      <c r="AY86" s="382"/>
      <c r="AZ86" s="382"/>
      <c r="BA86" s="382"/>
      <c r="BB86" s="382"/>
      <c r="BC86" s="382"/>
      <c r="BD86" s="920"/>
      <c r="BE86" s="382"/>
      <c r="BF86" s="382"/>
      <c r="BG86" s="382"/>
      <c r="BH86" s="382"/>
      <c r="BI86" s="382"/>
      <c r="BJ86" s="382"/>
      <c r="BK86" s="382"/>
      <c r="BL86" s="382"/>
      <c r="BM86" s="382"/>
      <c r="BN86" s="382"/>
      <c r="BO86" s="382"/>
      <c r="BP86" s="920"/>
      <c r="BQ86" s="382"/>
      <c r="BR86" s="382"/>
      <c r="BS86" s="382"/>
      <c r="BT86" s="382"/>
      <c r="BU86" s="382"/>
      <c r="BV86" s="382"/>
      <c r="BW86" s="382"/>
      <c r="BX86" s="382"/>
      <c r="BY86" s="382"/>
      <c r="BZ86" s="382"/>
      <c r="CA86" s="382"/>
      <c r="CB86" s="920"/>
      <c r="CC86" s="382"/>
      <c r="CD86" s="382"/>
      <c r="CE86" s="382"/>
      <c r="CF86" s="382"/>
      <c r="CG86" s="382"/>
      <c r="CH86" s="382"/>
      <c r="CI86" s="382"/>
      <c r="CJ86" s="382"/>
      <c r="CK86" s="382"/>
      <c r="CL86" s="382"/>
      <c r="CM86" s="382"/>
      <c r="CN86" s="920"/>
      <c r="CO86" s="382"/>
      <c r="CP86" s="382"/>
      <c r="CQ86" s="382"/>
      <c r="CR86" s="382"/>
      <c r="CS86" s="382"/>
      <c r="CT86" s="382"/>
      <c r="CU86" s="382"/>
      <c r="CV86" s="382"/>
      <c r="CW86" s="382"/>
      <c r="CX86" s="382"/>
      <c r="CY86" s="382"/>
      <c r="CZ86" s="920"/>
      <c r="DA86" s="382"/>
      <c r="DB86" s="382"/>
      <c r="DC86" s="382"/>
      <c r="DD86" s="382"/>
      <c r="DE86" s="382"/>
      <c r="DF86" s="382"/>
      <c r="DG86" s="382"/>
      <c r="DH86" s="382"/>
      <c r="DI86" s="382"/>
      <c r="DJ86" s="382"/>
      <c r="DK86" s="382"/>
      <c r="DL86" s="382"/>
      <c r="DM86" s="359"/>
      <c r="DN86" s="429"/>
      <c r="DO86" s="330"/>
    </row>
    <row r="87" spans="2:119" x14ac:dyDescent="0.3">
      <c r="B87" s="416"/>
      <c r="G87" s="516"/>
      <c r="H87" s="516"/>
      <c r="I87" s="345"/>
      <c r="J87" s="345"/>
      <c r="K87" s="345"/>
      <c r="L87" s="345"/>
      <c r="M87" s="345"/>
      <c r="N87" s="345"/>
      <c r="O87" s="345"/>
      <c r="P87" s="345"/>
      <c r="Q87" s="345"/>
      <c r="R87" s="345"/>
      <c r="S87" s="345"/>
      <c r="T87" s="566"/>
      <c r="U87" s="345"/>
      <c r="V87" s="345"/>
      <c r="W87" s="345"/>
      <c r="X87" s="345"/>
      <c r="Y87" s="345"/>
      <c r="Z87" s="345"/>
      <c r="AA87" s="345"/>
      <c r="AB87" s="345"/>
      <c r="AC87" s="345"/>
      <c r="AD87" s="345"/>
      <c r="AE87" s="345"/>
      <c r="AF87" s="566"/>
      <c r="AG87" s="345"/>
      <c r="AH87" s="345"/>
      <c r="AI87" s="345"/>
      <c r="AJ87" s="345"/>
      <c r="AK87" s="345"/>
      <c r="AL87" s="345"/>
      <c r="AM87" s="345"/>
      <c r="AN87" s="345"/>
      <c r="AO87" s="345"/>
      <c r="AP87" s="345"/>
      <c r="AQ87" s="345"/>
      <c r="AR87" s="566"/>
      <c r="AS87" s="345"/>
      <c r="AT87" s="345"/>
      <c r="AU87" s="345"/>
      <c r="AV87" s="345"/>
      <c r="AW87" s="345"/>
      <c r="AX87" s="345"/>
      <c r="AY87" s="345"/>
      <c r="AZ87" s="345"/>
      <c r="BA87" s="345"/>
      <c r="BB87" s="345"/>
      <c r="BC87" s="345"/>
      <c r="BD87" s="566"/>
      <c r="BE87" s="345"/>
      <c r="BF87" s="345"/>
      <c r="BG87" s="345"/>
      <c r="BH87" s="345"/>
      <c r="BI87" s="345"/>
      <c r="BJ87" s="345"/>
      <c r="BK87" s="345"/>
      <c r="BL87" s="345"/>
      <c r="BM87" s="345"/>
      <c r="BN87" s="345"/>
      <c r="BO87" s="345"/>
      <c r="BP87" s="566"/>
      <c r="BQ87" s="345"/>
      <c r="BR87" s="345"/>
      <c r="BS87" s="345"/>
      <c r="BT87" s="345"/>
      <c r="BU87" s="345"/>
      <c r="BV87" s="345"/>
      <c r="BW87" s="345"/>
      <c r="BX87" s="345"/>
      <c r="BY87" s="345"/>
      <c r="BZ87" s="345"/>
      <c r="CA87" s="345"/>
      <c r="CB87" s="566"/>
      <c r="CC87" s="345"/>
      <c r="CD87" s="345"/>
      <c r="CE87" s="345"/>
      <c r="CF87" s="345"/>
      <c r="CG87" s="345"/>
      <c r="CH87" s="345"/>
      <c r="CI87" s="345"/>
      <c r="CJ87" s="345"/>
      <c r="CK87" s="345"/>
      <c r="CL87" s="345"/>
      <c r="CM87" s="345"/>
      <c r="CN87" s="566"/>
      <c r="CO87" s="345"/>
      <c r="CP87" s="345"/>
      <c r="CQ87" s="345"/>
      <c r="CR87" s="345"/>
      <c r="CS87" s="345"/>
      <c r="CT87" s="345"/>
      <c r="CU87" s="345"/>
      <c r="CV87" s="345"/>
      <c r="CW87" s="345"/>
      <c r="CX87" s="345"/>
      <c r="CY87" s="345"/>
      <c r="CZ87" s="566"/>
      <c r="DA87" s="345"/>
      <c r="DB87" s="345"/>
      <c r="DC87" s="345"/>
      <c r="DD87" s="345"/>
      <c r="DE87" s="345"/>
      <c r="DF87" s="345"/>
      <c r="DG87" s="345"/>
      <c r="DH87" s="345"/>
      <c r="DI87" s="345"/>
      <c r="DJ87" s="345"/>
      <c r="DK87" s="345"/>
      <c r="DL87" s="345"/>
      <c r="DO87" s="330"/>
    </row>
    <row r="88" spans="2:119" x14ac:dyDescent="0.3">
      <c r="B88" s="416"/>
      <c r="I88" s="345"/>
      <c r="J88" s="345"/>
      <c r="K88" s="345"/>
      <c r="L88" s="345"/>
      <c r="M88" s="345"/>
      <c r="N88" s="345"/>
      <c r="O88" s="345"/>
      <c r="P88" s="345"/>
      <c r="Q88" s="345"/>
      <c r="R88" s="345"/>
      <c r="S88" s="345"/>
      <c r="T88" s="566"/>
      <c r="U88" s="345"/>
      <c r="V88" s="345"/>
      <c r="W88" s="345"/>
      <c r="X88" s="345"/>
      <c r="Y88" s="345"/>
      <c r="Z88" s="345"/>
      <c r="AA88" s="345"/>
      <c r="AB88" s="345"/>
      <c r="AC88" s="345"/>
      <c r="AD88" s="345"/>
      <c r="AE88" s="345"/>
      <c r="AF88" s="566"/>
      <c r="AG88" s="345"/>
      <c r="AH88" s="345"/>
      <c r="AI88" s="345"/>
      <c r="AJ88" s="345"/>
      <c r="AK88" s="345"/>
      <c r="AL88" s="345"/>
      <c r="AM88" s="345"/>
      <c r="AN88" s="345"/>
      <c r="AO88" s="345"/>
      <c r="AP88" s="345"/>
      <c r="AQ88" s="345"/>
      <c r="AR88" s="566"/>
      <c r="AS88" s="345"/>
      <c r="AT88" s="345"/>
      <c r="AU88" s="345"/>
      <c r="AV88" s="345"/>
      <c r="AW88" s="345"/>
      <c r="AX88" s="345"/>
      <c r="AY88" s="345"/>
      <c r="AZ88" s="345"/>
      <c r="BA88" s="345"/>
      <c r="BB88" s="345"/>
      <c r="BC88" s="345"/>
      <c r="BD88" s="566"/>
      <c r="BE88" s="345"/>
      <c r="BF88" s="345"/>
      <c r="BG88" s="345"/>
      <c r="BH88" s="345"/>
      <c r="BI88" s="345"/>
      <c r="BJ88" s="345"/>
      <c r="BK88" s="345"/>
      <c r="BL88" s="345"/>
      <c r="BM88" s="345"/>
      <c r="BN88" s="345"/>
      <c r="BO88" s="345"/>
      <c r="BP88" s="566"/>
      <c r="BQ88" s="345"/>
      <c r="BR88" s="345"/>
      <c r="BS88" s="345"/>
      <c r="BT88" s="345"/>
      <c r="BU88" s="345"/>
      <c r="BV88" s="345"/>
      <c r="BW88" s="345"/>
      <c r="BX88" s="345"/>
      <c r="BY88" s="345"/>
      <c r="BZ88" s="345"/>
      <c r="CA88" s="345"/>
      <c r="CB88" s="566"/>
      <c r="CC88" s="345"/>
      <c r="CD88" s="345"/>
      <c r="CE88" s="345"/>
      <c r="CF88" s="345"/>
      <c r="CG88" s="345"/>
      <c r="CH88" s="345"/>
      <c r="CI88" s="345"/>
      <c r="CJ88" s="345"/>
      <c r="CK88" s="345"/>
      <c r="CL88" s="345"/>
      <c r="CM88" s="345"/>
      <c r="CN88" s="566"/>
      <c r="CO88" s="345"/>
      <c r="CP88" s="345"/>
      <c r="CQ88" s="345"/>
      <c r="CR88" s="345"/>
      <c r="CS88" s="345"/>
      <c r="CT88" s="345"/>
      <c r="CU88" s="345"/>
      <c r="CV88" s="345"/>
      <c r="CW88" s="345"/>
      <c r="CX88" s="345"/>
      <c r="CY88" s="345"/>
      <c r="CZ88" s="566"/>
      <c r="DA88" s="345"/>
      <c r="DB88" s="345"/>
      <c r="DC88" s="345"/>
      <c r="DD88" s="345"/>
      <c r="DE88" s="345"/>
      <c r="DF88" s="345"/>
      <c r="DG88" s="345"/>
      <c r="DH88" s="345"/>
      <c r="DI88" s="345"/>
      <c r="DJ88" s="345"/>
      <c r="DK88" s="345"/>
      <c r="DL88" s="345"/>
      <c r="DO88" s="330"/>
    </row>
    <row r="89" spans="2:119" x14ac:dyDescent="0.3">
      <c r="B89" s="416"/>
      <c r="C89" s="385" t="s">
        <v>344</v>
      </c>
      <c r="D89" s="385"/>
      <c r="E89" s="356"/>
      <c r="F89" s="356"/>
      <c r="G89" s="356"/>
      <c r="H89" s="356"/>
      <c r="I89" s="381"/>
      <c r="J89" s="381"/>
      <c r="K89" s="381"/>
      <c r="L89" s="381"/>
      <c r="M89" s="381"/>
      <c r="N89" s="381"/>
      <c r="O89" s="381"/>
      <c r="P89" s="381"/>
      <c r="Q89" s="381"/>
      <c r="R89" s="381"/>
      <c r="S89" s="381"/>
      <c r="T89" s="917"/>
      <c r="U89" s="381"/>
      <c r="V89" s="381"/>
      <c r="W89" s="381"/>
      <c r="X89" s="381"/>
      <c r="Y89" s="381"/>
      <c r="Z89" s="381"/>
      <c r="AA89" s="381"/>
      <c r="AB89" s="381"/>
      <c r="AC89" s="381"/>
      <c r="AD89" s="381"/>
      <c r="AE89" s="381"/>
      <c r="AF89" s="917"/>
      <c r="AG89" s="381"/>
      <c r="AH89" s="381"/>
      <c r="AI89" s="381"/>
      <c r="AJ89" s="381"/>
      <c r="AK89" s="381"/>
      <c r="AL89" s="381"/>
      <c r="AM89" s="381"/>
      <c r="AN89" s="381"/>
      <c r="AO89" s="381"/>
      <c r="AP89" s="381"/>
      <c r="AQ89" s="381"/>
      <c r="AR89" s="917"/>
      <c r="AS89" s="381"/>
      <c r="AT89" s="381"/>
      <c r="AU89" s="381"/>
      <c r="AV89" s="381"/>
      <c r="AW89" s="381"/>
      <c r="AX89" s="381"/>
      <c r="AY89" s="381"/>
      <c r="AZ89" s="381"/>
      <c r="BA89" s="381"/>
      <c r="BB89" s="381"/>
      <c r="BC89" s="381"/>
      <c r="BD89" s="917"/>
      <c r="BE89" s="381"/>
      <c r="BF89" s="381"/>
      <c r="BG89" s="381"/>
      <c r="BH89" s="381"/>
      <c r="BI89" s="381"/>
      <c r="BJ89" s="381"/>
      <c r="BK89" s="381"/>
      <c r="BL89" s="381"/>
      <c r="BM89" s="381"/>
      <c r="BN89" s="381"/>
      <c r="BO89" s="381"/>
      <c r="BP89" s="917"/>
      <c r="BQ89" s="381"/>
      <c r="BR89" s="381"/>
      <c r="BS89" s="381"/>
      <c r="BT89" s="381"/>
      <c r="BU89" s="381"/>
      <c r="BV89" s="381"/>
      <c r="BW89" s="381"/>
      <c r="BX89" s="381"/>
      <c r="BY89" s="381"/>
      <c r="BZ89" s="381"/>
      <c r="CA89" s="381"/>
      <c r="CB89" s="917"/>
      <c r="CC89" s="381"/>
      <c r="CD89" s="381"/>
      <c r="CE89" s="381"/>
      <c r="CF89" s="381"/>
      <c r="CG89" s="381"/>
      <c r="CH89" s="381"/>
      <c r="CI89" s="381"/>
      <c r="CJ89" s="381"/>
      <c r="CK89" s="381"/>
      <c r="CL89" s="381"/>
      <c r="CM89" s="381"/>
      <c r="CN89" s="917"/>
      <c r="CO89" s="381"/>
      <c r="CP89" s="381"/>
      <c r="CQ89" s="381"/>
      <c r="CR89" s="381"/>
      <c r="CS89" s="381"/>
      <c r="CT89" s="381"/>
      <c r="CU89" s="381"/>
      <c r="CV89" s="381"/>
      <c r="CW89" s="381"/>
      <c r="CX89" s="381"/>
      <c r="CY89" s="381"/>
      <c r="CZ89" s="917"/>
      <c r="DA89" s="381"/>
      <c r="DB89" s="381"/>
      <c r="DC89" s="381"/>
      <c r="DD89" s="381"/>
      <c r="DE89" s="381"/>
      <c r="DF89" s="381"/>
      <c r="DG89" s="381"/>
      <c r="DH89" s="381"/>
      <c r="DI89" s="381"/>
      <c r="DJ89" s="381"/>
      <c r="DK89" s="381"/>
      <c r="DL89" s="381"/>
      <c r="DM89" s="356"/>
      <c r="DN89" s="356"/>
      <c r="DO89" s="330"/>
    </row>
    <row r="90" spans="2:119" x14ac:dyDescent="0.3">
      <c r="B90" s="416"/>
      <c r="C90" s="418"/>
      <c r="D90" s="419" t="s">
        <v>354</v>
      </c>
      <c r="E90" s="420"/>
      <c r="F90" s="420"/>
      <c r="G90" s="420"/>
      <c r="H90" s="420"/>
      <c r="I90" s="421"/>
      <c r="J90" s="421"/>
      <c r="K90" s="421"/>
      <c r="L90" s="421"/>
      <c r="M90" s="421"/>
      <c r="N90" s="421"/>
      <c r="O90" s="421"/>
      <c r="P90" s="421"/>
      <c r="Q90" s="421"/>
      <c r="R90" s="421"/>
      <c r="S90" s="421"/>
      <c r="T90" s="916"/>
      <c r="U90" s="421"/>
      <c r="V90" s="421"/>
      <c r="W90" s="421"/>
      <c r="X90" s="421"/>
      <c r="Y90" s="421"/>
      <c r="Z90" s="421"/>
      <c r="AA90" s="421"/>
      <c r="AB90" s="421"/>
      <c r="AC90" s="421"/>
      <c r="AD90" s="421"/>
      <c r="AE90" s="421"/>
      <c r="AF90" s="916"/>
      <c r="AG90" s="421"/>
      <c r="AH90" s="421"/>
      <c r="AI90" s="421"/>
      <c r="AJ90" s="421"/>
      <c r="AK90" s="421"/>
      <c r="AL90" s="421"/>
      <c r="AM90" s="421"/>
      <c r="AN90" s="421"/>
      <c r="AO90" s="421"/>
      <c r="AP90" s="421"/>
      <c r="AQ90" s="421"/>
      <c r="AR90" s="916"/>
      <c r="AS90" s="421"/>
      <c r="AT90" s="421"/>
      <c r="AU90" s="421"/>
      <c r="AV90" s="421"/>
      <c r="AW90" s="421"/>
      <c r="AX90" s="421"/>
      <c r="AY90" s="421"/>
      <c r="AZ90" s="421"/>
      <c r="BA90" s="421"/>
      <c r="BB90" s="421"/>
      <c r="BC90" s="421"/>
      <c r="BD90" s="916"/>
      <c r="BE90" s="421"/>
      <c r="BF90" s="421"/>
      <c r="BG90" s="421"/>
      <c r="BH90" s="421"/>
      <c r="BI90" s="421"/>
      <c r="BJ90" s="421"/>
      <c r="BK90" s="421"/>
      <c r="BL90" s="421"/>
      <c r="BM90" s="421"/>
      <c r="BN90" s="421"/>
      <c r="BO90" s="421"/>
      <c r="BP90" s="916"/>
      <c r="BQ90" s="421"/>
      <c r="BR90" s="421"/>
      <c r="BS90" s="421"/>
      <c r="BT90" s="421"/>
      <c r="BU90" s="421"/>
      <c r="BV90" s="421"/>
      <c r="BW90" s="421"/>
      <c r="BX90" s="421"/>
      <c r="BY90" s="421"/>
      <c r="BZ90" s="421"/>
      <c r="CA90" s="421"/>
      <c r="CB90" s="916"/>
      <c r="CC90" s="421"/>
      <c r="CD90" s="421"/>
      <c r="CE90" s="421"/>
      <c r="CF90" s="421"/>
      <c r="CG90" s="421"/>
      <c r="CH90" s="421"/>
      <c r="CI90" s="421"/>
      <c r="CJ90" s="421"/>
      <c r="CK90" s="421"/>
      <c r="CL90" s="421"/>
      <c r="CM90" s="421"/>
      <c r="CN90" s="916"/>
      <c r="CO90" s="421"/>
      <c r="CP90" s="421"/>
      <c r="CQ90" s="421"/>
      <c r="CR90" s="421"/>
      <c r="CS90" s="421"/>
      <c r="CT90" s="421"/>
      <c r="CU90" s="421"/>
      <c r="CV90" s="421"/>
      <c r="CW90" s="421"/>
      <c r="CX90" s="421"/>
      <c r="CY90" s="421"/>
      <c r="CZ90" s="916"/>
      <c r="DA90" s="421"/>
      <c r="DB90" s="421"/>
      <c r="DC90" s="421"/>
      <c r="DD90" s="421"/>
      <c r="DE90" s="421"/>
      <c r="DF90" s="421"/>
      <c r="DG90" s="421"/>
      <c r="DH90" s="421"/>
      <c r="DI90" s="421"/>
      <c r="DJ90" s="421"/>
      <c r="DK90" s="421"/>
      <c r="DL90" s="421"/>
      <c r="DM90" s="420"/>
      <c r="DN90" s="422"/>
      <c r="DO90" s="330"/>
    </row>
    <row r="91" spans="2:119" x14ac:dyDescent="0.3">
      <c r="B91" s="416"/>
      <c r="C91" s="423"/>
      <c r="D91" s="385"/>
      <c r="E91" s="356" t="s">
        <v>256</v>
      </c>
      <c r="F91" s="356"/>
      <c r="G91" s="356"/>
      <c r="H91" s="356"/>
      <c r="I91" s="381">
        <f>'Table 3.0'!G18</f>
        <v>26750.060000000056</v>
      </c>
      <c r="J91" s="381">
        <f>I94</f>
        <v>26750.060000000056</v>
      </c>
      <c r="K91" s="381">
        <f t="shared" ref="K91:AF91" si="573">J94</f>
        <v>26750.060000000056</v>
      </c>
      <c r="L91" s="381">
        <f t="shared" si="573"/>
        <v>26750.060000000056</v>
      </c>
      <c r="M91" s="381">
        <f t="shared" si="573"/>
        <v>26750.060000000056</v>
      </c>
      <c r="N91" s="381">
        <f t="shared" si="573"/>
        <v>26750.060000000056</v>
      </c>
      <c r="O91" s="381">
        <f t="shared" si="573"/>
        <v>26750.060000000056</v>
      </c>
      <c r="P91" s="381">
        <f t="shared" si="573"/>
        <v>26750.060000000056</v>
      </c>
      <c r="Q91" s="381">
        <f t="shared" si="573"/>
        <v>26750.060000000056</v>
      </c>
      <c r="R91" s="381">
        <f t="shared" si="573"/>
        <v>26750.060000000056</v>
      </c>
      <c r="S91" s="381">
        <f t="shared" si="573"/>
        <v>26750.060000000056</v>
      </c>
      <c r="T91" s="917">
        <f t="shared" si="573"/>
        <v>26750.060000000056</v>
      </c>
      <c r="U91" s="381">
        <f t="shared" si="573"/>
        <v>26750.060000000056</v>
      </c>
      <c r="V91" s="381">
        <f t="shared" si="573"/>
        <v>26750.060000000056</v>
      </c>
      <c r="W91" s="381">
        <f t="shared" si="573"/>
        <v>26750.060000000056</v>
      </c>
      <c r="X91" s="381">
        <f t="shared" si="573"/>
        <v>26750.060000000056</v>
      </c>
      <c r="Y91" s="381">
        <f t="shared" si="573"/>
        <v>26750.060000000056</v>
      </c>
      <c r="Z91" s="381">
        <f t="shared" si="573"/>
        <v>26750.060000000056</v>
      </c>
      <c r="AA91" s="381">
        <f t="shared" si="573"/>
        <v>26750.060000000056</v>
      </c>
      <c r="AB91" s="381">
        <f t="shared" si="573"/>
        <v>26750.060000000056</v>
      </c>
      <c r="AC91" s="381">
        <f t="shared" si="573"/>
        <v>26750.060000000056</v>
      </c>
      <c r="AD91" s="381">
        <f t="shared" si="573"/>
        <v>26750.060000000056</v>
      </c>
      <c r="AE91" s="381">
        <f t="shared" si="573"/>
        <v>26750.060000000056</v>
      </c>
      <c r="AF91" s="917">
        <f t="shared" si="573"/>
        <v>26750.060000000056</v>
      </c>
      <c r="AG91" s="381">
        <f t="shared" ref="AG91" si="574">AF94</f>
        <v>26750.060000000056</v>
      </c>
      <c r="AH91" s="381">
        <f t="shared" ref="AH91" si="575">AG94</f>
        <v>26750.060000000056</v>
      </c>
      <c r="AI91" s="381">
        <f t="shared" ref="AI91" si="576">AH94</f>
        <v>26750.060000000056</v>
      </c>
      <c r="AJ91" s="381">
        <f t="shared" ref="AJ91" si="577">AI94</f>
        <v>26750.060000000056</v>
      </c>
      <c r="AK91" s="381">
        <f t="shared" ref="AK91" si="578">AJ94</f>
        <v>26750.060000000056</v>
      </c>
      <c r="AL91" s="381">
        <f t="shared" ref="AL91" si="579">AK94</f>
        <v>26750.060000000056</v>
      </c>
      <c r="AM91" s="381">
        <f t="shared" ref="AM91" si="580">AL94</f>
        <v>26750.060000000056</v>
      </c>
      <c r="AN91" s="381">
        <f t="shared" ref="AN91" si="581">AM94</f>
        <v>26750.060000000056</v>
      </c>
      <c r="AO91" s="381">
        <f t="shared" ref="AO91" si="582">AN94</f>
        <v>26750.060000000056</v>
      </c>
      <c r="AP91" s="381">
        <f t="shared" ref="AP91" si="583">AO94</f>
        <v>26750.060000000056</v>
      </c>
      <c r="AQ91" s="381">
        <f t="shared" ref="AQ91" si="584">AP94</f>
        <v>26750.060000000056</v>
      </c>
      <c r="AR91" s="917">
        <f t="shared" ref="AR91" si="585">AQ94</f>
        <v>26750.060000000056</v>
      </c>
      <c r="AS91" s="381">
        <f t="shared" ref="AS91" si="586">AR94</f>
        <v>26750.060000000056</v>
      </c>
      <c r="AT91" s="381">
        <f t="shared" ref="AT91" si="587">AS94</f>
        <v>26750.060000000056</v>
      </c>
      <c r="AU91" s="381">
        <f t="shared" ref="AU91" si="588">AT94</f>
        <v>26750.060000000056</v>
      </c>
      <c r="AV91" s="381">
        <f t="shared" ref="AV91" si="589">AU94</f>
        <v>26750.060000000056</v>
      </c>
      <c r="AW91" s="381">
        <f t="shared" ref="AW91" si="590">AV94</f>
        <v>26750.060000000056</v>
      </c>
      <c r="AX91" s="381">
        <f t="shared" ref="AX91" si="591">AW94</f>
        <v>26750.060000000056</v>
      </c>
      <c r="AY91" s="381">
        <f t="shared" ref="AY91" si="592">AX94</f>
        <v>26750.060000000056</v>
      </c>
      <c r="AZ91" s="381">
        <f t="shared" ref="AZ91" si="593">AY94</f>
        <v>26750.060000000056</v>
      </c>
      <c r="BA91" s="381">
        <f t="shared" ref="BA91" si="594">AZ94</f>
        <v>26750.060000000056</v>
      </c>
      <c r="BB91" s="381">
        <f t="shared" ref="BB91" si="595">BA94</f>
        <v>26750.060000000056</v>
      </c>
      <c r="BC91" s="381">
        <f t="shared" ref="BC91" si="596">BB94</f>
        <v>26750.060000000056</v>
      </c>
      <c r="BD91" s="917">
        <f t="shared" ref="BD91" si="597">BC94</f>
        <v>26750.060000000056</v>
      </c>
      <c r="BE91" s="381">
        <f t="shared" ref="BE91" si="598">BD94</f>
        <v>26750.060000000056</v>
      </c>
      <c r="BF91" s="381">
        <f t="shared" ref="BF91" si="599">BE94</f>
        <v>26750.060000000056</v>
      </c>
      <c r="BG91" s="381">
        <f t="shared" ref="BG91" si="600">BF94</f>
        <v>26750.060000000056</v>
      </c>
      <c r="BH91" s="381">
        <f t="shared" ref="BH91" si="601">BG94</f>
        <v>26750.060000000056</v>
      </c>
      <c r="BI91" s="381">
        <f t="shared" ref="BI91" si="602">BH94</f>
        <v>26750.060000000056</v>
      </c>
      <c r="BJ91" s="381">
        <f t="shared" ref="BJ91" si="603">BI94</f>
        <v>26750.060000000056</v>
      </c>
      <c r="BK91" s="381">
        <f t="shared" ref="BK91" si="604">BJ94</f>
        <v>26750.060000000056</v>
      </c>
      <c r="BL91" s="381">
        <f t="shared" ref="BL91" si="605">BK94</f>
        <v>26750.060000000056</v>
      </c>
      <c r="BM91" s="381">
        <f t="shared" ref="BM91" si="606">BL94</f>
        <v>26750.060000000056</v>
      </c>
      <c r="BN91" s="381">
        <f t="shared" ref="BN91" si="607">BM94</f>
        <v>26750.060000000056</v>
      </c>
      <c r="BO91" s="381">
        <f t="shared" ref="BO91" si="608">BN94</f>
        <v>26750.060000000056</v>
      </c>
      <c r="BP91" s="917">
        <f t="shared" ref="BP91" si="609">BO94</f>
        <v>26750.060000000056</v>
      </c>
      <c r="BQ91" s="381">
        <f t="shared" ref="BQ91" si="610">BP94</f>
        <v>26750.060000000056</v>
      </c>
      <c r="BR91" s="381">
        <f t="shared" ref="BR91" si="611">BQ94</f>
        <v>26750.060000000056</v>
      </c>
      <c r="BS91" s="381">
        <f t="shared" ref="BS91" si="612">BR94</f>
        <v>26750.060000000056</v>
      </c>
      <c r="BT91" s="381">
        <f t="shared" ref="BT91" si="613">BS94</f>
        <v>26750.060000000056</v>
      </c>
      <c r="BU91" s="381">
        <f t="shared" ref="BU91" si="614">BT94</f>
        <v>26750.060000000056</v>
      </c>
      <c r="BV91" s="381">
        <f t="shared" ref="BV91" si="615">BU94</f>
        <v>26750.060000000056</v>
      </c>
      <c r="BW91" s="381">
        <f t="shared" ref="BW91" si="616">BV94</f>
        <v>26750.060000000056</v>
      </c>
      <c r="BX91" s="381">
        <f t="shared" ref="BX91" si="617">BW94</f>
        <v>26750.060000000056</v>
      </c>
      <c r="BY91" s="381">
        <f t="shared" ref="BY91" si="618">BX94</f>
        <v>26750.060000000056</v>
      </c>
      <c r="BZ91" s="381">
        <f t="shared" ref="BZ91" si="619">BY94</f>
        <v>26750.060000000056</v>
      </c>
      <c r="CA91" s="381">
        <f t="shared" ref="CA91" si="620">BZ94</f>
        <v>26750.060000000056</v>
      </c>
      <c r="CB91" s="917">
        <f t="shared" ref="CB91" si="621">CA94</f>
        <v>26750.060000000056</v>
      </c>
      <c r="CC91" s="381">
        <f t="shared" ref="CC91" si="622">CB94</f>
        <v>26750.060000000056</v>
      </c>
      <c r="CD91" s="381">
        <f t="shared" ref="CD91" si="623">CC94</f>
        <v>26750.060000000056</v>
      </c>
      <c r="CE91" s="381">
        <f t="shared" ref="CE91" si="624">CD94</f>
        <v>26750.060000000056</v>
      </c>
      <c r="CF91" s="381">
        <f t="shared" ref="CF91" si="625">CE94</f>
        <v>26750.060000000056</v>
      </c>
      <c r="CG91" s="381">
        <f t="shared" ref="CG91" si="626">CF94</f>
        <v>26750.060000000056</v>
      </c>
      <c r="CH91" s="381">
        <f t="shared" ref="CH91" si="627">CG94</f>
        <v>26750.060000000056</v>
      </c>
      <c r="CI91" s="381">
        <f t="shared" ref="CI91" si="628">CH94</f>
        <v>26750.060000000056</v>
      </c>
      <c r="CJ91" s="381">
        <f t="shared" ref="CJ91" si="629">CI94</f>
        <v>26750.060000000056</v>
      </c>
      <c r="CK91" s="381">
        <f t="shared" ref="CK91" si="630">CJ94</f>
        <v>26750.060000000056</v>
      </c>
      <c r="CL91" s="381">
        <f t="shared" ref="CL91" si="631">CK94</f>
        <v>26750.060000000056</v>
      </c>
      <c r="CM91" s="381">
        <f t="shared" ref="CM91" si="632">CL94</f>
        <v>26750.060000000056</v>
      </c>
      <c r="CN91" s="917">
        <f t="shared" ref="CN91" si="633">CM94</f>
        <v>26750.060000000056</v>
      </c>
      <c r="CO91" s="381">
        <f t="shared" ref="CO91" si="634">CN94</f>
        <v>26750.060000000056</v>
      </c>
      <c r="CP91" s="381">
        <f t="shared" ref="CP91" si="635">CO94</f>
        <v>26750.060000000056</v>
      </c>
      <c r="CQ91" s="381">
        <f t="shared" ref="CQ91" si="636">CP94</f>
        <v>26750.060000000056</v>
      </c>
      <c r="CR91" s="381">
        <f t="shared" ref="CR91" si="637">CQ94</f>
        <v>26750.060000000056</v>
      </c>
      <c r="CS91" s="381">
        <f t="shared" ref="CS91" si="638">CR94</f>
        <v>26750.060000000056</v>
      </c>
      <c r="CT91" s="381">
        <f t="shared" ref="CT91" si="639">CS94</f>
        <v>26750.060000000056</v>
      </c>
      <c r="CU91" s="381">
        <f t="shared" ref="CU91" si="640">CT94</f>
        <v>26750.060000000056</v>
      </c>
      <c r="CV91" s="381">
        <f t="shared" ref="CV91" si="641">CU94</f>
        <v>26750.060000000056</v>
      </c>
      <c r="CW91" s="381">
        <f t="shared" ref="CW91" si="642">CV94</f>
        <v>26750.060000000056</v>
      </c>
      <c r="CX91" s="381">
        <f t="shared" ref="CX91" si="643">CW94</f>
        <v>26750.060000000056</v>
      </c>
      <c r="CY91" s="381">
        <f t="shared" ref="CY91" si="644">CX94</f>
        <v>26750.060000000056</v>
      </c>
      <c r="CZ91" s="917">
        <f t="shared" ref="CZ91" si="645">CY94</f>
        <v>26750.060000000056</v>
      </c>
      <c r="DA91" s="381">
        <f t="shared" ref="DA91" si="646">CZ94</f>
        <v>26750.060000000056</v>
      </c>
      <c r="DB91" s="381">
        <f t="shared" ref="DB91" si="647">DA94</f>
        <v>26750.060000000056</v>
      </c>
      <c r="DC91" s="381">
        <f t="shared" ref="DC91" si="648">DB94</f>
        <v>26750.060000000056</v>
      </c>
      <c r="DD91" s="381">
        <f t="shared" ref="DD91" si="649">DC94</f>
        <v>26750.060000000056</v>
      </c>
      <c r="DE91" s="381">
        <f t="shared" ref="DE91" si="650">DD94</f>
        <v>26750.060000000056</v>
      </c>
      <c r="DF91" s="381">
        <f t="shared" ref="DF91" si="651">DE94</f>
        <v>26750.060000000056</v>
      </c>
      <c r="DG91" s="381">
        <f t="shared" ref="DG91" si="652">DF94</f>
        <v>26750.060000000056</v>
      </c>
      <c r="DH91" s="381">
        <f t="shared" ref="DH91" si="653">DG94</f>
        <v>26750.060000000056</v>
      </c>
      <c r="DI91" s="381">
        <f t="shared" ref="DI91" si="654">DH94</f>
        <v>26750.060000000056</v>
      </c>
      <c r="DJ91" s="381">
        <f t="shared" ref="DJ91" si="655">DI94</f>
        <v>26750.060000000056</v>
      </c>
      <c r="DK91" s="381">
        <f t="shared" ref="DK91" si="656">DJ94</f>
        <v>26750.060000000056</v>
      </c>
      <c r="DL91" s="381">
        <f t="shared" ref="DL91" si="657">DK94</f>
        <v>26750.060000000056</v>
      </c>
      <c r="DM91" s="356"/>
      <c r="DN91" s="424"/>
      <c r="DO91" s="330"/>
    </row>
    <row r="92" spans="2:119" x14ac:dyDescent="0.3">
      <c r="B92" s="416"/>
      <c r="C92" s="423"/>
      <c r="D92" s="385"/>
      <c r="E92" s="356"/>
      <c r="F92" s="356" t="s">
        <v>361</v>
      </c>
      <c r="G92" s="356"/>
      <c r="H92" s="356"/>
      <c r="I92" s="381">
        <f>I42</f>
        <v>0</v>
      </c>
      <c r="J92" s="381"/>
      <c r="K92" s="381"/>
      <c r="L92" s="381"/>
      <c r="M92" s="381"/>
      <c r="N92" s="381"/>
      <c r="O92" s="381"/>
      <c r="P92" s="381"/>
      <c r="Q92" s="381"/>
      <c r="R92" s="381"/>
      <c r="S92" s="381"/>
      <c r="T92" s="917"/>
      <c r="U92" s="381"/>
      <c r="V92" s="381"/>
      <c r="W92" s="381"/>
      <c r="X92" s="381"/>
      <c r="Y92" s="381"/>
      <c r="Z92" s="381"/>
      <c r="AA92" s="381"/>
      <c r="AB92" s="381"/>
      <c r="AC92" s="381"/>
      <c r="AD92" s="381"/>
      <c r="AE92" s="381"/>
      <c r="AF92" s="917"/>
      <c r="AG92" s="381"/>
      <c r="AH92" s="381"/>
      <c r="AI92" s="381"/>
      <c r="AJ92" s="381"/>
      <c r="AK92" s="381"/>
      <c r="AL92" s="381"/>
      <c r="AM92" s="381"/>
      <c r="AN92" s="381"/>
      <c r="AO92" s="381"/>
      <c r="AP92" s="381"/>
      <c r="AQ92" s="381"/>
      <c r="AR92" s="917"/>
      <c r="AS92" s="381"/>
      <c r="AT92" s="381"/>
      <c r="AU92" s="381"/>
      <c r="AV92" s="381"/>
      <c r="AW92" s="381"/>
      <c r="AX92" s="381"/>
      <c r="AY92" s="381"/>
      <c r="AZ92" s="381"/>
      <c r="BA92" s="381"/>
      <c r="BB92" s="381"/>
      <c r="BC92" s="381"/>
      <c r="BD92" s="917"/>
      <c r="BE92" s="381"/>
      <c r="BF92" s="381"/>
      <c r="BG92" s="381"/>
      <c r="BH92" s="381"/>
      <c r="BI92" s="381"/>
      <c r="BJ92" s="381"/>
      <c r="BK92" s="381"/>
      <c r="BL92" s="381"/>
      <c r="BM92" s="381"/>
      <c r="BN92" s="381"/>
      <c r="BO92" s="381"/>
      <c r="BP92" s="917"/>
      <c r="BQ92" s="381"/>
      <c r="BR92" s="381"/>
      <c r="BS92" s="381"/>
      <c r="BT92" s="381"/>
      <c r="BU92" s="381"/>
      <c r="BV92" s="381"/>
      <c r="BW92" s="381"/>
      <c r="BX92" s="381"/>
      <c r="BY92" s="381"/>
      <c r="BZ92" s="381"/>
      <c r="CA92" s="381"/>
      <c r="CB92" s="917"/>
      <c r="CC92" s="381"/>
      <c r="CD92" s="381"/>
      <c r="CE92" s="381"/>
      <c r="CF92" s="381"/>
      <c r="CG92" s="381"/>
      <c r="CH92" s="381"/>
      <c r="CI92" s="381"/>
      <c r="CJ92" s="381"/>
      <c r="CK92" s="381"/>
      <c r="CL92" s="381"/>
      <c r="CM92" s="381"/>
      <c r="CN92" s="917"/>
      <c r="CO92" s="381"/>
      <c r="CP92" s="381"/>
      <c r="CQ92" s="381"/>
      <c r="CR92" s="381"/>
      <c r="CS92" s="381"/>
      <c r="CT92" s="381"/>
      <c r="CU92" s="381"/>
      <c r="CV92" s="381"/>
      <c r="CW92" s="381"/>
      <c r="CX92" s="381"/>
      <c r="CY92" s="381"/>
      <c r="CZ92" s="917"/>
      <c r="DA92" s="381"/>
      <c r="DB92" s="381"/>
      <c r="DC92" s="381"/>
      <c r="DD92" s="381"/>
      <c r="DE92" s="381"/>
      <c r="DF92" s="381"/>
      <c r="DG92" s="381"/>
      <c r="DH92" s="381"/>
      <c r="DI92" s="381"/>
      <c r="DJ92" s="381"/>
      <c r="DK92" s="381"/>
      <c r="DL92" s="381"/>
      <c r="DM92" s="356"/>
      <c r="DN92" s="426">
        <f>SUM(I92:CZ92)</f>
        <v>0</v>
      </c>
      <c r="DO92" s="330"/>
    </row>
    <row r="93" spans="2:119" x14ac:dyDescent="0.3">
      <c r="B93" s="416"/>
      <c r="C93" s="423"/>
      <c r="D93" s="385"/>
      <c r="E93" s="359"/>
      <c r="F93" s="359" t="s">
        <v>355</v>
      </c>
      <c r="G93" s="359"/>
      <c r="H93" s="359"/>
      <c r="I93" s="382">
        <f>Monthly!K142</f>
        <v>0</v>
      </c>
      <c r="J93" s="382">
        <f>Monthly!L142</f>
        <v>0</v>
      </c>
      <c r="K93" s="382">
        <f>Monthly!M142</f>
        <v>0</v>
      </c>
      <c r="L93" s="382">
        <f>Monthly!N142</f>
        <v>0</v>
      </c>
      <c r="M93" s="382">
        <f>Monthly!O142</f>
        <v>0</v>
      </c>
      <c r="N93" s="382">
        <f>Monthly!P142</f>
        <v>0</v>
      </c>
      <c r="O93" s="382">
        <f>Monthly!Q142</f>
        <v>0</v>
      </c>
      <c r="P93" s="382">
        <f>Monthly!R142</f>
        <v>0</v>
      </c>
      <c r="Q93" s="382">
        <f>Monthly!S142</f>
        <v>0</v>
      </c>
      <c r="R93" s="382">
        <f>Monthly!T142</f>
        <v>0</v>
      </c>
      <c r="S93" s="382">
        <f>Monthly!U142</f>
        <v>0</v>
      </c>
      <c r="T93" s="382">
        <f>Monthly!V142</f>
        <v>0</v>
      </c>
      <c r="U93" s="382">
        <f>Monthly!W142</f>
        <v>0</v>
      </c>
      <c r="V93" s="382">
        <f>Monthly!X142</f>
        <v>0</v>
      </c>
      <c r="W93" s="382">
        <f>Monthly!Y142</f>
        <v>0</v>
      </c>
      <c r="X93" s="382">
        <f>Monthly!Z142</f>
        <v>0</v>
      </c>
      <c r="Y93" s="382">
        <f>Monthly!AA142</f>
        <v>0</v>
      </c>
      <c r="Z93" s="382">
        <f>Monthly!AB142</f>
        <v>0</v>
      </c>
      <c r="AA93" s="382">
        <f>Monthly!AC142</f>
        <v>0</v>
      </c>
      <c r="AB93" s="382">
        <f>Monthly!AD142</f>
        <v>0</v>
      </c>
      <c r="AC93" s="382">
        <f>Monthly!AE142</f>
        <v>0</v>
      </c>
      <c r="AD93" s="382">
        <f>Monthly!AF142</f>
        <v>0</v>
      </c>
      <c r="AE93" s="382">
        <f>Monthly!AG142</f>
        <v>0</v>
      </c>
      <c r="AF93" s="382">
        <f>Monthly!AH142</f>
        <v>0</v>
      </c>
      <c r="AG93" s="382">
        <f>Monthly!AI142</f>
        <v>0</v>
      </c>
      <c r="AH93" s="382">
        <f>Monthly!AJ142</f>
        <v>0</v>
      </c>
      <c r="AI93" s="382">
        <f>Monthly!AK142</f>
        <v>0</v>
      </c>
      <c r="AJ93" s="382">
        <f>Monthly!AL142</f>
        <v>0</v>
      </c>
      <c r="AK93" s="382">
        <f>Monthly!AM142</f>
        <v>0</v>
      </c>
      <c r="AL93" s="382">
        <f>Monthly!AN142</f>
        <v>0</v>
      </c>
      <c r="AM93" s="382">
        <f>Monthly!AO142</f>
        <v>0</v>
      </c>
      <c r="AN93" s="382">
        <f>Monthly!AP142</f>
        <v>0</v>
      </c>
      <c r="AO93" s="382">
        <f>Monthly!AQ142</f>
        <v>0</v>
      </c>
      <c r="AP93" s="382">
        <f>Monthly!AR142</f>
        <v>0</v>
      </c>
      <c r="AQ93" s="382">
        <f>Monthly!AS142</f>
        <v>0</v>
      </c>
      <c r="AR93" s="382">
        <f>Monthly!AT142</f>
        <v>0</v>
      </c>
      <c r="AS93" s="382">
        <f>Monthly!AU142</f>
        <v>0</v>
      </c>
      <c r="AT93" s="382">
        <f>Monthly!AV142</f>
        <v>0</v>
      </c>
      <c r="AU93" s="382">
        <f>Monthly!AW142</f>
        <v>0</v>
      </c>
      <c r="AV93" s="382">
        <f>Monthly!AX142</f>
        <v>0</v>
      </c>
      <c r="AW93" s="382">
        <f>Monthly!AY142</f>
        <v>0</v>
      </c>
      <c r="AX93" s="382">
        <f>Monthly!AZ142</f>
        <v>0</v>
      </c>
      <c r="AY93" s="382">
        <f>Monthly!BA142</f>
        <v>0</v>
      </c>
      <c r="AZ93" s="382">
        <f>Monthly!BB142</f>
        <v>0</v>
      </c>
      <c r="BA93" s="382">
        <f>Monthly!BC142</f>
        <v>0</v>
      </c>
      <c r="BB93" s="382">
        <f>Monthly!BD142</f>
        <v>0</v>
      </c>
      <c r="BC93" s="382">
        <f>Monthly!BE142</f>
        <v>0</v>
      </c>
      <c r="BD93" s="382">
        <f>Monthly!BF142</f>
        <v>0</v>
      </c>
      <c r="BE93" s="382">
        <f>Monthly!BG142</f>
        <v>0</v>
      </c>
      <c r="BF93" s="382">
        <f>Monthly!BH142</f>
        <v>0</v>
      </c>
      <c r="BG93" s="382">
        <f>Monthly!BI142</f>
        <v>0</v>
      </c>
      <c r="BH93" s="382">
        <f>Monthly!BJ142</f>
        <v>0</v>
      </c>
      <c r="BI93" s="382">
        <f>Monthly!BK142</f>
        <v>0</v>
      </c>
      <c r="BJ93" s="382">
        <f>Monthly!BL142</f>
        <v>0</v>
      </c>
      <c r="BK93" s="382">
        <f>Monthly!BM142</f>
        <v>0</v>
      </c>
      <c r="BL93" s="382">
        <f>Monthly!BN142</f>
        <v>0</v>
      </c>
      <c r="BM93" s="382">
        <f>Monthly!BO142</f>
        <v>0</v>
      </c>
      <c r="BN93" s="382">
        <f>Monthly!BP142</f>
        <v>0</v>
      </c>
      <c r="BO93" s="382">
        <f>Monthly!BQ142</f>
        <v>0</v>
      </c>
      <c r="BP93" s="382">
        <f>Monthly!BR142</f>
        <v>0</v>
      </c>
      <c r="BQ93" s="382">
        <f>Monthly!BS142</f>
        <v>0</v>
      </c>
      <c r="BR93" s="382">
        <f>Monthly!BT142</f>
        <v>0</v>
      </c>
      <c r="BS93" s="382">
        <f>Monthly!BU142</f>
        <v>0</v>
      </c>
      <c r="BT93" s="382">
        <f>Monthly!BV142</f>
        <v>0</v>
      </c>
      <c r="BU93" s="382">
        <f>Monthly!BW142</f>
        <v>0</v>
      </c>
      <c r="BV93" s="382">
        <f>Monthly!BX142</f>
        <v>0</v>
      </c>
      <c r="BW93" s="382">
        <f>Monthly!BY142</f>
        <v>0</v>
      </c>
      <c r="BX93" s="382">
        <f>Monthly!BZ142</f>
        <v>0</v>
      </c>
      <c r="BY93" s="382">
        <f>Monthly!CA142</f>
        <v>0</v>
      </c>
      <c r="BZ93" s="382">
        <f>Monthly!CB142</f>
        <v>0</v>
      </c>
      <c r="CA93" s="382">
        <f>Monthly!CC142</f>
        <v>0</v>
      </c>
      <c r="CB93" s="382">
        <f>Monthly!CD142</f>
        <v>0</v>
      </c>
      <c r="CC93" s="382">
        <f>Monthly!CE142</f>
        <v>0</v>
      </c>
      <c r="CD93" s="382">
        <f>Monthly!CF142</f>
        <v>0</v>
      </c>
      <c r="CE93" s="382">
        <f>Monthly!CG142</f>
        <v>0</v>
      </c>
      <c r="CF93" s="382">
        <f>Monthly!CH142</f>
        <v>0</v>
      </c>
      <c r="CG93" s="382">
        <f>Monthly!CI142</f>
        <v>0</v>
      </c>
      <c r="CH93" s="382">
        <f>Monthly!CJ142</f>
        <v>0</v>
      </c>
      <c r="CI93" s="382">
        <f>Monthly!CK142</f>
        <v>0</v>
      </c>
      <c r="CJ93" s="382">
        <f>Monthly!CL142</f>
        <v>0</v>
      </c>
      <c r="CK93" s="382">
        <f>Monthly!CM142</f>
        <v>0</v>
      </c>
      <c r="CL93" s="382">
        <f>Monthly!CN142</f>
        <v>0</v>
      </c>
      <c r="CM93" s="382">
        <f>Monthly!CO142</f>
        <v>0</v>
      </c>
      <c r="CN93" s="382">
        <f>Monthly!CP142</f>
        <v>0</v>
      </c>
      <c r="CO93" s="382">
        <f>Monthly!CQ142</f>
        <v>0</v>
      </c>
      <c r="CP93" s="382">
        <f>Monthly!CR142</f>
        <v>0</v>
      </c>
      <c r="CQ93" s="382">
        <f>Monthly!CS142</f>
        <v>0</v>
      </c>
      <c r="CR93" s="382">
        <f>Monthly!CT142</f>
        <v>0</v>
      </c>
      <c r="CS93" s="382">
        <f>Monthly!CU142</f>
        <v>0</v>
      </c>
      <c r="CT93" s="382">
        <f>Monthly!CV142</f>
        <v>0</v>
      </c>
      <c r="CU93" s="382">
        <f>Monthly!CW142</f>
        <v>0</v>
      </c>
      <c r="CV93" s="382">
        <f>Monthly!CX142</f>
        <v>0</v>
      </c>
      <c r="CW93" s="382">
        <f>Monthly!CY142</f>
        <v>0</v>
      </c>
      <c r="CX93" s="382">
        <f>Monthly!CZ142</f>
        <v>0</v>
      </c>
      <c r="CY93" s="382">
        <f>Monthly!DA142</f>
        <v>0</v>
      </c>
      <c r="CZ93" s="382">
        <f>Monthly!DB142</f>
        <v>0</v>
      </c>
      <c r="DA93" s="382">
        <f>Monthly!DC142</f>
        <v>0</v>
      </c>
      <c r="DB93" s="382">
        <f>Monthly!DD142</f>
        <v>0</v>
      </c>
      <c r="DC93" s="382">
        <f>Monthly!DE142</f>
        <v>0</v>
      </c>
      <c r="DD93" s="382">
        <f>Monthly!DF142</f>
        <v>0</v>
      </c>
      <c r="DE93" s="382">
        <f>Monthly!DG142</f>
        <v>0</v>
      </c>
      <c r="DF93" s="382">
        <f>Monthly!DH142</f>
        <v>0</v>
      </c>
      <c r="DG93" s="382">
        <f>Monthly!DI142</f>
        <v>0</v>
      </c>
      <c r="DH93" s="382">
        <f>Monthly!DJ142</f>
        <v>0</v>
      </c>
      <c r="DI93" s="382">
        <f>Monthly!DK142</f>
        <v>0</v>
      </c>
      <c r="DJ93" s="382">
        <f>Monthly!DL142</f>
        <v>0</v>
      </c>
      <c r="DK93" s="382">
        <f>Monthly!DM142</f>
        <v>0</v>
      </c>
      <c r="DL93" s="382">
        <f>Monthly!DN142</f>
        <v>0</v>
      </c>
      <c r="DM93" s="359"/>
      <c r="DN93" s="425">
        <f>SUM(I93:DL93)</f>
        <v>0</v>
      </c>
      <c r="DO93" s="330"/>
    </row>
    <row r="94" spans="2:119" x14ac:dyDescent="0.3">
      <c r="B94" s="416"/>
      <c r="C94" s="423"/>
      <c r="D94" s="385"/>
      <c r="E94" s="356" t="s">
        <v>257</v>
      </c>
      <c r="F94" s="356"/>
      <c r="G94" s="356"/>
      <c r="H94" s="356"/>
      <c r="I94" s="381">
        <f>I91+I92-I93</f>
        <v>26750.060000000056</v>
      </c>
      <c r="J94" s="381">
        <f t="shared" ref="J94:AF94" si="658">J91+J92-J93</f>
        <v>26750.060000000056</v>
      </c>
      <c r="K94" s="381">
        <f t="shared" si="658"/>
        <v>26750.060000000056</v>
      </c>
      <c r="L94" s="381">
        <f t="shared" si="658"/>
        <v>26750.060000000056</v>
      </c>
      <c r="M94" s="381">
        <f t="shared" si="658"/>
        <v>26750.060000000056</v>
      </c>
      <c r="N94" s="381">
        <f t="shared" si="658"/>
        <v>26750.060000000056</v>
      </c>
      <c r="O94" s="381">
        <f t="shared" si="658"/>
        <v>26750.060000000056</v>
      </c>
      <c r="P94" s="381">
        <f t="shared" si="658"/>
        <v>26750.060000000056</v>
      </c>
      <c r="Q94" s="381">
        <f t="shared" si="658"/>
        <v>26750.060000000056</v>
      </c>
      <c r="R94" s="381">
        <f t="shared" si="658"/>
        <v>26750.060000000056</v>
      </c>
      <c r="S94" s="381">
        <f t="shared" si="658"/>
        <v>26750.060000000056</v>
      </c>
      <c r="T94" s="917">
        <f t="shared" si="658"/>
        <v>26750.060000000056</v>
      </c>
      <c r="U94" s="381">
        <f t="shared" si="658"/>
        <v>26750.060000000056</v>
      </c>
      <c r="V94" s="381">
        <f t="shared" si="658"/>
        <v>26750.060000000056</v>
      </c>
      <c r="W94" s="381">
        <f t="shared" si="658"/>
        <v>26750.060000000056</v>
      </c>
      <c r="X94" s="381">
        <f t="shared" si="658"/>
        <v>26750.060000000056</v>
      </c>
      <c r="Y94" s="381">
        <f t="shared" si="658"/>
        <v>26750.060000000056</v>
      </c>
      <c r="Z94" s="381">
        <f t="shared" si="658"/>
        <v>26750.060000000056</v>
      </c>
      <c r="AA94" s="381">
        <f t="shared" si="658"/>
        <v>26750.060000000056</v>
      </c>
      <c r="AB94" s="381">
        <f t="shared" si="658"/>
        <v>26750.060000000056</v>
      </c>
      <c r="AC94" s="381">
        <f t="shared" si="658"/>
        <v>26750.060000000056</v>
      </c>
      <c r="AD94" s="381">
        <f t="shared" si="658"/>
        <v>26750.060000000056</v>
      </c>
      <c r="AE94" s="381">
        <f t="shared" si="658"/>
        <v>26750.060000000056</v>
      </c>
      <c r="AF94" s="917">
        <f t="shared" si="658"/>
        <v>26750.060000000056</v>
      </c>
      <c r="AG94" s="381">
        <f t="shared" ref="AG94:AI94" si="659">AG91+AG92-AG93</f>
        <v>26750.060000000056</v>
      </c>
      <c r="AH94" s="381">
        <f t="shared" si="659"/>
        <v>26750.060000000056</v>
      </c>
      <c r="AI94" s="381">
        <f t="shared" si="659"/>
        <v>26750.060000000056</v>
      </c>
      <c r="AJ94" s="381">
        <f t="shared" ref="AJ94:BD94" si="660">AJ91+AJ92-AJ93</f>
        <v>26750.060000000056</v>
      </c>
      <c r="AK94" s="381">
        <f t="shared" si="660"/>
        <v>26750.060000000056</v>
      </c>
      <c r="AL94" s="381">
        <f t="shared" si="660"/>
        <v>26750.060000000056</v>
      </c>
      <c r="AM94" s="381">
        <f t="shared" si="660"/>
        <v>26750.060000000056</v>
      </c>
      <c r="AN94" s="381">
        <f t="shared" si="660"/>
        <v>26750.060000000056</v>
      </c>
      <c r="AO94" s="381">
        <f t="shared" si="660"/>
        <v>26750.060000000056</v>
      </c>
      <c r="AP94" s="381">
        <f t="shared" si="660"/>
        <v>26750.060000000056</v>
      </c>
      <c r="AQ94" s="381">
        <f t="shared" si="660"/>
        <v>26750.060000000056</v>
      </c>
      <c r="AR94" s="917">
        <f t="shared" si="660"/>
        <v>26750.060000000056</v>
      </c>
      <c r="AS94" s="381">
        <f t="shared" si="660"/>
        <v>26750.060000000056</v>
      </c>
      <c r="AT94" s="381">
        <f t="shared" si="660"/>
        <v>26750.060000000056</v>
      </c>
      <c r="AU94" s="381">
        <f t="shared" si="660"/>
        <v>26750.060000000056</v>
      </c>
      <c r="AV94" s="381">
        <f t="shared" si="660"/>
        <v>26750.060000000056</v>
      </c>
      <c r="AW94" s="381">
        <f t="shared" si="660"/>
        <v>26750.060000000056</v>
      </c>
      <c r="AX94" s="381">
        <f t="shared" si="660"/>
        <v>26750.060000000056</v>
      </c>
      <c r="AY94" s="381">
        <f t="shared" si="660"/>
        <v>26750.060000000056</v>
      </c>
      <c r="AZ94" s="381">
        <f t="shared" si="660"/>
        <v>26750.060000000056</v>
      </c>
      <c r="BA94" s="381">
        <f t="shared" si="660"/>
        <v>26750.060000000056</v>
      </c>
      <c r="BB94" s="381">
        <f t="shared" si="660"/>
        <v>26750.060000000056</v>
      </c>
      <c r="BC94" s="381">
        <f t="shared" si="660"/>
        <v>26750.060000000056</v>
      </c>
      <c r="BD94" s="917">
        <f t="shared" si="660"/>
        <v>26750.060000000056</v>
      </c>
      <c r="BE94" s="381">
        <f t="shared" ref="BE94:CB94" si="661">BE91+BE92-BE93</f>
        <v>26750.060000000056</v>
      </c>
      <c r="BF94" s="381">
        <f t="shared" si="661"/>
        <v>26750.060000000056</v>
      </c>
      <c r="BG94" s="381">
        <f t="shared" si="661"/>
        <v>26750.060000000056</v>
      </c>
      <c r="BH94" s="381">
        <f t="shared" si="661"/>
        <v>26750.060000000056</v>
      </c>
      <c r="BI94" s="381">
        <f t="shared" si="661"/>
        <v>26750.060000000056</v>
      </c>
      <c r="BJ94" s="381">
        <f t="shared" si="661"/>
        <v>26750.060000000056</v>
      </c>
      <c r="BK94" s="381">
        <f t="shared" si="661"/>
        <v>26750.060000000056</v>
      </c>
      <c r="BL94" s="381">
        <f t="shared" si="661"/>
        <v>26750.060000000056</v>
      </c>
      <c r="BM94" s="381">
        <f t="shared" si="661"/>
        <v>26750.060000000056</v>
      </c>
      <c r="BN94" s="381">
        <f t="shared" si="661"/>
        <v>26750.060000000056</v>
      </c>
      <c r="BO94" s="381">
        <f t="shared" si="661"/>
        <v>26750.060000000056</v>
      </c>
      <c r="BP94" s="917">
        <f t="shared" si="661"/>
        <v>26750.060000000056</v>
      </c>
      <c r="BQ94" s="381">
        <f t="shared" si="661"/>
        <v>26750.060000000056</v>
      </c>
      <c r="BR94" s="381">
        <f t="shared" si="661"/>
        <v>26750.060000000056</v>
      </c>
      <c r="BS94" s="381">
        <f t="shared" si="661"/>
        <v>26750.060000000056</v>
      </c>
      <c r="BT94" s="381">
        <f t="shared" si="661"/>
        <v>26750.060000000056</v>
      </c>
      <c r="BU94" s="381">
        <f t="shared" si="661"/>
        <v>26750.060000000056</v>
      </c>
      <c r="BV94" s="381">
        <f t="shared" si="661"/>
        <v>26750.060000000056</v>
      </c>
      <c r="BW94" s="381">
        <f t="shared" si="661"/>
        <v>26750.060000000056</v>
      </c>
      <c r="BX94" s="381">
        <f t="shared" si="661"/>
        <v>26750.060000000056</v>
      </c>
      <c r="BY94" s="381">
        <f t="shared" si="661"/>
        <v>26750.060000000056</v>
      </c>
      <c r="BZ94" s="381">
        <f t="shared" si="661"/>
        <v>26750.060000000056</v>
      </c>
      <c r="CA94" s="381">
        <f t="shared" si="661"/>
        <v>26750.060000000056</v>
      </c>
      <c r="CB94" s="917">
        <f t="shared" si="661"/>
        <v>26750.060000000056</v>
      </c>
      <c r="CC94" s="381">
        <f t="shared" ref="CC94:CZ94" si="662">CC91+CC92-CC93</f>
        <v>26750.060000000056</v>
      </c>
      <c r="CD94" s="381">
        <f t="shared" si="662"/>
        <v>26750.060000000056</v>
      </c>
      <c r="CE94" s="381">
        <f t="shared" si="662"/>
        <v>26750.060000000056</v>
      </c>
      <c r="CF94" s="381">
        <f t="shared" si="662"/>
        <v>26750.060000000056</v>
      </c>
      <c r="CG94" s="381">
        <f t="shared" si="662"/>
        <v>26750.060000000056</v>
      </c>
      <c r="CH94" s="381">
        <f t="shared" si="662"/>
        <v>26750.060000000056</v>
      </c>
      <c r="CI94" s="381">
        <f t="shared" si="662"/>
        <v>26750.060000000056</v>
      </c>
      <c r="CJ94" s="381">
        <f t="shared" si="662"/>
        <v>26750.060000000056</v>
      </c>
      <c r="CK94" s="381">
        <f t="shared" si="662"/>
        <v>26750.060000000056</v>
      </c>
      <c r="CL94" s="381">
        <f t="shared" si="662"/>
        <v>26750.060000000056</v>
      </c>
      <c r="CM94" s="381">
        <f t="shared" si="662"/>
        <v>26750.060000000056</v>
      </c>
      <c r="CN94" s="917">
        <f t="shared" si="662"/>
        <v>26750.060000000056</v>
      </c>
      <c r="CO94" s="381">
        <f t="shared" si="662"/>
        <v>26750.060000000056</v>
      </c>
      <c r="CP94" s="381">
        <f t="shared" si="662"/>
        <v>26750.060000000056</v>
      </c>
      <c r="CQ94" s="381">
        <f t="shared" si="662"/>
        <v>26750.060000000056</v>
      </c>
      <c r="CR94" s="381">
        <f t="shared" si="662"/>
        <v>26750.060000000056</v>
      </c>
      <c r="CS94" s="381">
        <f t="shared" si="662"/>
        <v>26750.060000000056</v>
      </c>
      <c r="CT94" s="381">
        <f t="shared" si="662"/>
        <v>26750.060000000056</v>
      </c>
      <c r="CU94" s="381">
        <f t="shared" si="662"/>
        <v>26750.060000000056</v>
      </c>
      <c r="CV94" s="381">
        <f t="shared" si="662"/>
        <v>26750.060000000056</v>
      </c>
      <c r="CW94" s="381">
        <f t="shared" si="662"/>
        <v>26750.060000000056</v>
      </c>
      <c r="CX94" s="381">
        <f t="shared" si="662"/>
        <v>26750.060000000056</v>
      </c>
      <c r="CY94" s="381">
        <f t="shared" si="662"/>
        <v>26750.060000000056</v>
      </c>
      <c r="CZ94" s="917">
        <f t="shared" si="662"/>
        <v>26750.060000000056</v>
      </c>
      <c r="DA94" s="381">
        <f t="shared" ref="DA94:DL94" si="663">DA91+DA92-DA93</f>
        <v>26750.060000000056</v>
      </c>
      <c r="DB94" s="381">
        <f t="shared" si="663"/>
        <v>26750.060000000056</v>
      </c>
      <c r="DC94" s="381">
        <f t="shared" si="663"/>
        <v>26750.060000000056</v>
      </c>
      <c r="DD94" s="381">
        <f t="shared" si="663"/>
        <v>26750.060000000056</v>
      </c>
      <c r="DE94" s="381">
        <f t="shared" si="663"/>
        <v>26750.060000000056</v>
      </c>
      <c r="DF94" s="381">
        <f t="shared" si="663"/>
        <v>26750.060000000056</v>
      </c>
      <c r="DG94" s="381">
        <f t="shared" si="663"/>
        <v>26750.060000000056</v>
      </c>
      <c r="DH94" s="381">
        <f t="shared" si="663"/>
        <v>26750.060000000056</v>
      </c>
      <c r="DI94" s="381">
        <f t="shared" si="663"/>
        <v>26750.060000000056</v>
      </c>
      <c r="DJ94" s="381">
        <f t="shared" si="663"/>
        <v>26750.060000000056</v>
      </c>
      <c r="DK94" s="381">
        <f t="shared" si="663"/>
        <v>26750.060000000056</v>
      </c>
      <c r="DL94" s="381">
        <f t="shared" si="663"/>
        <v>26750.060000000056</v>
      </c>
      <c r="DM94" s="356"/>
      <c r="DN94" s="424"/>
      <c r="DO94" s="330"/>
    </row>
    <row r="95" spans="2:119" x14ac:dyDescent="0.3">
      <c r="B95" s="416"/>
      <c r="C95" s="423"/>
      <c r="D95" s="385"/>
      <c r="E95" s="356"/>
      <c r="F95" s="356"/>
      <c r="G95" s="356"/>
      <c r="H95" s="356"/>
      <c r="I95" s="381"/>
      <c r="J95" s="381"/>
      <c r="K95" s="381"/>
      <c r="L95" s="381"/>
      <c r="M95" s="381"/>
      <c r="N95" s="381"/>
      <c r="O95" s="381"/>
      <c r="P95" s="381"/>
      <c r="Q95" s="381"/>
      <c r="R95" s="381"/>
      <c r="S95" s="381"/>
      <c r="T95" s="917"/>
      <c r="U95" s="381"/>
      <c r="V95" s="381"/>
      <c r="W95" s="381"/>
      <c r="X95" s="381"/>
      <c r="Y95" s="381"/>
      <c r="Z95" s="381"/>
      <c r="AA95" s="381"/>
      <c r="AB95" s="381"/>
      <c r="AC95" s="381"/>
      <c r="AD95" s="381"/>
      <c r="AE95" s="381"/>
      <c r="AF95" s="917"/>
      <c r="AG95" s="381"/>
      <c r="AH95" s="381"/>
      <c r="AI95" s="381"/>
      <c r="AJ95" s="381"/>
      <c r="AK95" s="381"/>
      <c r="AL95" s="381"/>
      <c r="AM95" s="381"/>
      <c r="AN95" s="381"/>
      <c r="AO95" s="381"/>
      <c r="AP95" s="381"/>
      <c r="AQ95" s="381"/>
      <c r="AR95" s="917"/>
      <c r="AS95" s="381"/>
      <c r="AT95" s="381"/>
      <c r="AU95" s="381"/>
      <c r="AV95" s="381"/>
      <c r="AW95" s="381"/>
      <c r="AX95" s="381"/>
      <c r="AY95" s="381"/>
      <c r="AZ95" s="381"/>
      <c r="BA95" s="381"/>
      <c r="BB95" s="381"/>
      <c r="BC95" s="381"/>
      <c r="BD95" s="917"/>
      <c r="BE95" s="381"/>
      <c r="BF95" s="381"/>
      <c r="BG95" s="381"/>
      <c r="BH95" s="381"/>
      <c r="BI95" s="381"/>
      <c r="BJ95" s="381"/>
      <c r="BK95" s="381"/>
      <c r="BL95" s="381"/>
      <c r="BM95" s="381"/>
      <c r="BN95" s="381"/>
      <c r="BO95" s="381"/>
      <c r="BP95" s="917"/>
      <c r="BQ95" s="381"/>
      <c r="BR95" s="381"/>
      <c r="BS95" s="381"/>
      <c r="BT95" s="381"/>
      <c r="BU95" s="381"/>
      <c r="BV95" s="381"/>
      <c r="BW95" s="381"/>
      <c r="BX95" s="381"/>
      <c r="BY95" s="381"/>
      <c r="BZ95" s="381"/>
      <c r="CA95" s="381"/>
      <c r="CB95" s="917"/>
      <c r="CC95" s="381"/>
      <c r="CD95" s="381"/>
      <c r="CE95" s="381"/>
      <c r="CF95" s="381"/>
      <c r="CG95" s="381"/>
      <c r="CH95" s="381"/>
      <c r="CI95" s="381"/>
      <c r="CJ95" s="381"/>
      <c r="CK95" s="381"/>
      <c r="CL95" s="381"/>
      <c r="CM95" s="381"/>
      <c r="CN95" s="917"/>
      <c r="CO95" s="381"/>
      <c r="CP95" s="381"/>
      <c r="CQ95" s="381"/>
      <c r="CR95" s="381"/>
      <c r="CS95" s="381"/>
      <c r="CT95" s="381"/>
      <c r="CU95" s="381"/>
      <c r="CV95" s="381"/>
      <c r="CW95" s="381"/>
      <c r="CX95" s="381"/>
      <c r="CY95" s="381"/>
      <c r="CZ95" s="917"/>
      <c r="DA95" s="381"/>
      <c r="DB95" s="381"/>
      <c r="DC95" s="381"/>
      <c r="DD95" s="381"/>
      <c r="DE95" s="381"/>
      <c r="DF95" s="381"/>
      <c r="DG95" s="381"/>
      <c r="DH95" s="381"/>
      <c r="DI95" s="381"/>
      <c r="DJ95" s="381"/>
      <c r="DK95" s="381"/>
      <c r="DL95" s="381"/>
      <c r="DM95" s="356"/>
      <c r="DN95" s="424"/>
      <c r="DO95" s="330"/>
    </row>
    <row r="96" spans="2:119" x14ac:dyDescent="0.3">
      <c r="B96" s="416"/>
      <c r="C96" s="423"/>
      <c r="D96" s="385" t="s">
        <v>255</v>
      </c>
      <c r="E96" s="356"/>
      <c r="F96" s="356"/>
      <c r="G96" s="356"/>
      <c r="H96" s="356"/>
      <c r="I96" s="381"/>
      <c r="J96" s="381"/>
      <c r="K96" s="381"/>
      <c r="L96" s="381"/>
      <c r="M96" s="381"/>
      <c r="N96" s="381"/>
      <c r="O96" s="381"/>
      <c r="P96" s="381"/>
      <c r="Q96" s="381"/>
      <c r="R96" s="381"/>
      <c r="S96" s="381"/>
      <c r="T96" s="917"/>
      <c r="U96" s="381"/>
      <c r="V96" s="381"/>
      <c r="W96" s="381"/>
      <c r="X96" s="381"/>
      <c r="Y96" s="381"/>
      <c r="Z96" s="381"/>
      <c r="AA96" s="381"/>
      <c r="AB96" s="381"/>
      <c r="AC96" s="381"/>
      <c r="AD96" s="381"/>
      <c r="AE96" s="381"/>
      <c r="AF96" s="917"/>
      <c r="AG96" s="381"/>
      <c r="AH96" s="381"/>
      <c r="AI96" s="381"/>
      <c r="AJ96" s="381"/>
      <c r="AK96" s="381"/>
      <c r="AL96" s="381"/>
      <c r="AM96" s="381"/>
      <c r="AN96" s="381"/>
      <c r="AO96" s="381"/>
      <c r="AP96" s="381"/>
      <c r="AQ96" s="381"/>
      <c r="AR96" s="917"/>
      <c r="AS96" s="381"/>
      <c r="AT96" s="381"/>
      <c r="AU96" s="381"/>
      <c r="AV96" s="381"/>
      <c r="AW96" s="381"/>
      <c r="AX96" s="381"/>
      <c r="AY96" s="381"/>
      <c r="AZ96" s="381"/>
      <c r="BA96" s="381"/>
      <c r="BB96" s="381"/>
      <c r="BC96" s="381"/>
      <c r="BD96" s="917"/>
      <c r="BE96" s="381"/>
      <c r="BF96" s="381"/>
      <c r="BG96" s="381"/>
      <c r="BH96" s="381"/>
      <c r="BI96" s="381"/>
      <c r="BJ96" s="381"/>
      <c r="BK96" s="381"/>
      <c r="BL96" s="381"/>
      <c r="BM96" s="381"/>
      <c r="BN96" s="381"/>
      <c r="BO96" s="381"/>
      <c r="BP96" s="917"/>
      <c r="BQ96" s="381"/>
      <c r="BR96" s="381"/>
      <c r="BS96" s="381"/>
      <c r="BT96" s="381"/>
      <c r="BU96" s="381"/>
      <c r="BV96" s="381"/>
      <c r="BW96" s="381"/>
      <c r="BX96" s="381"/>
      <c r="BY96" s="381"/>
      <c r="BZ96" s="381"/>
      <c r="CA96" s="381"/>
      <c r="CB96" s="917"/>
      <c r="CC96" s="381"/>
      <c r="CD96" s="381"/>
      <c r="CE96" s="381"/>
      <c r="CF96" s="381"/>
      <c r="CG96" s="381"/>
      <c r="CH96" s="381"/>
      <c r="CI96" s="381"/>
      <c r="CJ96" s="381"/>
      <c r="CK96" s="381"/>
      <c r="CL96" s="381"/>
      <c r="CM96" s="381"/>
      <c r="CN96" s="917"/>
      <c r="CO96" s="381"/>
      <c r="CP96" s="381"/>
      <c r="CQ96" s="381"/>
      <c r="CR96" s="381"/>
      <c r="CS96" s="381"/>
      <c r="CT96" s="381"/>
      <c r="CU96" s="381"/>
      <c r="CV96" s="381"/>
      <c r="CW96" s="381"/>
      <c r="CX96" s="381"/>
      <c r="CY96" s="381"/>
      <c r="CZ96" s="917"/>
      <c r="DA96" s="381"/>
      <c r="DB96" s="381"/>
      <c r="DC96" s="381"/>
      <c r="DD96" s="381"/>
      <c r="DE96" s="381"/>
      <c r="DF96" s="381"/>
      <c r="DG96" s="381"/>
      <c r="DH96" s="381"/>
      <c r="DI96" s="381"/>
      <c r="DJ96" s="381"/>
      <c r="DK96" s="381"/>
      <c r="DL96" s="381"/>
      <c r="DM96" s="356"/>
      <c r="DN96" s="424"/>
      <c r="DO96" s="330"/>
    </row>
    <row r="97" spans="2:119" x14ac:dyDescent="0.3">
      <c r="B97" s="416"/>
      <c r="C97" s="423"/>
      <c r="D97" s="385"/>
      <c r="E97" s="356" t="s">
        <v>256</v>
      </c>
      <c r="F97" s="356"/>
      <c r="G97" s="356"/>
      <c r="H97" s="356"/>
      <c r="I97" s="540">
        <v>0</v>
      </c>
      <c r="J97" s="381">
        <f>I100</f>
        <v>178.33373333333373</v>
      </c>
      <c r="K97" s="381">
        <f t="shared" ref="K97:AF97" si="664">J100</f>
        <v>356.66746666666745</v>
      </c>
      <c r="L97" s="381">
        <f t="shared" si="664"/>
        <v>535.00120000000118</v>
      </c>
      <c r="M97" s="381">
        <f t="shared" si="664"/>
        <v>713.3349333333349</v>
      </c>
      <c r="N97" s="381">
        <f t="shared" si="664"/>
        <v>891.66866666666863</v>
      </c>
      <c r="O97" s="381">
        <f t="shared" si="664"/>
        <v>1070.0024000000024</v>
      </c>
      <c r="P97" s="381">
        <f t="shared" si="664"/>
        <v>1248.336133333336</v>
      </c>
      <c r="Q97" s="381">
        <f t="shared" si="664"/>
        <v>1426.6698666666698</v>
      </c>
      <c r="R97" s="381">
        <f t="shared" si="664"/>
        <v>1605.0036000000036</v>
      </c>
      <c r="S97" s="381">
        <f t="shared" si="664"/>
        <v>1783.3373333333375</v>
      </c>
      <c r="T97" s="917">
        <f t="shared" si="664"/>
        <v>1961.6710666666713</v>
      </c>
      <c r="U97" s="381">
        <f t="shared" si="664"/>
        <v>2140.0048000000052</v>
      </c>
      <c r="V97" s="381">
        <f t="shared" si="664"/>
        <v>2318.338533333339</v>
      </c>
      <c r="W97" s="381">
        <f t="shared" si="664"/>
        <v>2496.6722666666728</v>
      </c>
      <c r="X97" s="381">
        <f t="shared" si="664"/>
        <v>2675.0060000000067</v>
      </c>
      <c r="Y97" s="381">
        <f t="shared" si="664"/>
        <v>2853.3397333333405</v>
      </c>
      <c r="Z97" s="381">
        <f t="shared" si="664"/>
        <v>3031.6734666666744</v>
      </c>
      <c r="AA97" s="381">
        <f t="shared" si="664"/>
        <v>3210.0072000000082</v>
      </c>
      <c r="AB97" s="381">
        <f t="shared" si="664"/>
        <v>3388.340933333342</v>
      </c>
      <c r="AC97" s="381">
        <f t="shared" si="664"/>
        <v>3566.6746666666759</v>
      </c>
      <c r="AD97" s="381">
        <f t="shared" si="664"/>
        <v>3745.0084000000097</v>
      </c>
      <c r="AE97" s="381">
        <f t="shared" si="664"/>
        <v>3923.3421333333436</v>
      </c>
      <c r="AF97" s="917">
        <f t="shared" si="664"/>
        <v>4101.6758666666774</v>
      </c>
      <c r="AG97" s="381">
        <f t="shared" ref="AG97" si="665">AF100</f>
        <v>4280.0096000000112</v>
      </c>
      <c r="AH97" s="381">
        <f t="shared" ref="AH97" si="666">AG100</f>
        <v>4458.3433333333451</v>
      </c>
      <c r="AI97" s="381">
        <f t="shared" ref="AI97" si="667">AH100</f>
        <v>4636.6770666666789</v>
      </c>
      <c r="AJ97" s="381">
        <f t="shared" ref="AJ97" si="668">AI100</f>
        <v>4815.0108000000128</v>
      </c>
      <c r="AK97" s="381">
        <f t="shared" ref="AK97" si="669">AJ100</f>
        <v>4993.3445333333466</v>
      </c>
      <c r="AL97" s="381">
        <f t="shared" ref="AL97" si="670">AK100</f>
        <v>5171.6782666666804</v>
      </c>
      <c r="AM97" s="381">
        <f t="shared" ref="AM97" si="671">AL100</f>
        <v>5350.0120000000143</v>
      </c>
      <c r="AN97" s="381">
        <f t="shared" ref="AN97" si="672">AM100</f>
        <v>5528.3457333333481</v>
      </c>
      <c r="AO97" s="381">
        <f t="shared" ref="AO97" si="673">AN100</f>
        <v>5706.6794666666819</v>
      </c>
      <c r="AP97" s="381">
        <f t="shared" ref="AP97" si="674">AO100</f>
        <v>5885.0132000000158</v>
      </c>
      <c r="AQ97" s="381">
        <f t="shared" ref="AQ97" si="675">AP100</f>
        <v>6063.3469333333496</v>
      </c>
      <c r="AR97" s="917">
        <f t="shared" ref="AR97" si="676">AQ100</f>
        <v>6241.6806666666835</v>
      </c>
      <c r="AS97" s="381">
        <f t="shared" ref="AS97" si="677">AR100</f>
        <v>6420.0144000000173</v>
      </c>
      <c r="AT97" s="381">
        <f t="shared" ref="AT97" si="678">AS100</f>
        <v>6598.3481333333511</v>
      </c>
      <c r="AU97" s="381">
        <f t="shared" ref="AU97" si="679">AT100</f>
        <v>6776.681866666685</v>
      </c>
      <c r="AV97" s="381">
        <f t="shared" ref="AV97" si="680">AU100</f>
        <v>6955.0156000000188</v>
      </c>
      <c r="AW97" s="381">
        <f t="shared" ref="AW97" si="681">AV100</f>
        <v>7133.3493333333527</v>
      </c>
      <c r="AX97" s="381">
        <f t="shared" ref="AX97" si="682">AW100</f>
        <v>7311.6830666666865</v>
      </c>
      <c r="AY97" s="381">
        <f t="shared" ref="AY97" si="683">AX100</f>
        <v>7490.0168000000203</v>
      </c>
      <c r="AZ97" s="381">
        <f t="shared" ref="AZ97" si="684">AY100</f>
        <v>7668.3505333333542</v>
      </c>
      <c r="BA97" s="381">
        <f t="shared" ref="BA97" si="685">AZ100</f>
        <v>7846.684266666688</v>
      </c>
      <c r="BB97" s="381">
        <f t="shared" ref="BB97" si="686">BA100</f>
        <v>8025.0180000000219</v>
      </c>
      <c r="BC97" s="381">
        <f t="shared" ref="BC97" si="687">BB100</f>
        <v>8203.3517333333548</v>
      </c>
      <c r="BD97" s="917">
        <f t="shared" ref="BD97" si="688">BC100</f>
        <v>8381.6854666666877</v>
      </c>
      <c r="BE97" s="381">
        <f t="shared" ref="BE97" si="689">BD100</f>
        <v>8560.0192000000206</v>
      </c>
      <c r="BF97" s="381">
        <f t="shared" ref="BF97" si="690">BE100</f>
        <v>8738.3529333333536</v>
      </c>
      <c r="BG97" s="381">
        <f t="shared" ref="BG97" si="691">BF100</f>
        <v>8916.6866666666865</v>
      </c>
      <c r="BH97" s="381">
        <f t="shared" ref="BH97" si="692">BG100</f>
        <v>9095.0204000000194</v>
      </c>
      <c r="BI97" s="381">
        <f t="shared" ref="BI97" si="693">BH100</f>
        <v>9273.3541333333524</v>
      </c>
      <c r="BJ97" s="381">
        <f t="shared" ref="BJ97" si="694">BI100</f>
        <v>9451.6878666666853</v>
      </c>
      <c r="BK97" s="381">
        <f t="shared" ref="BK97" si="695">BJ100</f>
        <v>9630.0216000000182</v>
      </c>
      <c r="BL97" s="381">
        <f t="shared" ref="BL97" si="696">BK100</f>
        <v>9808.3553333333512</v>
      </c>
      <c r="BM97" s="381">
        <f t="shared" ref="BM97" si="697">BL100</f>
        <v>9986.6890666666841</v>
      </c>
      <c r="BN97" s="381">
        <f t="shared" ref="BN97" si="698">BM100</f>
        <v>10165.022800000017</v>
      </c>
      <c r="BO97" s="381">
        <f t="shared" ref="BO97" si="699">BN100</f>
        <v>10343.35653333335</v>
      </c>
      <c r="BP97" s="917">
        <f t="shared" ref="BP97" si="700">BO100</f>
        <v>10521.690266666683</v>
      </c>
      <c r="BQ97" s="381">
        <f t="shared" ref="BQ97" si="701">BP100</f>
        <v>10700.024000000016</v>
      </c>
      <c r="BR97" s="381">
        <f t="shared" ref="BR97" si="702">BQ100</f>
        <v>10878.357733333349</v>
      </c>
      <c r="BS97" s="381">
        <f t="shared" ref="BS97" si="703">BR100</f>
        <v>11056.691466666682</v>
      </c>
      <c r="BT97" s="381">
        <f t="shared" ref="BT97" si="704">BS100</f>
        <v>11235.025200000015</v>
      </c>
      <c r="BU97" s="381">
        <f t="shared" ref="BU97" si="705">BT100</f>
        <v>11413.358933333348</v>
      </c>
      <c r="BV97" s="381">
        <f t="shared" ref="BV97" si="706">BU100</f>
        <v>11591.69266666668</v>
      </c>
      <c r="BW97" s="381">
        <f t="shared" ref="BW97" si="707">BV100</f>
        <v>11770.026400000013</v>
      </c>
      <c r="BX97" s="381">
        <f t="shared" ref="BX97" si="708">BW100</f>
        <v>11948.360133333346</v>
      </c>
      <c r="BY97" s="381">
        <f t="shared" ref="BY97" si="709">BX100</f>
        <v>12126.693866666679</v>
      </c>
      <c r="BZ97" s="381">
        <f t="shared" ref="BZ97" si="710">BY100</f>
        <v>12305.027600000012</v>
      </c>
      <c r="CA97" s="381">
        <f t="shared" ref="CA97" si="711">BZ100</f>
        <v>12483.361333333345</v>
      </c>
      <c r="CB97" s="917">
        <f t="shared" ref="CB97" si="712">CA100</f>
        <v>12661.695066666678</v>
      </c>
      <c r="CC97" s="381">
        <f t="shared" ref="CC97" si="713">CB100</f>
        <v>12840.028800000011</v>
      </c>
      <c r="CD97" s="381">
        <f t="shared" ref="CD97" si="714">CC100</f>
        <v>13018.362533333344</v>
      </c>
      <c r="CE97" s="381">
        <f t="shared" ref="CE97" si="715">CD100</f>
        <v>13196.696266666677</v>
      </c>
      <c r="CF97" s="381">
        <f t="shared" ref="CF97" si="716">CE100</f>
        <v>13375.03000000001</v>
      </c>
      <c r="CG97" s="381">
        <f t="shared" ref="CG97" si="717">CF100</f>
        <v>13553.363733333343</v>
      </c>
      <c r="CH97" s="381">
        <f t="shared" ref="CH97" si="718">CG100</f>
        <v>13731.697466666676</v>
      </c>
      <c r="CI97" s="381">
        <f t="shared" ref="CI97" si="719">CH100</f>
        <v>13910.031200000009</v>
      </c>
      <c r="CJ97" s="381">
        <f t="shared" ref="CJ97" si="720">CI100</f>
        <v>14088.364933333341</v>
      </c>
      <c r="CK97" s="381">
        <f t="shared" ref="CK97" si="721">CJ100</f>
        <v>14266.698666666674</v>
      </c>
      <c r="CL97" s="381">
        <f t="shared" ref="CL97" si="722">CK100</f>
        <v>14445.032400000007</v>
      </c>
      <c r="CM97" s="381">
        <f t="shared" ref="CM97" si="723">CL100</f>
        <v>14623.36613333334</v>
      </c>
      <c r="CN97" s="917">
        <f t="shared" ref="CN97" si="724">CM100</f>
        <v>14801.699866666673</v>
      </c>
      <c r="CO97" s="381">
        <f t="shared" ref="CO97" si="725">CN100</f>
        <v>14980.033600000006</v>
      </c>
      <c r="CP97" s="381">
        <f t="shared" ref="CP97" si="726">CO100</f>
        <v>15158.367333333339</v>
      </c>
      <c r="CQ97" s="381">
        <f t="shared" ref="CQ97" si="727">CP100</f>
        <v>15336.701066666672</v>
      </c>
      <c r="CR97" s="381">
        <f t="shared" ref="CR97" si="728">CQ100</f>
        <v>15515.034800000005</v>
      </c>
      <c r="CS97" s="381">
        <f t="shared" ref="CS97" si="729">CR100</f>
        <v>15693.368533333338</v>
      </c>
      <c r="CT97" s="381">
        <f t="shared" ref="CT97" si="730">CS100</f>
        <v>15871.702266666671</v>
      </c>
      <c r="CU97" s="381">
        <f t="shared" ref="CU97" si="731">CT100</f>
        <v>16050.036000000004</v>
      </c>
      <c r="CV97" s="381">
        <f t="shared" ref="CV97" si="732">CU100</f>
        <v>16228.369733333337</v>
      </c>
      <c r="CW97" s="381">
        <f t="shared" ref="CW97" si="733">CV100</f>
        <v>16406.70346666667</v>
      </c>
      <c r="CX97" s="381">
        <f t="shared" ref="CX97" si="734">CW100</f>
        <v>16585.037200000002</v>
      </c>
      <c r="CY97" s="381">
        <f t="shared" ref="CY97" si="735">CX100</f>
        <v>16763.370933333335</v>
      </c>
      <c r="CZ97" s="917">
        <f t="shared" ref="CZ97" si="736">CY100</f>
        <v>16941.704666666668</v>
      </c>
      <c r="DA97" s="381">
        <f t="shared" ref="DA97" si="737">CZ100</f>
        <v>17120.038400000001</v>
      </c>
      <c r="DB97" s="381">
        <f t="shared" ref="DB97" si="738">DA100</f>
        <v>17298.372133333334</v>
      </c>
      <c r="DC97" s="381">
        <f t="shared" ref="DC97" si="739">DB100</f>
        <v>17476.705866666667</v>
      </c>
      <c r="DD97" s="381">
        <f t="shared" ref="DD97" si="740">DC100</f>
        <v>17655.0396</v>
      </c>
      <c r="DE97" s="381">
        <f t="shared" ref="DE97" si="741">DD100</f>
        <v>17833.373333333333</v>
      </c>
      <c r="DF97" s="381">
        <f t="shared" ref="DF97" si="742">DE100</f>
        <v>18011.707066666666</v>
      </c>
      <c r="DG97" s="381">
        <f t="shared" ref="DG97" si="743">DF100</f>
        <v>18190.040799999999</v>
      </c>
      <c r="DH97" s="381">
        <f t="shared" ref="DH97" si="744">DG100</f>
        <v>18368.374533333332</v>
      </c>
      <c r="DI97" s="381">
        <f t="shared" ref="DI97" si="745">DH100</f>
        <v>18546.708266666665</v>
      </c>
      <c r="DJ97" s="381">
        <f t="shared" ref="DJ97" si="746">DI100</f>
        <v>18725.041999999998</v>
      </c>
      <c r="DK97" s="381">
        <f t="shared" ref="DK97" si="747">DJ100</f>
        <v>18903.375733333331</v>
      </c>
      <c r="DL97" s="381">
        <f t="shared" ref="DL97" si="748">DK100</f>
        <v>19081.709466666664</v>
      </c>
      <c r="DM97" s="356"/>
      <c r="DN97" s="424"/>
      <c r="DO97" s="330"/>
    </row>
    <row r="98" spans="2:119" x14ac:dyDescent="0.3">
      <c r="B98" s="416"/>
      <c r="C98" s="423"/>
      <c r="D98" s="385"/>
      <c r="E98" s="356"/>
      <c r="F98" s="356" t="s">
        <v>356</v>
      </c>
      <c r="G98" s="383">
        <f>'Members Capital'!K14</f>
        <v>0.08</v>
      </c>
      <c r="H98" s="383"/>
      <c r="I98" s="381">
        <f>$G$98/12*I91</f>
        <v>178.33373333333373</v>
      </c>
      <c r="J98" s="381">
        <f t="shared" ref="J98:AF98" si="749">$G$98/12*J91</f>
        <v>178.33373333333373</v>
      </c>
      <c r="K98" s="381">
        <f t="shared" si="749"/>
        <v>178.33373333333373</v>
      </c>
      <c r="L98" s="381">
        <f t="shared" si="749"/>
        <v>178.33373333333373</v>
      </c>
      <c r="M98" s="381">
        <f t="shared" si="749"/>
        <v>178.33373333333373</v>
      </c>
      <c r="N98" s="381">
        <f t="shared" si="749"/>
        <v>178.33373333333373</v>
      </c>
      <c r="O98" s="381">
        <f t="shared" si="749"/>
        <v>178.33373333333373</v>
      </c>
      <c r="P98" s="381">
        <f t="shared" si="749"/>
        <v>178.33373333333373</v>
      </c>
      <c r="Q98" s="381">
        <f t="shared" si="749"/>
        <v>178.33373333333373</v>
      </c>
      <c r="R98" s="381">
        <f t="shared" si="749"/>
        <v>178.33373333333373</v>
      </c>
      <c r="S98" s="381">
        <f t="shared" si="749"/>
        <v>178.33373333333373</v>
      </c>
      <c r="T98" s="917">
        <f t="shared" si="749"/>
        <v>178.33373333333373</v>
      </c>
      <c r="U98" s="381">
        <f t="shared" si="749"/>
        <v>178.33373333333373</v>
      </c>
      <c r="V98" s="381">
        <f t="shared" si="749"/>
        <v>178.33373333333373</v>
      </c>
      <c r="W98" s="381">
        <f t="shared" si="749"/>
        <v>178.33373333333373</v>
      </c>
      <c r="X98" s="381">
        <f t="shared" si="749"/>
        <v>178.33373333333373</v>
      </c>
      <c r="Y98" s="381">
        <f t="shared" si="749"/>
        <v>178.33373333333373</v>
      </c>
      <c r="Z98" s="381">
        <f t="shared" si="749"/>
        <v>178.33373333333373</v>
      </c>
      <c r="AA98" s="381">
        <f t="shared" si="749"/>
        <v>178.33373333333373</v>
      </c>
      <c r="AB98" s="381">
        <f t="shared" si="749"/>
        <v>178.33373333333373</v>
      </c>
      <c r="AC98" s="381">
        <f t="shared" si="749"/>
        <v>178.33373333333373</v>
      </c>
      <c r="AD98" s="381">
        <f t="shared" si="749"/>
        <v>178.33373333333373</v>
      </c>
      <c r="AE98" s="381">
        <f t="shared" si="749"/>
        <v>178.33373333333373</v>
      </c>
      <c r="AF98" s="917">
        <f t="shared" si="749"/>
        <v>178.33373333333373</v>
      </c>
      <c r="AG98" s="381">
        <f t="shared" ref="AG98:AI98" si="750">$G$98/12*AG91</f>
        <v>178.33373333333373</v>
      </c>
      <c r="AH98" s="381">
        <f t="shared" si="750"/>
        <v>178.33373333333373</v>
      </c>
      <c r="AI98" s="381">
        <f t="shared" si="750"/>
        <v>178.33373333333373</v>
      </c>
      <c r="AJ98" s="381">
        <f t="shared" ref="AJ98:BD98" si="751">$G$98/12*AJ91</f>
        <v>178.33373333333373</v>
      </c>
      <c r="AK98" s="381">
        <f t="shared" si="751"/>
        <v>178.33373333333373</v>
      </c>
      <c r="AL98" s="381">
        <f t="shared" si="751"/>
        <v>178.33373333333373</v>
      </c>
      <c r="AM98" s="381">
        <f t="shared" si="751"/>
        <v>178.33373333333373</v>
      </c>
      <c r="AN98" s="381">
        <f t="shared" si="751"/>
        <v>178.33373333333373</v>
      </c>
      <c r="AO98" s="381">
        <f t="shared" si="751"/>
        <v>178.33373333333373</v>
      </c>
      <c r="AP98" s="381">
        <f t="shared" si="751"/>
        <v>178.33373333333373</v>
      </c>
      <c r="AQ98" s="381">
        <f t="shared" si="751"/>
        <v>178.33373333333373</v>
      </c>
      <c r="AR98" s="917">
        <f t="shared" si="751"/>
        <v>178.33373333333373</v>
      </c>
      <c r="AS98" s="381">
        <f t="shared" si="751"/>
        <v>178.33373333333373</v>
      </c>
      <c r="AT98" s="381">
        <f t="shared" si="751"/>
        <v>178.33373333333373</v>
      </c>
      <c r="AU98" s="381">
        <f t="shared" si="751"/>
        <v>178.33373333333373</v>
      </c>
      <c r="AV98" s="381">
        <f t="shared" si="751"/>
        <v>178.33373333333373</v>
      </c>
      <c r="AW98" s="381">
        <f t="shared" si="751"/>
        <v>178.33373333333373</v>
      </c>
      <c r="AX98" s="381">
        <f t="shared" si="751"/>
        <v>178.33373333333373</v>
      </c>
      <c r="AY98" s="381">
        <f t="shared" si="751"/>
        <v>178.33373333333373</v>
      </c>
      <c r="AZ98" s="381">
        <f t="shared" si="751"/>
        <v>178.33373333333373</v>
      </c>
      <c r="BA98" s="381">
        <f t="shared" si="751"/>
        <v>178.33373333333373</v>
      </c>
      <c r="BB98" s="381">
        <f t="shared" si="751"/>
        <v>178.33373333333373</v>
      </c>
      <c r="BC98" s="381">
        <f t="shared" si="751"/>
        <v>178.33373333333373</v>
      </c>
      <c r="BD98" s="917">
        <f t="shared" si="751"/>
        <v>178.33373333333373</v>
      </c>
      <c r="BE98" s="381">
        <f t="shared" ref="BE98:CB98" si="752">$G$98/12*BE91</f>
        <v>178.33373333333373</v>
      </c>
      <c r="BF98" s="381">
        <f t="shared" si="752"/>
        <v>178.33373333333373</v>
      </c>
      <c r="BG98" s="381">
        <f t="shared" si="752"/>
        <v>178.33373333333373</v>
      </c>
      <c r="BH98" s="381">
        <f t="shared" si="752"/>
        <v>178.33373333333373</v>
      </c>
      <c r="BI98" s="381">
        <f t="shared" si="752"/>
        <v>178.33373333333373</v>
      </c>
      <c r="BJ98" s="381">
        <f t="shared" si="752"/>
        <v>178.33373333333373</v>
      </c>
      <c r="BK98" s="381">
        <f t="shared" si="752"/>
        <v>178.33373333333373</v>
      </c>
      <c r="BL98" s="381">
        <f t="shared" si="752"/>
        <v>178.33373333333373</v>
      </c>
      <c r="BM98" s="381">
        <f t="shared" si="752"/>
        <v>178.33373333333373</v>
      </c>
      <c r="BN98" s="381">
        <f t="shared" si="752"/>
        <v>178.33373333333373</v>
      </c>
      <c r="BO98" s="381">
        <f t="shared" si="752"/>
        <v>178.33373333333373</v>
      </c>
      <c r="BP98" s="917">
        <f t="shared" si="752"/>
        <v>178.33373333333373</v>
      </c>
      <c r="BQ98" s="381">
        <f t="shared" si="752"/>
        <v>178.33373333333373</v>
      </c>
      <c r="BR98" s="381">
        <f t="shared" si="752"/>
        <v>178.33373333333373</v>
      </c>
      <c r="BS98" s="381">
        <f t="shared" si="752"/>
        <v>178.33373333333373</v>
      </c>
      <c r="BT98" s="381">
        <f t="shared" si="752"/>
        <v>178.33373333333373</v>
      </c>
      <c r="BU98" s="381">
        <f t="shared" si="752"/>
        <v>178.33373333333373</v>
      </c>
      <c r="BV98" s="381">
        <f t="shared" si="752"/>
        <v>178.33373333333373</v>
      </c>
      <c r="BW98" s="381">
        <f t="shared" si="752"/>
        <v>178.33373333333373</v>
      </c>
      <c r="BX98" s="381">
        <f t="shared" si="752"/>
        <v>178.33373333333373</v>
      </c>
      <c r="BY98" s="381">
        <f t="shared" si="752"/>
        <v>178.33373333333373</v>
      </c>
      <c r="BZ98" s="381">
        <f t="shared" si="752"/>
        <v>178.33373333333373</v>
      </c>
      <c r="CA98" s="381">
        <f t="shared" si="752"/>
        <v>178.33373333333373</v>
      </c>
      <c r="CB98" s="917">
        <f t="shared" si="752"/>
        <v>178.33373333333373</v>
      </c>
      <c r="CC98" s="381">
        <f t="shared" ref="CC98:CZ98" si="753">$G$98/12*CC91</f>
        <v>178.33373333333373</v>
      </c>
      <c r="CD98" s="381">
        <f t="shared" si="753"/>
        <v>178.33373333333373</v>
      </c>
      <c r="CE98" s="381">
        <f t="shared" si="753"/>
        <v>178.33373333333373</v>
      </c>
      <c r="CF98" s="381">
        <f t="shared" si="753"/>
        <v>178.33373333333373</v>
      </c>
      <c r="CG98" s="381">
        <f t="shared" si="753"/>
        <v>178.33373333333373</v>
      </c>
      <c r="CH98" s="381">
        <f t="shared" si="753"/>
        <v>178.33373333333373</v>
      </c>
      <c r="CI98" s="381">
        <f t="shared" si="753"/>
        <v>178.33373333333373</v>
      </c>
      <c r="CJ98" s="381">
        <f t="shared" si="753"/>
        <v>178.33373333333373</v>
      </c>
      <c r="CK98" s="381">
        <f t="shared" si="753"/>
        <v>178.33373333333373</v>
      </c>
      <c r="CL98" s="381">
        <f t="shared" si="753"/>
        <v>178.33373333333373</v>
      </c>
      <c r="CM98" s="381">
        <f t="shared" si="753"/>
        <v>178.33373333333373</v>
      </c>
      <c r="CN98" s="917">
        <f t="shared" si="753"/>
        <v>178.33373333333373</v>
      </c>
      <c r="CO98" s="381">
        <f t="shared" si="753"/>
        <v>178.33373333333373</v>
      </c>
      <c r="CP98" s="381">
        <f t="shared" si="753"/>
        <v>178.33373333333373</v>
      </c>
      <c r="CQ98" s="381">
        <f t="shared" si="753"/>
        <v>178.33373333333373</v>
      </c>
      <c r="CR98" s="381">
        <f t="shared" si="753"/>
        <v>178.33373333333373</v>
      </c>
      <c r="CS98" s="381">
        <f t="shared" si="753"/>
        <v>178.33373333333373</v>
      </c>
      <c r="CT98" s="381">
        <f t="shared" si="753"/>
        <v>178.33373333333373</v>
      </c>
      <c r="CU98" s="381">
        <f t="shared" si="753"/>
        <v>178.33373333333373</v>
      </c>
      <c r="CV98" s="381">
        <f t="shared" si="753"/>
        <v>178.33373333333373</v>
      </c>
      <c r="CW98" s="381">
        <f t="shared" si="753"/>
        <v>178.33373333333373</v>
      </c>
      <c r="CX98" s="381">
        <f t="shared" si="753"/>
        <v>178.33373333333373</v>
      </c>
      <c r="CY98" s="381">
        <f t="shared" si="753"/>
        <v>178.33373333333373</v>
      </c>
      <c r="CZ98" s="917">
        <f t="shared" si="753"/>
        <v>178.33373333333373</v>
      </c>
      <c r="DA98" s="381">
        <f t="shared" ref="DA98:DL98" si="754">$G$98/12*DA91</f>
        <v>178.33373333333373</v>
      </c>
      <c r="DB98" s="381">
        <f t="shared" si="754"/>
        <v>178.33373333333373</v>
      </c>
      <c r="DC98" s="381">
        <f t="shared" si="754"/>
        <v>178.33373333333373</v>
      </c>
      <c r="DD98" s="381">
        <f t="shared" si="754"/>
        <v>178.33373333333373</v>
      </c>
      <c r="DE98" s="381">
        <f t="shared" si="754"/>
        <v>178.33373333333373</v>
      </c>
      <c r="DF98" s="381">
        <f t="shared" si="754"/>
        <v>178.33373333333373</v>
      </c>
      <c r="DG98" s="381">
        <f t="shared" si="754"/>
        <v>178.33373333333373</v>
      </c>
      <c r="DH98" s="381">
        <f t="shared" si="754"/>
        <v>178.33373333333373</v>
      </c>
      <c r="DI98" s="381">
        <f t="shared" si="754"/>
        <v>178.33373333333373</v>
      </c>
      <c r="DJ98" s="381">
        <f t="shared" si="754"/>
        <v>178.33373333333373</v>
      </c>
      <c r="DK98" s="381">
        <f t="shared" si="754"/>
        <v>178.33373333333373</v>
      </c>
      <c r="DL98" s="381">
        <f t="shared" si="754"/>
        <v>178.33373333333373</v>
      </c>
      <c r="DM98" s="356"/>
      <c r="DN98" s="426">
        <f>SUM(I98:DL98)</f>
        <v>19260.043199999996</v>
      </c>
      <c r="DO98" s="330"/>
    </row>
    <row r="99" spans="2:119" x14ac:dyDescent="0.3">
      <c r="B99" s="416"/>
      <c r="C99" s="423"/>
      <c r="D99" s="385"/>
      <c r="E99" s="359"/>
      <c r="F99" s="359" t="s">
        <v>357</v>
      </c>
      <c r="G99" s="359"/>
      <c r="H99" s="359"/>
      <c r="I99" s="382">
        <f>Monthly!K140</f>
        <v>0</v>
      </c>
      <c r="J99" s="382">
        <f>Monthly!L140</f>
        <v>0</v>
      </c>
      <c r="K99" s="382">
        <f>Monthly!M140</f>
        <v>0</v>
      </c>
      <c r="L99" s="382">
        <f>Monthly!N140</f>
        <v>0</v>
      </c>
      <c r="M99" s="382">
        <f>Monthly!O140</f>
        <v>0</v>
      </c>
      <c r="N99" s="382">
        <f>Monthly!P140</f>
        <v>0</v>
      </c>
      <c r="O99" s="382">
        <f>Monthly!Q140</f>
        <v>0</v>
      </c>
      <c r="P99" s="382">
        <f>Monthly!R140</f>
        <v>0</v>
      </c>
      <c r="Q99" s="382">
        <f>Monthly!S140</f>
        <v>0</v>
      </c>
      <c r="R99" s="382">
        <f>Monthly!T140</f>
        <v>0</v>
      </c>
      <c r="S99" s="382">
        <f>Monthly!U140</f>
        <v>0</v>
      </c>
      <c r="T99" s="382">
        <f>Monthly!V140</f>
        <v>0</v>
      </c>
      <c r="U99" s="382">
        <f>Monthly!W140</f>
        <v>0</v>
      </c>
      <c r="V99" s="382">
        <f>Monthly!X140</f>
        <v>0</v>
      </c>
      <c r="W99" s="382">
        <f>Monthly!Y140</f>
        <v>0</v>
      </c>
      <c r="X99" s="382">
        <f>Monthly!Z140</f>
        <v>0</v>
      </c>
      <c r="Y99" s="382">
        <f>Monthly!AA140</f>
        <v>0</v>
      </c>
      <c r="Z99" s="382">
        <f>Monthly!AB140</f>
        <v>0</v>
      </c>
      <c r="AA99" s="382">
        <f>Monthly!AC140</f>
        <v>0</v>
      </c>
      <c r="AB99" s="382">
        <f>Monthly!AD140</f>
        <v>0</v>
      </c>
      <c r="AC99" s="382">
        <f>Monthly!AE140</f>
        <v>0</v>
      </c>
      <c r="AD99" s="382">
        <f>Monthly!AF140</f>
        <v>0</v>
      </c>
      <c r="AE99" s="382">
        <f>Monthly!AG140</f>
        <v>0</v>
      </c>
      <c r="AF99" s="382">
        <f>Monthly!AH140</f>
        <v>0</v>
      </c>
      <c r="AG99" s="382">
        <f>Monthly!AI140</f>
        <v>0</v>
      </c>
      <c r="AH99" s="382">
        <f>Monthly!AJ140</f>
        <v>0</v>
      </c>
      <c r="AI99" s="382">
        <f>Monthly!AK140</f>
        <v>0</v>
      </c>
      <c r="AJ99" s="382">
        <f>Monthly!AL140</f>
        <v>0</v>
      </c>
      <c r="AK99" s="382">
        <f>Monthly!AM140</f>
        <v>0</v>
      </c>
      <c r="AL99" s="382">
        <f>Monthly!AN140</f>
        <v>0</v>
      </c>
      <c r="AM99" s="382">
        <f>Monthly!AO140</f>
        <v>0</v>
      </c>
      <c r="AN99" s="382">
        <f>Monthly!AP140</f>
        <v>0</v>
      </c>
      <c r="AO99" s="382">
        <f>Monthly!AQ140</f>
        <v>0</v>
      </c>
      <c r="AP99" s="382">
        <f>Monthly!AR140</f>
        <v>0</v>
      </c>
      <c r="AQ99" s="382">
        <f>Monthly!AS140</f>
        <v>0</v>
      </c>
      <c r="AR99" s="382">
        <f>Monthly!AT140</f>
        <v>0</v>
      </c>
      <c r="AS99" s="382">
        <f>Monthly!AU140</f>
        <v>0</v>
      </c>
      <c r="AT99" s="382">
        <f>Monthly!AV140</f>
        <v>0</v>
      </c>
      <c r="AU99" s="382">
        <f>Monthly!AW140</f>
        <v>0</v>
      </c>
      <c r="AV99" s="382">
        <f>Monthly!AX140</f>
        <v>0</v>
      </c>
      <c r="AW99" s="382">
        <f>Monthly!AY140</f>
        <v>0</v>
      </c>
      <c r="AX99" s="382">
        <f>Monthly!AZ140</f>
        <v>0</v>
      </c>
      <c r="AY99" s="382">
        <f>Monthly!BA140</f>
        <v>0</v>
      </c>
      <c r="AZ99" s="382">
        <f>Monthly!BB140</f>
        <v>0</v>
      </c>
      <c r="BA99" s="382">
        <f>Monthly!BC140</f>
        <v>0</v>
      </c>
      <c r="BB99" s="382">
        <f>Monthly!BD140</f>
        <v>0</v>
      </c>
      <c r="BC99" s="382">
        <f>Monthly!BE140</f>
        <v>0</v>
      </c>
      <c r="BD99" s="382">
        <f>Monthly!BF140</f>
        <v>0</v>
      </c>
      <c r="BE99" s="382">
        <f>Monthly!BG140</f>
        <v>0</v>
      </c>
      <c r="BF99" s="382">
        <f>Monthly!BH140</f>
        <v>0</v>
      </c>
      <c r="BG99" s="382">
        <f>Monthly!BI140</f>
        <v>0</v>
      </c>
      <c r="BH99" s="382">
        <f>Monthly!BJ140</f>
        <v>0</v>
      </c>
      <c r="BI99" s="382">
        <f>Monthly!BK140</f>
        <v>0</v>
      </c>
      <c r="BJ99" s="382">
        <f>Monthly!BL140</f>
        <v>0</v>
      </c>
      <c r="BK99" s="382">
        <f>Monthly!BM140</f>
        <v>0</v>
      </c>
      <c r="BL99" s="382">
        <f>Monthly!BN140</f>
        <v>0</v>
      </c>
      <c r="BM99" s="382">
        <f>Monthly!BO140</f>
        <v>0</v>
      </c>
      <c r="BN99" s="382">
        <f>Monthly!BP140</f>
        <v>0</v>
      </c>
      <c r="BO99" s="382">
        <f>Monthly!BQ140</f>
        <v>0</v>
      </c>
      <c r="BP99" s="382">
        <f>Monthly!BR140</f>
        <v>0</v>
      </c>
      <c r="BQ99" s="382">
        <f>Monthly!BS140</f>
        <v>0</v>
      </c>
      <c r="BR99" s="382">
        <f>Monthly!BT140</f>
        <v>0</v>
      </c>
      <c r="BS99" s="382">
        <f>Monthly!BU140</f>
        <v>0</v>
      </c>
      <c r="BT99" s="382">
        <f>Monthly!BV140</f>
        <v>0</v>
      </c>
      <c r="BU99" s="382">
        <f>Monthly!BW140</f>
        <v>0</v>
      </c>
      <c r="BV99" s="382">
        <f>Monthly!BX140</f>
        <v>0</v>
      </c>
      <c r="BW99" s="382">
        <f>Monthly!BY140</f>
        <v>0</v>
      </c>
      <c r="BX99" s="382">
        <f>Monthly!BZ140</f>
        <v>0</v>
      </c>
      <c r="BY99" s="382">
        <f>Monthly!CA140</f>
        <v>0</v>
      </c>
      <c r="BZ99" s="382">
        <f>Monthly!CB140</f>
        <v>0</v>
      </c>
      <c r="CA99" s="382">
        <f>Monthly!CC140</f>
        <v>0</v>
      </c>
      <c r="CB99" s="382">
        <f>Monthly!CD140</f>
        <v>0</v>
      </c>
      <c r="CC99" s="382">
        <f>Monthly!CE140</f>
        <v>0</v>
      </c>
      <c r="CD99" s="382">
        <f>Monthly!CF140</f>
        <v>0</v>
      </c>
      <c r="CE99" s="382">
        <f>Monthly!CG140</f>
        <v>0</v>
      </c>
      <c r="CF99" s="382">
        <f>Monthly!CH140</f>
        <v>0</v>
      </c>
      <c r="CG99" s="382">
        <f>Monthly!CI140</f>
        <v>0</v>
      </c>
      <c r="CH99" s="382">
        <f>Monthly!CJ140</f>
        <v>0</v>
      </c>
      <c r="CI99" s="382">
        <f>Monthly!CK140</f>
        <v>0</v>
      </c>
      <c r="CJ99" s="382">
        <f>Monthly!CL140</f>
        <v>0</v>
      </c>
      <c r="CK99" s="382">
        <f>Monthly!CM140</f>
        <v>0</v>
      </c>
      <c r="CL99" s="382">
        <f>Monthly!CN140</f>
        <v>0</v>
      </c>
      <c r="CM99" s="382">
        <f>Monthly!CO140</f>
        <v>0</v>
      </c>
      <c r="CN99" s="382">
        <f>Monthly!CP140</f>
        <v>0</v>
      </c>
      <c r="CO99" s="382">
        <f>Monthly!CQ140</f>
        <v>0</v>
      </c>
      <c r="CP99" s="382">
        <f>Monthly!CR140</f>
        <v>0</v>
      </c>
      <c r="CQ99" s="382">
        <f>Monthly!CS140</f>
        <v>0</v>
      </c>
      <c r="CR99" s="382">
        <f>Monthly!CT140</f>
        <v>0</v>
      </c>
      <c r="CS99" s="382">
        <f>Monthly!CU140</f>
        <v>0</v>
      </c>
      <c r="CT99" s="382">
        <f>Monthly!CV140</f>
        <v>0</v>
      </c>
      <c r="CU99" s="382">
        <f>Monthly!CW140</f>
        <v>0</v>
      </c>
      <c r="CV99" s="382">
        <f>Monthly!CX140</f>
        <v>0</v>
      </c>
      <c r="CW99" s="382">
        <f>Monthly!CY140</f>
        <v>0</v>
      </c>
      <c r="CX99" s="382">
        <f>Monthly!CZ140</f>
        <v>0</v>
      </c>
      <c r="CY99" s="382">
        <f>Monthly!DA140</f>
        <v>0</v>
      </c>
      <c r="CZ99" s="382">
        <f>Monthly!DB140</f>
        <v>0</v>
      </c>
      <c r="DA99" s="382">
        <f>Monthly!DC140</f>
        <v>0</v>
      </c>
      <c r="DB99" s="382">
        <f>Monthly!DD140</f>
        <v>0</v>
      </c>
      <c r="DC99" s="382">
        <f>Monthly!DE140</f>
        <v>0</v>
      </c>
      <c r="DD99" s="382">
        <f>Monthly!DF140</f>
        <v>0</v>
      </c>
      <c r="DE99" s="382">
        <f>Monthly!DG140</f>
        <v>0</v>
      </c>
      <c r="DF99" s="382">
        <f>Monthly!DH140</f>
        <v>0</v>
      </c>
      <c r="DG99" s="382">
        <f>Monthly!DI140</f>
        <v>0</v>
      </c>
      <c r="DH99" s="382">
        <f>Monthly!DJ140</f>
        <v>0</v>
      </c>
      <c r="DI99" s="382">
        <f>Monthly!DK140</f>
        <v>0</v>
      </c>
      <c r="DJ99" s="382">
        <f>Monthly!DL140</f>
        <v>0</v>
      </c>
      <c r="DK99" s="382">
        <f>Monthly!DM140</f>
        <v>0</v>
      </c>
      <c r="DL99" s="382">
        <f>Monthly!DN140</f>
        <v>0</v>
      </c>
      <c r="DM99" s="359"/>
      <c r="DN99" s="425">
        <f>SUM(I99:DL99)</f>
        <v>0</v>
      </c>
      <c r="DO99" s="330"/>
    </row>
    <row r="100" spans="2:119" x14ac:dyDescent="0.3">
      <c r="B100" s="416"/>
      <c r="C100" s="423"/>
      <c r="D100" s="385"/>
      <c r="E100" s="356" t="s">
        <v>257</v>
      </c>
      <c r="F100" s="356"/>
      <c r="G100" s="356"/>
      <c r="H100" s="356"/>
      <c r="I100" s="381">
        <f>I97+I98-I99</f>
        <v>178.33373333333373</v>
      </c>
      <c r="J100" s="381">
        <f t="shared" ref="J100:AF100" si="755">J97+J98-J99</f>
        <v>356.66746666666745</v>
      </c>
      <c r="K100" s="381">
        <f t="shared" si="755"/>
        <v>535.00120000000118</v>
      </c>
      <c r="L100" s="381">
        <f t="shared" si="755"/>
        <v>713.3349333333349</v>
      </c>
      <c r="M100" s="381">
        <f t="shared" si="755"/>
        <v>891.66866666666863</v>
      </c>
      <c r="N100" s="381">
        <f t="shared" si="755"/>
        <v>1070.0024000000024</v>
      </c>
      <c r="O100" s="381">
        <f t="shared" si="755"/>
        <v>1248.336133333336</v>
      </c>
      <c r="P100" s="381">
        <f t="shared" si="755"/>
        <v>1426.6698666666698</v>
      </c>
      <c r="Q100" s="381">
        <f t="shared" si="755"/>
        <v>1605.0036000000036</v>
      </c>
      <c r="R100" s="381">
        <f t="shared" si="755"/>
        <v>1783.3373333333375</v>
      </c>
      <c r="S100" s="381">
        <f t="shared" si="755"/>
        <v>1961.6710666666713</v>
      </c>
      <c r="T100" s="917">
        <f t="shared" si="755"/>
        <v>2140.0048000000052</v>
      </c>
      <c r="U100" s="381">
        <f t="shared" si="755"/>
        <v>2318.338533333339</v>
      </c>
      <c r="V100" s="381">
        <f t="shared" si="755"/>
        <v>2496.6722666666728</v>
      </c>
      <c r="W100" s="381">
        <f t="shared" si="755"/>
        <v>2675.0060000000067</v>
      </c>
      <c r="X100" s="381">
        <f t="shared" si="755"/>
        <v>2853.3397333333405</v>
      </c>
      <c r="Y100" s="381">
        <f t="shared" si="755"/>
        <v>3031.6734666666744</v>
      </c>
      <c r="Z100" s="381">
        <f t="shared" si="755"/>
        <v>3210.0072000000082</v>
      </c>
      <c r="AA100" s="381">
        <f t="shared" si="755"/>
        <v>3388.340933333342</v>
      </c>
      <c r="AB100" s="381">
        <f t="shared" si="755"/>
        <v>3566.6746666666759</v>
      </c>
      <c r="AC100" s="381">
        <f t="shared" si="755"/>
        <v>3745.0084000000097</v>
      </c>
      <c r="AD100" s="381">
        <f t="shared" si="755"/>
        <v>3923.3421333333436</v>
      </c>
      <c r="AE100" s="381">
        <f t="shared" si="755"/>
        <v>4101.6758666666774</v>
      </c>
      <c r="AF100" s="917">
        <f t="shared" si="755"/>
        <v>4280.0096000000112</v>
      </c>
      <c r="AG100" s="381">
        <f t="shared" ref="AG100:AI100" si="756">AG97+AG98-AG99</f>
        <v>4458.3433333333451</v>
      </c>
      <c r="AH100" s="381">
        <f t="shared" si="756"/>
        <v>4636.6770666666789</v>
      </c>
      <c r="AI100" s="381">
        <f t="shared" si="756"/>
        <v>4815.0108000000128</v>
      </c>
      <c r="AJ100" s="381">
        <f t="shared" ref="AJ100:BD100" si="757">AJ97+AJ98-AJ99</f>
        <v>4993.3445333333466</v>
      </c>
      <c r="AK100" s="381">
        <f t="shared" si="757"/>
        <v>5171.6782666666804</v>
      </c>
      <c r="AL100" s="381">
        <f t="shared" si="757"/>
        <v>5350.0120000000143</v>
      </c>
      <c r="AM100" s="381">
        <f t="shared" si="757"/>
        <v>5528.3457333333481</v>
      </c>
      <c r="AN100" s="381">
        <f t="shared" si="757"/>
        <v>5706.6794666666819</v>
      </c>
      <c r="AO100" s="381">
        <f t="shared" si="757"/>
        <v>5885.0132000000158</v>
      </c>
      <c r="AP100" s="381">
        <f t="shared" si="757"/>
        <v>6063.3469333333496</v>
      </c>
      <c r="AQ100" s="381">
        <f t="shared" si="757"/>
        <v>6241.6806666666835</v>
      </c>
      <c r="AR100" s="917">
        <f t="shared" si="757"/>
        <v>6420.0144000000173</v>
      </c>
      <c r="AS100" s="381">
        <f t="shared" si="757"/>
        <v>6598.3481333333511</v>
      </c>
      <c r="AT100" s="381">
        <f t="shared" si="757"/>
        <v>6776.681866666685</v>
      </c>
      <c r="AU100" s="381">
        <f t="shared" si="757"/>
        <v>6955.0156000000188</v>
      </c>
      <c r="AV100" s="381">
        <f t="shared" si="757"/>
        <v>7133.3493333333527</v>
      </c>
      <c r="AW100" s="381">
        <f t="shared" si="757"/>
        <v>7311.6830666666865</v>
      </c>
      <c r="AX100" s="381">
        <f t="shared" si="757"/>
        <v>7490.0168000000203</v>
      </c>
      <c r="AY100" s="381">
        <f t="shared" si="757"/>
        <v>7668.3505333333542</v>
      </c>
      <c r="AZ100" s="381">
        <f t="shared" si="757"/>
        <v>7846.684266666688</v>
      </c>
      <c r="BA100" s="381">
        <f t="shared" si="757"/>
        <v>8025.0180000000219</v>
      </c>
      <c r="BB100" s="381">
        <f t="shared" si="757"/>
        <v>8203.3517333333548</v>
      </c>
      <c r="BC100" s="381">
        <f t="shared" si="757"/>
        <v>8381.6854666666877</v>
      </c>
      <c r="BD100" s="917">
        <f t="shared" si="757"/>
        <v>8560.0192000000206</v>
      </c>
      <c r="BE100" s="381">
        <f t="shared" ref="BE100:CB100" si="758">BE97+BE98-BE99</f>
        <v>8738.3529333333536</v>
      </c>
      <c r="BF100" s="381">
        <f t="shared" si="758"/>
        <v>8916.6866666666865</v>
      </c>
      <c r="BG100" s="381">
        <f t="shared" si="758"/>
        <v>9095.0204000000194</v>
      </c>
      <c r="BH100" s="381">
        <f t="shared" si="758"/>
        <v>9273.3541333333524</v>
      </c>
      <c r="BI100" s="381">
        <f t="shared" si="758"/>
        <v>9451.6878666666853</v>
      </c>
      <c r="BJ100" s="381">
        <f t="shared" si="758"/>
        <v>9630.0216000000182</v>
      </c>
      <c r="BK100" s="381">
        <f t="shared" si="758"/>
        <v>9808.3553333333512</v>
      </c>
      <c r="BL100" s="381">
        <f t="shared" si="758"/>
        <v>9986.6890666666841</v>
      </c>
      <c r="BM100" s="381">
        <f t="shared" si="758"/>
        <v>10165.022800000017</v>
      </c>
      <c r="BN100" s="381">
        <f t="shared" si="758"/>
        <v>10343.35653333335</v>
      </c>
      <c r="BO100" s="381">
        <f t="shared" si="758"/>
        <v>10521.690266666683</v>
      </c>
      <c r="BP100" s="917">
        <f t="shared" si="758"/>
        <v>10700.024000000016</v>
      </c>
      <c r="BQ100" s="381">
        <f t="shared" si="758"/>
        <v>10878.357733333349</v>
      </c>
      <c r="BR100" s="381">
        <f t="shared" si="758"/>
        <v>11056.691466666682</v>
      </c>
      <c r="BS100" s="381">
        <f t="shared" si="758"/>
        <v>11235.025200000015</v>
      </c>
      <c r="BT100" s="381">
        <f t="shared" si="758"/>
        <v>11413.358933333348</v>
      </c>
      <c r="BU100" s="381">
        <f t="shared" si="758"/>
        <v>11591.69266666668</v>
      </c>
      <c r="BV100" s="381">
        <f t="shared" si="758"/>
        <v>11770.026400000013</v>
      </c>
      <c r="BW100" s="381">
        <f t="shared" si="758"/>
        <v>11948.360133333346</v>
      </c>
      <c r="BX100" s="381">
        <f t="shared" si="758"/>
        <v>12126.693866666679</v>
      </c>
      <c r="BY100" s="381">
        <f t="shared" si="758"/>
        <v>12305.027600000012</v>
      </c>
      <c r="BZ100" s="381">
        <f t="shared" si="758"/>
        <v>12483.361333333345</v>
      </c>
      <c r="CA100" s="381">
        <f t="shared" si="758"/>
        <v>12661.695066666678</v>
      </c>
      <c r="CB100" s="917">
        <f t="shared" si="758"/>
        <v>12840.028800000011</v>
      </c>
      <c r="CC100" s="381">
        <f t="shared" ref="CC100:CZ100" si="759">CC97+CC98-CC99</f>
        <v>13018.362533333344</v>
      </c>
      <c r="CD100" s="381">
        <f t="shared" si="759"/>
        <v>13196.696266666677</v>
      </c>
      <c r="CE100" s="381">
        <f t="shared" si="759"/>
        <v>13375.03000000001</v>
      </c>
      <c r="CF100" s="381">
        <f t="shared" si="759"/>
        <v>13553.363733333343</v>
      </c>
      <c r="CG100" s="381">
        <f t="shared" si="759"/>
        <v>13731.697466666676</v>
      </c>
      <c r="CH100" s="381">
        <f t="shared" si="759"/>
        <v>13910.031200000009</v>
      </c>
      <c r="CI100" s="381">
        <f t="shared" si="759"/>
        <v>14088.364933333341</v>
      </c>
      <c r="CJ100" s="381">
        <f t="shared" si="759"/>
        <v>14266.698666666674</v>
      </c>
      <c r="CK100" s="381">
        <f t="shared" si="759"/>
        <v>14445.032400000007</v>
      </c>
      <c r="CL100" s="381">
        <f t="shared" si="759"/>
        <v>14623.36613333334</v>
      </c>
      <c r="CM100" s="381">
        <f t="shared" si="759"/>
        <v>14801.699866666673</v>
      </c>
      <c r="CN100" s="917">
        <f t="shared" si="759"/>
        <v>14980.033600000006</v>
      </c>
      <c r="CO100" s="381">
        <f t="shared" si="759"/>
        <v>15158.367333333339</v>
      </c>
      <c r="CP100" s="381">
        <f t="shared" si="759"/>
        <v>15336.701066666672</v>
      </c>
      <c r="CQ100" s="381">
        <f t="shared" si="759"/>
        <v>15515.034800000005</v>
      </c>
      <c r="CR100" s="381">
        <f t="shared" si="759"/>
        <v>15693.368533333338</v>
      </c>
      <c r="CS100" s="381">
        <f t="shared" si="759"/>
        <v>15871.702266666671</v>
      </c>
      <c r="CT100" s="381">
        <f t="shared" si="759"/>
        <v>16050.036000000004</v>
      </c>
      <c r="CU100" s="381">
        <f t="shared" si="759"/>
        <v>16228.369733333337</v>
      </c>
      <c r="CV100" s="381">
        <f t="shared" si="759"/>
        <v>16406.70346666667</v>
      </c>
      <c r="CW100" s="381">
        <f t="shared" si="759"/>
        <v>16585.037200000002</v>
      </c>
      <c r="CX100" s="381">
        <f t="shared" si="759"/>
        <v>16763.370933333335</v>
      </c>
      <c r="CY100" s="381">
        <f t="shared" si="759"/>
        <v>16941.704666666668</v>
      </c>
      <c r="CZ100" s="917">
        <f t="shared" si="759"/>
        <v>17120.038400000001</v>
      </c>
      <c r="DA100" s="381">
        <f t="shared" ref="DA100:DL100" si="760">DA97+DA98-DA99</f>
        <v>17298.372133333334</v>
      </c>
      <c r="DB100" s="381">
        <f t="shared" si="760"/>
        <v>17476.705866666667</v>
      </c>
      <c r="DC100" s="381">
        <f t="shared" si="760"/>
        <v>17655.0396</v>
      </c>
      <c r="DD100" s="381">
        <f t="shared" si="760"/>
        <v>17833.373333333333</v>
      </c>
      <c r="DE100" s="381">
        <f t="shared" si="760"/>
        <v>18011.707066666666</v>
      </c>
      <c r="DF100" s="381">
        <f t="shared" si="760"/>
        <v>18190.040799999999</v>
      </c>
      <c r="DG100" s="381">
        <f t="shared" si="760"/>
        <v>18368.374533333332</v>
      </c>
      <c r="DH100" s="381">
        <f t="shared" si="760"/>
        <v>18546.708266666665</v>
      </c>
      <c r="DI100" s="381">
        <f t="shared" si="760"/>
        <v>18725.041999999998</v>
      </c>
      <c r="DJ100" s="381">
        <f t="shared" si="760"/>
        <v>18903.375733333331</v>
      </c>
      <c r="DK100" s="381">
        <f t="shared" si="760"/>
        <v>19081.709466666664</v>
      </c>
      <c r="DL100" s="381">
        <f t="shared" si="760"/>
        <v>19260.043199999996</v>
      </c>
      <c r="DM100" s="356"/>
      <c r="DN100" s="424"/>
      <c r="DO100" s="330"/>
    </row>
    <row r="101" spans="2:119" x14ac:dyDescent="0.3">
      <c r="B101" s="416"/>
      <c r="C101" s="423"/>
      <c r="D101" s="385"/>
      <c r="E101" s="356"/>
      <c r="F101" s="356"/>
      <c r="G101" s="356"/>
      <c r="H101" s="356"/>
      <c r="I101" s="356"/>
      <c r="J101" s="356"/>
      <c r="K101" s="356"/>
      <c r="L101" s="356"/>
      <c r="M101" s="356"/>
      <c r="N101" s="356"/>
      <c r="O101" s="356"/>
      <c r="P101" s="356"/>
      <c r="Q101" s="356"/>
      <c r="R101" s="356"/>
      <c r="S101" s="356"/>
      <c r="T101" s="921"/>
      <c r="U101" s="356"/>
      <c r="V101" s="356"/>
      <c r="W101" s="356"/>
      <c r="X101" s="356"/>
      <c r="Y101" s="356"/>
      <c r="Z101" s="356"/>
      <c r="AA101" s="356"/>
      <c r="AB101" s="356"/>
      <c r="AC101" s="356"/>
      <c r="AD101" s="356"/>
      <c r="AE101" s="356"/>
      <c r="AF101" s="921"/>
      <c r="AG101" s="356"/>
      <c r="AH101" s="356"/>
      <c r="AI101" s="356"/>
      <c r="AJ101" s="356"/>
      <c r="AK101" s="356"/>
      <c r="AL101" s="356"/>
      <c r="AM101" s="356"/>
      <c r="AN101" s="356"/>
      <c r="AO101" s="356"/>
      <c r="AP101" s="356"/>
      <c r="AQ101" s="356"/>
      <c r="AR101" s="921"/>
      <c r="AS101" s="356"/>
      <c r="AT101" s="356"/>
      <c r="AU101" s="356"/>
      <c r="AV101" s="356"/>
      <c r="AW101" s="356"/>
      <c r="AX101" s="356"/>
      <c r="AY101" s="356"/>
      <c r="AZ101" s="356"/>
      <c r="BA101" s="356"/>
      <c r="BB101" s="356"/>
      <c r="BC101" s="356"/>
      <c r="BD101" s="921"/>
      <c r="BE101" s="356"/>
      <c r="BF101" s="356"/>
      <c r="BG101" s="356"/>
      <c r="BH101" s="356"/>
      <c r="BI101" s="356"/>
      <c r="BJ101" s="356"/>
      <c r="BK101" s="356"/>
      <c r="BL101" s="356"/>
      <c r="BM101" s="356"/>
      <c r="BN101" s="356"/>
      <c r="BO101" s="356"/>
      <c r="BP101" s="921"/>
      <c r="BQ101" s="356"/>
      <c r="BR101" s="356"/>
      <c r="BS101" s="356"/>
      <c r="BT101" s="356"/>
      <c r="BU101" s="356"/>
      <c r="BV101" s="356"/>
      <c r="BW101" s="356"/>
      <c r="BX101" s="356"/>
      <c r="BY101" s="356"/>
      <c r="BZ101" s="356"/>
      <c r="CA101" s="356"/>
      <c r="CB101" s="921"/>
      <c r="CC101" s="356"/>
      <c r="CD101" s="356"/>
      <c r="CE101" s="356"/>
      <c r="CF101" s="356"/>
      <c r="CG101" s="356"/>
      <c r="CH101" s="356"/>
      <c r="CI101" s="356"/>
      <c r="CJ101" s="356"/>
      <c r="CK101" s="356"/>
      <c r="CL101" s="356"/>
      <c r="CM101" s="356"/>
      <c r="CN101" s="921"/>
      <c r="CO101" s="356"/>
      <c r="CP101" s="356"/>
      <c r="CQ101" s="356"/>
      <c r="CR101" s="356"/>
      <c r="CS101" s="356"/>
      <c r="CT101" s="356"/>
      <c r="CU101" s="356"/>
      <c r="CV101" s="356"/>
      <c r="CW101" s="356"/>
      <c r="CX101" s="356"/>
      <c r="CY101" s="356"/>
      <c r="CZ101" s="921"/>
      <c r="DA101" s="356"/>
      <c r="DB101" s="356"/>
      <c r="DC101" s="356"/>
      <c r="DD101" s="356"/>
      <c r="DE101" s="356"/>
      <c r="DF101" s="356"/>
      <c r="DG101" s="356"/>
      <c r="DH101" s="356"/>
      <c r="DI101" s="356"/>
      <c r="DJ101" s="356"/>
      <c r="DK101" s="356"/>
      <c r="DL101" s="356"/>
      <c r="DM101" s="356"/>
      <c r="DN101" s="424"/>
      <c r="DO101" s="330"/>
    </row>
    <row r="102" spans="2:119" x14ac:dyDescent="0.3">
      <c r="B102" s="416"/>
      <c r="C102" s="423"/>
      <c r="D102" s="385" t="s">
        <v>365</v>
      </c>
      <c r="E102" s="356"/>
      <c r="F102" s="356"/>
      <c r="G102" s="356"/>
      <c r="H102" s="356"/>
      <c r="I102" s="381">
        <f>Monthly!K153</f>
        <v>0</v>
      </c>
      <c r="J102" s="381">
        <f>Monthly!L153</f>
        <v>0</v>
      </c>
      <c r="K102" s="381">
        <f>Monthly!M153</f>
        <v>0</v>
      </c>
      <c r="L102" s="381">
        <f>Monthly!N153</f>
        <v>0</v>
      </c>
      <c r="M102" s="381">
        <f>Monthly!O153</f>
        <v>0</v>
      </c>
      <c r="N102" s="381">
        <f>Monthly!P153</f>
        <v>0</v>
      </c>
      <c r="O102" s="381">
        <f>Monthly!Q153</f>
        <v>0</v>
      </c>
      <c r="P102" s="381">
        <f>Monthly!R153</f>
        <v>0</v>
      </c>
      <c r="Q102" s="381">
        <f>Monthly!S153</f>
        <v>0</v>
      </c>
      <c r="R102" s="381">
        <f>Monthly!T153</f>
        <v>0</v>
      </c>
      <c r="S102" s="381">
        <f>Monthly!U153</f>
        <v>0</v>
      </c>
      <c r="T102" s="381">
        <f>Monthly!V153</f>
        <v>0</v>
      </c>
      <c r="U102" s="381">
        <f>Monthly!W153</f>
        <v>0</v>
      </c>
      <c r="V102" s="381">
        <f>Monthly!X153</f>
        <v>0</v>
      </c>
      <c r="W102" s="381">
        <f>Monthly!Y153</f>
        <v>0</v>
      </c>
      <c r="X102" s="381">
        <f>Monthly!Z153</f>
        <v>0</v>
      </c>
      <c r="Y102" s="381">
        <f>Monthly!AA153</f>
        <v>0</v>
      </c>
      <c r="Z102" s="381">
        <f>Monthly!AB153</f>
        <v>0</v>
      </c>
      <c r="AA102" s="381">
        <f>Monthly!AC153</f>
        <v>0</v>
      </c>
      <c r="AB102" s="381">
        <f>Monthly!AD153</f>
        <v>0</v>
      </c>
      <c r="AC102" s="381">
        <f>Monthly!AE153</f>
        <v>0</v>
      </c>
      <c r="AD102" s="381">
        <f>Monthly!AF153</f>
        <v>0</v>
      </c>
      <c r="AE102" s="381">
        <f>Monthly!AG153</f>
        <v>0</v>
      </c>
      <c r="AF102" s="381">
        <f>Monthly!AH153</f>
        <v>0</v>
      </c>
      <c r="AG102" s="381">
        <f>Monthly!AI153</f>
        <v>0</v>
      </c>
      <c r="AH102" s="381">
        <f>Monthly!AJ153</f>
        <v>0</v>
      </c>
      <c r="AI102" s="381">
        <f>Monthly!AK153</f>
        <v>0</v>
      </c>
      <c r="AJ102" s="381">
        <f>Monthly!AL153</f>
        <v>0</v>
      </c>
      <c r="AK102" s="381">
        <f>Monthly!AM153</f>
        <v>0</v>
      </c>
      <c r="AL102" s="381">
        <f>Monthly!AN153</f>
        <v>0</v>
      </c>
      <c r="AM102" s="381">
        <f>Monthly!AO153</f>
        <v>0</v>
      </c>
      <c r="AN102" s="381">
        <f>Monthly!AP153</f>
        <v>0</v>
      </c>
      <c r="AO102" s="381">
        <f>Monthly!AQ153</f>
        <v>0</v>
      </c>
      <c r="AP102" s="381">
        <f>Monthly!AR153</f>
        <v>0</v>
      </c>
      <c r="AQ102" s="381">
        <f>Monthly!AS153</f>
        <v>0</v>
      </c>
      <c r="AR102" s="381">
        <f>Monthly!AT153</f>
        <v>0</v>
      </c>
      <c r="AS102" s="381">
        <f>Monthly!AU153</f>
        <v>0</v>
      </c>
      <c r="AT102" s="381">
        <f>Monthly!AV153</f>
        <v>0</v>
      </c>
      <c r="AU102" s="381">
        <f>Monthly!AW153</f>
        <v>0</v>
      </c>
      <c r="AV102" s="381">
        <f>Monthly!AX153</f>
        <v>0</v>
      </c>
      <c r="AW102" s="381">
        <f>Monthly!AY153</f>
        <v>0</v>
      </c>
      <c r="AX102" s="381">
        <f>Monthly!AZ153</f>
        <v>0</v>
      </c>
      <c r="AY102" s="381">
        <f>Monthly!BA153</f>
        <v>0</v>
      </c>
      <c r="AZ102" s="381">
        <f>Monthly!BB153</f>
        <v>0</v>
      </c>
      <c r="BA102" s="381">
        <f>Monthly!BC153</f>
        <v>0</v>
      </c>
      <c r="BB102" s="381">
        <f>Monthly!BD153</f>
        <v>0</v>
      </c>
      <c r="BC102" s="381">
        <f>Monthly!BE153</f>
        <v>0</v>
      </c>
      <c r="BD102" s="381">
        <f>Monthly!BF153</f>
        <v>0</v>
      </c>
      <c r="BE102" s="381">
        <f>Monthly!BG153</f>
        <v>0</v>
      </c>
      <c r="BF102" s="381">
        <f>Monthly!BH153</f>
        <v>0</v>
      </c>
      <c r="BG102" s="381">
        <f>Monthly!BI153</f>
        <v>0</v>
      </c>
      <c r="BH102" s="381">
        <f>Monthly!BJ153</f>
        <v>0</v>
      </c>
      <c r="BI102" s="381">
        <f>Monthly!BK153</f>
        <v>0</v>
      </c>
      <c r="BJ102" s="381">
        <f>Monthly!BL153</f>
        <v>0</v>
      </c>
      <c r="BK102" s="381">
        <f>Monthly!BM153</f>
        <v>0</v>
      </c>
      <c r="BL102" s="381">
        <f>Monthly!BN153</f>
        <v>0</v>
      </c>
      <c r="BM102" s="381">
        <f>Monthly!BO153</f>
        <v>0</v>
      </c>
      <c r="BN102" s="381">
        <f>Monthly!BP153</f>
        <v>0</v>
      </c>
      <c r="BO102" s="381">
        <f>Monthly!BQ153</f>
        <v>0</v>
      </c>
      <c r="BP102" s="381">
        <f>Monthly!BR153</f>
        <v>0</v>
      </c>
      <c r="BQ102" s="381">
        <f>Monthly!BS153</f>
        <v>0</v>
      </c>
      <c r="BR102" s="381">
        <f>Monthly!BT153</f>
        <v>0</v>
      </c>
      <c r="BS102" s="381">
        <f>Monthly!BU153</f>
        <v>0</v>
      </c>
      <c r="BT102" s="381">
        <f>Monthly!BV153</f>
        <v>0</v>
      </c>
      <c r="BU102" s="381">
        <f>Monthly!BW153</f>
        <v>0</v>
      </c>
      <c r="BV102" s="381">
        <f>Monthly!BX153</f>
        <v>0</v>
      </c>
      <c r="BW102" s="381">
        <f>Monthly!BY153</f>
        <v>0</v>
      </c>
      <c r="BX102" s="381">
        <f>Monthly!BZ153</f>
        <v>0</v>
      </c>
      <c r="BY102" s="381">
        <f>Monthly!CA153</f>
        <v>0</v>
      </c>
      <c r="BZ102" s="381">
        <f>Monthly!CB153</f>
        <v>0</v>
      </c>
      <c r="CA102" s="381">
        <f>Monthly!CC153</f>
        <v>0</v>
      </c>
      <c r="CB102" s="381">
        <f>Monthly!CD153</f>
        <v>0</v>
      </c>
      <c r="CC102" s="381">
        <f>Monthly!CE153</f>
        <v>0</v>
      </c>
      <c r="CD102" s="381">
        <f>Monthly!CF153</f>
        <v>0</v>
      </c>
      <c r="CE102" s="381">
        <f>Monthly!CG153</f>
        <v>0</v>
      </c>
      <c r="CF102" s="381">
        <f>Monthly!CH153</f>
        <v>0</v>
      </c>
      <c r="CG102" s="381">
        <f>Monthly!CI153</f>
        <v>0</v>
      </c>
      <c r="CH102" s="381">
        <f>Monthly!CJ153</f>
        <v>0</v>
      </c>
      <c r="CI102" s="381">
        <f>Monthly!CK153</f>
        <v>0</v>
      </c>
      <c r="CJ102" s="381">
        <f>Monthly!CL153</f>
        <v>0</v>
      </c>
      <c r="CK102" s="381">
        <f>Monthly!CM153</f>
        <v>0</v>
      </c>
      <c r="CL102" s="381">
        <f>Monthly!CN153</f>
        <v>0</v>
      </c>
      <c r="CM102" s="381">
        <f>Monthly!CO153</f>
        <v>0</v>
      </c>
      <c r="CN102" s="381">
        <f>Monthly!CP153</f>
        <v>0</v>
      </c>
      <c r="CO102" s="381">
        <f>Monthly!CQ153</f>
        <v>0</v>
      </c>
      <c r="CP102" s="381">
        <f>Monthly!CR153</f>
        <v>0</v>
      </c>
      <c r="CQ102" s="381">
        <f>Monthly!CS153</f>
        <v>0</v>
      </c>
      <c r="CR102" s="381">
        <f>Monthly!CT153</f>
        <v>0</v>
      </c>
      <c r="CS102" s="381">
        <f>Monthly!CU153</f>
        <v>0</v>
      </c>
      <c r="CT102" s="381">
        <f>Monthly!CV153</f>
        <v>0</v>
      </c>
      <c r="CU102" s="381">
        <f>Monthly!CW153</f>
        <v>0</v>
      </c>
      <c r="CV102" s="381">
        <f>Monthly!CX153</f>
        <v>0</v>
      </c>
      <c r="CW102" s="381">
        <f>Monthly!CY153</f>
        <v>0</v>
      </c>
      <c r="CX102" s="381">
        <f>Monthly!CZ153</f>
        <v>0</v>
      </c>
      <c r="CY102" s="381">
        <f>Monthly!DA153</f>
        <v>0</v>
      </c>
      <c r="CZ102" s="381">
        <f>Monthly!DB153</f>
        <v>0</v>
      </c>
      <c r="DA102" s="381">
        <f>Monthly!DC153</f>
        <v>0</v>
      </c>
      <c r="DB102" s="381">
        <f>Monthly!DD153</f>
        <v>0</v>
      </c>
      <c r="DC102" s="381">
        <f>Monthly!DE153</f>
        <v>0</v>
      </c>
      <c r="DD102" s="381">
        <f>Monthly!DF153</f>
        <v>0</v>
      </c>
      <c r="DE102" s="381">
        <f>Monthly!DG153</f>
        <v>0</v>
      </c>
      <c r="DF102" s="381">
        <f>Monthly!DH153</f>
        <v>0</v>
      </c>
      <c r="DG102" s="381">
        <f>Monthly!DI153</f>
        <v>0</v>
      </c>
      <c r="DH102" s="381">
        <f>Monthly!DJ153</f>
        <v>0</v>
      </c>
      <c r="DI102" s="381">
        <f>Monthly!DK153</f>
        <v>0</v>
      </c>
      <c r="DJ102" s="381">
        <f>Monthly!DL153</f>
        <v>0</v>
      </c>
      <c r="DK102" s="381">
        <f>Monthly!DM153</f>
        <v>0</v>
      </c>
      <c r="DL102" s="381">
        <f>Monthly!DN153</f>
        <v>0</v>
      </c>
      <c r="DM102" s="356"/>
      <c r="DN102" s="426">
        <f>SUM(I102:DL102)</f>
        <v>0</v>
      </c>
      <c r="DO102" s="330"/>
    </row>
    <row r="103" spans="2:119" x14ac:dyDescent="0.3">
      <c r="B103" s="416"/>
      <c r="C103" s="423"/>
      <c r="D103" s="385"/>
      <c r="E103" s="356"/>
      <c r="F103" s="356"/>
      <c r="G103" s="356"/>
      <c r="H103" s="356"/>
      <c r="I103" s="356"/>
      <c r="J103" s="356"/>
      <c r="K103" s="356"/>
      <c r="L103" s="356"/>
      <c r="M103" s="356"/>
      <c r="N103" s="356"/>
      <c r="O103" s="356"/>
      <c r="P103" s="356"/>
      <c r="Q103" s="356"/>
      <c r="R103" s="356"/>
      <c r="S103" s="356"/>
      <c r="T103" s="921"/>
      <c r="U103" s="356"/>
      <c r="V103" s="356"/>
      <c r="W103" s="356"/>
      <c r="X103" s="356"/>
      <c r="Y103" s="356"/>
      <c r="Z103" s="356"/>
      <c r="AA103" s="356"/>
      <c r="AB103" s="356"/>
      <c r="AC103" s="356"/>
      <c r="AD103" s="356"/>
      <c r="AE103" s="356"/>
      <c r="AF103" s="921"/>
      <c r="AG103" s="356"/>
      <c r="AH103" s="356"/>
      <c r="AI103" s="356"/>
      <c r="AJ103" s="356"/>
      <c r="AK103" s="356"/>
      <c r="AL103" s="356"/>
      <c r="AM103" s="356"/>
      <c r="AN103" s="356"/>
      <c r="AO103" s="356"/>
      <c r="AP103" s="356"/>
      <c r="AQ103" s="356"/>
      <c r="AR103" s="921"/>
      <c r="AS103" s="356"/>
      <c r="AT103" s="356"/>
      <c r="AU103" s="356"/>
      <c r="AV103" s="356"/>
      <c r="AW103" s="356"/>
      <c r="AX103" s="356"/>
      <c r="AY103" s="356"/>
      <c r="AZ103" s="356"/>
      <c r="BA103" s="356"/>
      <c r="BB103" s="356"/>
      <c r="BC103" s="356"/>
      <c r="BD103" s="921"/>
      <c r="BE103" s="356"/>
      <c r="BF103" s="356"/>
      <c r="BG103" s="356"/>
      <c r="BH103" s="356"/>
      <c r="BI103" s="356"/>
      <c r="BJ103" s="356"/>
      <c r="BK103" s="356"/>
      <c r="BL103" s="356"/>
      <c r="BM103" s="356"/>
      <c r="BN103" s="356"/>
      <c r="BO103" s="356"/>
      <c r="BP103" s="921"/>
      <c r="BQ103" s="356"/>
      <c r="BR103" s="356"/>
      <c r="BS103" s="356"/>
      <c r="BT103" s="356"/>
      <c r="BU103" s="356"/>
      <c r="BV103" s="356"/>
      <c r="BW103" s="356"/>
      <c r="BX103" s="356"/>
      <c r="BY103" s="356"/>
      <c r="BZ103" s="356"/>
      <c r="CA103" s="356"/>
      <c r="CB103" s="921"/>
      <c r="CC103" s="356"/>
      <c r="CD103" s="356"/>
      <c r="CE103" s="356"/>
      <c r="CF103" s="356"/>
      <c r="CG103" s="356"/>
      <c r="CH103" s="356"/>
      <c r="CI103" s="356"/>
      <c r="CJ103" s="356"/>
      <c r="CK103" s="356"/>
      <c r="CL103" s="356"/>
      <c r="CM103" s="356"/>
      <c r="CN103" s="921"/>
      <c r="CO103" s="356"/>
      <c r="CP103" s="356"/>
      <c r="CQ103" s="356"/>
      <c r="CR103" s="356"/>
      <c r="CS103" s="356"/>
      <c r="CT103" s="356"/>
      <c r="CU103" s="356"/>
      <c r="CV103" s="356"/>
      <c r="CW103" s="356"/>
      <c r="CX103" s="356"/>
      <c r="CY103" s="356"/>
      <c r="CZ103" s="921"/>
      <c r="DA103" s="356"/>
      <c r="DB103" s="356"/>
      <c r="DC103" s="356"/>
      <c r="DD103" s="356"/>
      <c r="DE103" s="356"/>
      <c r="DF103" s="356"/>
      <c r="DG103" s="356"/>
      <c r="DH103" s="356"/>
      <c r="DI103" s="356"/>
      <c r="DJ103" s="356"/>
      <c r="DK103" s="356"/>
      <c r="DL103" s="356"/>
      <c r="DM103" s="356"/>
      <c r="DN103" s="424"/>
      <c r="DO103" s="330"/>
    </row>
    <row r="104" spans="2:119" x14ac:dyDescent="0.3">
      <c r="B104" s="416"/>
      <c r="C104" s="423"/>
      <c r="D104" s="385" t="s">
        <v>367</v>
      </c>
      <c r="E104" s="356"/>
      <c r="F104" s="356"/>
      <c r="G104" s="356"/>
      <c r="H104" s="356"/>
      <c r="I104" s="356"/>
      <c r="J104" s="356"/>
      <c r="K104" s="356"/>
      <c r="L104" s="356"/>
      <c r="M104" s="356"/>
      <c r="N104" s="356"/>
      <c r="O104" s="356"/>
      <c r="P104" s="356"/>
      <c r="Q104" s="356"/>
      <c r="R104" s="356"/>
      <c r="S104" s="356"/>
      <c r="T104" s="921"/>
      <c r="U104" s="356"/>
      <c r="V104" s="356"/>
      <c r="W104" s="356"/>
      <c r="X104" s="356"/>
      <c r="Y104" s="356"/>
      <c r="Z104" s="356"/>
      <c r="AA104" s="356"/>
      <c r="AB104" s="356"/>
      <c r="AC104" s="356"/>
      <c r="AD104" s="356"/>
      <c r="AE104" s="356"/>
      <c r="AF104" s="921"/>
      <c r="AG104" s="356"/>
      <c r="AH104" s="356"/>
      <c r="AI104" s="356"/>
      <c r="AJ104" s="356"/>
      <c r="AK104" s="356"/>
      <c r="AL104" s="356"/>
      <c r="AM104" s="356"/>
      <c r="AN104" s="356"/>
      <c r="AO104" s="356"/>
      <c r="AP104" s="356"/>
      <c r="AQ104" s="356"/>
      <c r="AR104" s="921"/>
      <c r="AS104" s="356"/>
      <c r="AT104" s="356"/>
      <c r="AU104" s="356"/>
      <c r="AV104" s="356"/>
      <c r="AW104" s="356"/>
      <c r="AX104" s="356"/>
      <c r="AY104" s="356"/>
      <c r="AZ104" s="356"/>
      <c r="BA104" s="356"/>
      <c r="BB104" s="356"/>
      <c r="BC104" s="356"/>
      <c r="BD104" s="921"/>
      <c r="BE104" s="356"/>
      <c r="BF104" s="356"/>
      <c r="BG104" s="356"/>
      <c r="BH104" s="356"/>
      <c r="BI104" s="356"/>
      <c r="BJ104" s="356"/>
      <c r="BK104" s="356"/>
      <c r="BL104" s="356"/>
      <c r="BM104" s="356"/>
      <c r="BN104" s="356"/>
      <c r="BO104" s="356"/>
      <c r="BP104" s="921"/>
      <c r="BQ104" s="356"/>
      <c r="BR104" s="356"/>
      <c r="BS104" s="356"/>
      <c r="BT104" s="356"/>
      <c r="BU104" s="356"/>
      <c r="BV104" s="356"/>
      <c r="BW104" s="356"/>
      <c r="BX104" s="356"/>
      <c r="BY104" s="356"/>
      <c r="BZ104" s="356"/>
      <c r="CA104" s="356"/>
      <c r="CB104" s="921"/>
      <c r="CC104" s="356"/>
      <c r="CD104" s="356"/>
      <c r="CE104" s="356"/>
      <c r="CF104" s="356"/>
      <c r="CG104" s="356"/>
      <c r="CH104" s="356"/>
      <c r="CI104" s="356"/>
      <c r="CJ104" s="356"/>
      <c r="CK104" s="356"/>
      <c r="CL104" s="356"/>
      <c r="CM104" s="356"/>
      <c r="CN104" s="921"/>
      <c r="CO104" s="356"/>
      <c r="CP104" s="356"/>
      <c r="CQ104" s="356"/>
      <c r="CR104" s="356"/>
      <c r="CS104" s="356"/>
      <c r="CT104" s="356"/>
      <c r="CU104" s="356"/>
      <c r="CV104" s="356"/>
      <c r="CW104" s="356"/>
      <c r="CX104" s="356"/>
      <c r="CY104" s="356"/>
      <c r="CZ104" s="921"/>
      <c r="DA104" s="356"/>
      <c r="DB104" s="356"/>
      <c r="DC104" s="356"/>
      <c r="DD104" s="356"/>
      <c r="DE104" s="356"/>
      <c r="DF104" s="356"/>
      <c r="DG104" s="356"/>
      <c r="DH104" s="356"/>
      <c r="DI104" s="356"/>
      <c r="DJ104" s="356"/>
      <c r="DK104" s="356"/>
      <c r="DL104" s="356"/>
      <c r="DM104" s="356"/>
      <c r="DN104" s="424"/>
      <c r="DO104" s="330"/>
    </row>
    <row r="105" spans="2:119" x14ac:dyDescent="0.3">
      <c r="B105" s="416"/>
      <c r="C105" s="423"/>
      <c r="D105" s="385"/>
      <c r="E105" s="356" t="s">
        <v>366</v>
      </c>
      <c r="F105" s="356"/>
      <c r="G105" s="356"/>
      <c r="H105" s="512">
        <f>-'Members Capital'!I14</f>
        <v>-1127750.06</v>
      </c>
      <c r="I105" s="381">
        <f t="shared" ref="I105:AF105" si="761">-I92+I93+I99+I102</f>
        <v>0</v>
      </c>
      <c r="J105" s="381">
        <f t="shared" si="761"/>
        <v>0</v>
      </c>
      <c r="K105" s="381">
        <f t="shared" si="761"/>
        <v>0</v>
      </c>
      <c r="L105" s="381">
        <f t="shared" si="761"/>
        <v>0</v>
      </c>
      <c r="M105" s="381">
        <f t="shared" si="761"/>
        <v>0</v>
      </c>
      <c r="N105" s="381">
        <f t="shared" si="761"/>
        <v>0</v>
      </c>
      <c r="O105" s="381">
        <f t="shared" si="761"/>
        <v>0</v>
      </c>
      <c r="P105" s="381">
        <f t="shared" si="761"/>
        <v>0</v>
      </c>
      <c r="Q105" s="381">
        <f t="shared" si="761"/>
        <v>0</v>
      </c>
      <c r="R105" s="381">
        <f t="shared" si="761"/>
        <v>0</v>
      </c>
      <c r="S105" s="381">
        <f t="shared" si="761"/>
        <v>0</v>
      </c>
      <c r="T105" s="917">
        <f t="shared" si="761"/>
        <v>0</v>
      </c>
      <c r="U105" s="381">
        <f t="shared" si="761"/>
        <v>0</v>
      </c>
      <c r="V105" s="381">
        <f t="shared" si="761"/>
        <v>0</v>
      </c>
      <c r="W105" s="381">
        <f t="shared" si="761"/>
        <v>0</v>
      </c>
      <c r="X105" s="381">
        <f t="shared" si="761"/>
        <v>0</v>
      </c>
      <c r="Y105" s="381">
        <f t="shared" si="761"/>
        <v>0</v>
      </c>
      <c r="Z105" s="381">
        <f t="shared" si="761"/>
        <v>0</v>
      </c>
      <c r="AA105" s="381">
        <f t="shared" si="761"/>
        <v>0</v>
      </c>
      <c r="AB105" s="381">
        <f t="shared" si="761"/>
        <v>0</v>
      </c>
      <c r="AC105" s="381">
        <f t="shared" si="761"/>
        <v>0</v>
      </c>
      <c r="AD105" s="381">
        <f t="shared" si="761"/>
        <v>0</v>
      </c>
      <c r="AE105" s="381">
        <f t="shared" si="761"/>
        <v>0</v>
      </c>
      <c r="AF105" s="917">
        <f t="shared" si="761"/>
        <v>0</v>
      </c>
      <c r="AG105" s="381">
        <f t="shared" ref="AG105:AI105" si="762">-AG92+AG93+AG99+AG102</f>
        <v>0</v>
      </c>
      <c r="AH105" s="381">
        <f t="shared" si="762"/>
        <v>0</v>
      </c>
      <c r="AI105" s="381">
        <f t="shared" si="762"/>
        <v>0</v>
      </c>
      <c r="AJ105" s="381">
        <f t="shared" ref="AJ105:BD105" si="763">-AJ92+AJ93+AJ99+AJ102</f>
        <v>0</v>
      </c>
      <c r="AK105" s="381">
        <f t="shared" si="763"/>
        <v>0</v>
      </c>
      <c r="AL105" s="381">
        <f t="shared" si="763"/>
        <v>0</v>
      </c>
      <c r="AM105" s="381">
        <f t="shared" si="763"/>
        <v>0</v>
      </c>
      <c r="AN105" s="381">
        <f t="shared" si="763"/>
        <v>0</v>
      </c>
      <c r="AO105" s="381">
        <f t="shared" si="763"/>
        <v>0</v>
      </c>
      <c r="AP105" s="381">
        <f t="shared" si="763"/>
        <v>0</v>
      </c>
      <c r="AQ105" s="381">
        <f t="shared" si="763"/>
        <v>0</v>
      </c>
      <c r="AR105" s="917">
        <f t="shared" si="763"/>
        <v>0</v>
      </c>
      <c r="AS105" s="381">
        <f t="shared" si="763"/>
        <v>0</v>
      </c>
      <c r="AT105" s="381">
        <f t="shared" si="763"/>
        <v>0</v>
      </c>
      <c r="AU105" s="381">
        <f t="shared" si="763"/>
        <v>0</v>
      </c>
      <c r="AV105" s="381">
        <f t="shared" si="763"/>
        <v>0</v>
      </c>
      <c r="AW105" s="381">
        <f t="shared" si="763"/>
        <v>0</v>
      </c>
      <c r="AX105" s="381">
        <f t="shared" si="763"/>
        <v>0</v>
      </c>
      <c r="AY105" s="381">
        <f t="shared" si="763"/>
        <v>0</v>
      </c>
      <c r="AZ105" s="381">
        <f t="shared" si="763"/>
        <v>0</v>
      </c>
      <c r="BA105" s="381">
        <f t="shared" si="763"/>
        <v>0</v>
      </c>
      <c r="BB105" s="381">
        <f t="shared" si="763"/>
        <v>0</v>
      </c>
      <c r="BC105" s="381">
        <f t="shared" si="763"/>
        <v>0</v>
      </c>
      <c r="BD105" s="917">
        <f t="shared" si="763"/>
        <v>0</v>
      </c>
      <c r="BE105" s="381">
        <f t="shared" ref="BE105:CB105" si="764">-BE92+BE93+BE99+BE102</f>
        <v>0</v>
      </c>
      <c r="BF105" s="381">
        <f t="shared" si="764"/>
        <v>0</v>
      </c>
      <c r="BG105" s="381">
        <f t="shared" si="764"/>
        <v>0</v>
      </c>
      <c r="BH105" s="381">
        <f t="shared" si="764"/>
        <v>0</v>
      </c>
      <c r="BI105" s="381">
        <f t="shared" si="764"/>
        <v>0</v>
      </c>
      <c r="BJ105" s="381">
        <f t="shared" si="764"/>
        <v>0</v>
      </c>
      <c r="BK105" s="381">
        <f t="shared" si="764"/>
        <v>0</v>
      </c>
      <c r="BL105" s="381">
        <f t="shared" si="764"/>
        <v>0</v>
      </c>
      <c r="BM105" s="381">
        <f t="shared" si="764"/>
        <v>0</v>
      </c>
      <c r="BN105" s="381">
        <f t="shared" si="764"/>
        <v>0</v>
      </c>
      <c r="BO105" s="381">
        <f t="shared" si="764"/>
        <v>0</v>
      </c>
      <c r="BP105" s="917">
        <f t="shared" si="764"/>
        <v>0</v>
      </c>
      <c r="BQ105" s="381">
        <f t="shared" si="764"/>
        <v>0</v>
      </c>
      <c r="BR105" s="381">
        <f t="shared" si="764"/>
        <v>0</v>
      </c>
      <c r="BS105" s="381">
        <f t="shared" si="764"/>
        <v>0</v>
      </c>
      <c r="BT105" s="381">
        <f t="shared" si="764"/>
        <v>0</v>
      </c>
      <c r="BU105" s="381">
        <f t="shared" si="764"/>
        <v>0</v>
      </c>
      <c r="BV105" s="381">
        <f t="shared" si="764"/>
        <v>0</v>
      </c>
      <c r="BW105" s="381">
        <f t="shared" si="764"/>
        <v>0</v>
      </c>
      <c r="BX105" s="381">
        <f t="shared" si="764"/>
        <v>0</v>
      </c>
      <c r="BY105" s="381">
        <f t="shared" si="764"/>
        <v>0</v>
      </c>
      <c r="BZ105" s="381">
        <f t="shared" si="764"/>
        <v>0</v>
      </c>
      <c r="CA105" s="381">
        <f t="shared" si="764"/>
        <v>0</v>
      </c>
      <c r="CB105" s="917">
        <f t="shared" si="764"/>
        <v>0</v>
      </c>
      <c r="CC105" s="381">
        <f t="shared" ref="CC105:CZ105" si="765">-CC92+CC93+CC99+CC102</f>
        <v>0</v>
      </c>
      <c r="CD105" s="381">
        <f t="shared" si="765"/>
        <v>0</v>
      </c>
      <c r="CE105" s="381">
        <f t="shared" si="765"/>
        <v>0</v>
      </c>
      <c r="CF105" s="381">
        <f t="shared" si="765"/>
        <v>0</v>
      </c>
      <c r="CG105" s="381">
        <f t="shared" si="765"/>
        <v>0</v>
      </c>
      <c r="CH105" s="381">
        <f t="shared" si="765"/>
        <v>0</v>
      </c>
      <c r="CI105" s="381">
        <f t="shared" si="765"/>
        <v>0</v>
      </c>
      <c r="CJ105" s="381">
        <f t="shared" si="765"/>
        <v>0</v>
      </c>
      <c r="CK105" s="381">
        <f t="shared" si="765"/>
        <v>0</v>
      </c>
      <c r="CL105" s="381">
        <f t="shared" si="765"/>
        <v>0</v>
      </c>
      <c r="CM105" s="381">
        <f t="shared" si="765"/>
        <v>0</v>
      </c>
      <c r="CN105" s="917">
        <f t="shared" si="765"/>
        <v>0</v>
      </c>
      <c r="CO105" s="381">
        <f t="shared" si="765"/>
        <v>0</v>
      </c>
      <c r="CP105" s="381">
        <f t="shared" si="765"/>
        <v>0</v>
      </c>
      <c r="CQ105" s="381">
        <f t="shared" si="765"/>
        <v>0</v>
      </c>
      <c r="CR105" s="381">
        <f t="shared" si="765"/>
        <v>0</v>
      </c>
      <c r="CS105" s="381">
        <f t="shared" si="765"/>
        <v>0</v>
      </c>
      <c r="CT105" s="381">
        <f t="shared" si="765"/>
        <v>0</v>
      </c>
      <c r="CU105" s="381">
        <f t="shared" si="765"/>
        <v>0</v>
      </c>
      <c r="CV105" s="381">
        <f t="shared" si="765"/>
        <v>0</v>
      </c>
      <c r="CW105" s="381">
        <f t="shared" si="765"/>
        <v>0</v>
      </c>
      <c r="CX105" s="381">
        <f t="shared" si="765"/>
        <v>0</v>
      </c>
      <c r="CY105" s="381">
        <f t="shared" si="765"/>
        <v>0</v>
      </c>
      <c r="CZ105" s="917">
        <f t="shared" si="765"/>
        <v>0</v>
      </c>
      <c r="DA105" s="381">
        <f t="shared" ref="DA105:DL105" si="766">-DA92+DA93+DA99+DA102</f>
        <v>0</v>
      </c>
      <c r="DB105" s="381">
        <f t="shared" si="766"/>
        <v>0</v>
      </c>
      <c r="DC105" s="381">
        <f t="shared" si="766"/>
        <v>0</v>
      </c>
      <c r="DD105" s="381">
        <f t="shared" si="766"/>
        <v>0</v>
      </c>
      <c r="DE105" s="381">
        <f t="shared" si="766"/>
        <v>0</v>
      </c>
      <c r="DF105" s="381">
        <f t="shared" si="766"/>
        <v>0</v>
      </c>
      <c r="DG105" s="381">
        <f t="shared" si="766"/>
        <v>0</v>
      </c>
      <c r="DH105" s="381">
        <f t="shared" si="766"/>
        <v>0</v>
      </c>
      <c r="DI105" s="381">
        <f t="shared" si="766"/>
        <v>0</v>
      </c>
      <c r="DJ105" s="381">
        <f t="shared" si="766"/>
        <v>0</v>
      </c>
      <c r="DK105" s="381">
        <f t="shared" si="766"/>
        <v>0</v>
      </c>
      <c r="DL105" s="381">
        <f t="shared" si="766"/>
        <v>0</v>
      </c>
      <c r="DM105" s="356"/>
      <c r="DN105" s="426">
        <f>SUM(H105:DL105)</f>
        <v>-1127750.06</v>
      </c>
      <c r="DO105" s="330"/>
    </row>
    <row r="106" spans="2:119" x14ac:dyDescent="0.3">
      <c r="B106" s="416"/>
      <c r="C106" s="423"/>
      <c r="D106" s="385"/>
      <c r="E106" s="356"/>
      <c r="F106" s="356" t="s">
        <v>364</v>
      </c>
      <c r="G106" s="383" t="e">
        <f>XIRR(H105:DL105,H2:DL2,0.12)</f>
        <v>#NUM!</v>
      </c>
      <c r="H106" s="383"/>
      <c r="I106" s="356"/>
      <c r="J106" s="356"/>
      <c r="K106" s="356"/>
      <c r="L106" s="356"/>
      <c r="M106" s="356"/>
      <c r="N106" s="356"/>
      <c r="O106" s="356"/>
      <c r="P106" s="356"/>
      <c r="Q106" s="356"/>
      <c r="R106" s="356"/>
      <c r="S106" s="356"/>
      <c r="T106" s="921"/>
      <c r="U106" s="356"/>
      <c r="V106" s="356"/>
      <c r="W106" s="356"/>
      <c r="X106" s="356"/>
      <c r="Y106" s="356"/>
      <c r="Z106" s="356"/>
      <c r="AA106" s="356"/>
      <c r="AB106" s="356"/>
      <c r="AC106" s="356"/>
      <c r="AD106" s="356"/>
      <c r="AE106" s="356"/>
      <c r="AF106" s="921"/>
      <c r="AG106" s="356"/>
      <c r="AH106" s="356"/>
      <c r="AI106" s="356"/>
      <c r="AJ106" s="356"/>
      <c r="AK106" s="356"/>
      <c r="AL106" s="356"/>
      <c r="AM106" s="356"/>
      <c r="AN106" s="356"/>
      <c r="AO106" s="356"/>
      <c r="AP106" s="356"/>
      <c r="AQ106" s="356"/>
      <c r="AR106" s="921"/>
      <c r="AS106" s="356"/>
      <c r="AT106" s="356"/>
      <c r="AU106" s="356"/>
      <c r="AV106" s="356"/>
      <c r="AW106" s="356"/>
      <c r="AX106" s="356"/>
      <c r="AY106" s="356"/>
      <c r="AZ106" s="356"/>
      <c r="BA106" s="356"/>
      <c r="BB106" s="356"/>
      <c r="BC106" s="356"/>
      <c r="BD106" s="921"/>
      <c r="BE106" s="356"/>
      <c r="BF106" s="356"/>
      <c r="BG106" s="356"/>
      <c r="BH106" s="356"/>
      <c r="BI106" s="356"/>
      <c r="BJ106" s="356"/>
      <c r="BK106" s="356"/>
      <c r="BL106" s="356"/>
      <c r="BM106" s="356"/>
      <c r="BN106" s="356"/>
      <c r="BO106" s="356"/>
      <c r="BP106" s="921"/>
      <c r="BQ106" s="356"/>
      <c r="BR106" s="356"/>
      <c r="BS106" s="356"/>
      <c r="BT106" s="356"/>
      <c r="BU106" s="356"/>
      <c r="BV106" s="356"/>
      <c r="BW106" s="356"/>
      <c r="BX106" s="356"/>
      <c r="BY106" s="356"/>
      <c r="BZ106" s="356"/>
      <c r="CA106" s="356"/>
      <c r="CB106" s="921"/>
      <c r="CC106" s="356"/>
      <c r="CD106" s="356"/>
      <c r="CE106" s="356"/>
      <c r="CF106" s="356"/>
      <c r="CG106" s="356"/>
      <c r="CH106" s="356"/>
      <c r="CI106" s="356"/>
      <c r="CJ106" s="356"/>
      <c r="CK106" s="356"/>
      <c r="CL106" s="356"/>
      <c r="CM106" s="356"/>
      <c r="CN106" s="921"/>
      <c r="CO106" s="356"/>
      <c r="CP106" s="356"/>
      <c r="CQ106" s="356"/>
      <c r="CR106" s="356"/>
      <c r="CS106" s="356"/>
      <c r="CT106" s="356"/>
      <c r="CU106" s="356"/>
      <c r="CV106" s="356"/>
      <c r="CW106" s="356"/>
      <c r="CX106" s="356"/>
      <c r="CY106" s="356"/>
      <c r="CZ106" s="921"/>
      <c r="DA106" s="356"/>
      <c r="DB106" s="356"/>
      <c r="DC106" s="356"/>
      <c r="DD106" s="356"/>
      <c r="DE106" s="356"/>
      <c r="DF106" s="356"/>
      <c r="DG106" s="356"/>
      <c r="DH106" s="356"/>
      <c r="DI106" s="356"/>
      <c r="DJ106" s="356"/>
      <c r="DK106" s="356"/>
      <c r="DL106" s="356"/>
      <c r="DM106" s="356"/>
      <c r="DN106" s="424"/>
      <c r="DO106" s="330"/>
    </row>
    <row r="107" spans="2:119" x14ac:dyDescent="0.3">
      <c r="B107" s="416"/>
      <c r="C107" s="423"/>
      <c r="D107" s="385"/>
      <c r="E107" s="356"/>
      <c r="F107" s="356" t="s">
        <v>369</v>
      </c>
      <c r="G107" s="518">
        <f>DN105</f>
        <v>-1127750.06</v>
      </c>
      <c r="H107" s="381"/>
      <c r="I107" s="356"/>
      <c r="J107" s="356"/>
      <c r="K107" s="356"/>
      <c r="L107" s="356"/>
      <c r="M107" s="356"/>
      <c r="N107" s="356"/>
      <c r="O107" s="356"/>
      <c r="P107" s="356"/>
      <c r="Q107" s="356"/>
      <c r="R107" s="356"/>
      <c r="S107" s="356"/>
      <c r="T107" s="921"/>
      <c r="U107" s="356"/>
      <c r="V107" s="356"/>
      <c r="W107" s="356"/>
      <c r="X107" s="356"/>
      <c r="Y107" s="356"/>
      <c r="Z107" s="356"/>
      <c r="AA107" s="356"/>
      <c r="AB107" s="356"/>
      <c r="AC107" s="356"/>
      <c r="AD107" s="356"/>
      <c r="AE107" s="356"/>
      <c r="AF107" s="921"/>
      <c r="AG107" s="356"/>
      <c r="AH107" s="356"/>
      <c r="AI107" s="356"/>
      <c r="AJ107" s="356"/>
      <c r="AK107" s="356"/>
      <c r="AL107" s="356"/>
      <c r="AM107" s="356"/>
      <c r="AN107" s="356"/>
      <c r="AO107" s="356"/>
      <c r="AP107" s="356"/>
      <c r="AQ107" s="356"/>
      <c r="AR107" s="921"/>
      <c r="AS107" s="356"/>
      <c r="AT107" s="356"/>
      <c r="AU107" s="356"/>
      <c r="AV107" s="356"/>
      <c r="AW107" s="356"/>
      <c r="AX107" s="356"/>
      <c r="AY107" s="356"/>
      <c r="AZ107" s="356"/>
      <c r="BA107" s="356"/>
      <c r="BB107" s="356"/>
      <c r="BC107" s="356"/>
      <c r="BD107" s="921"/>
      <c r="BE107" s="356"/>
      <c r="BF107" s="356"/>
      <c r="BG107" s="356"/>
      <c r="BH107" s="356"/>
      <c r="BI107" s="356"/>
      <c r="BJ107" s="356"/>
      <c r="BK107" s="356"/>
      <c r="BL107" s="356"/>
      <c r="BM107" s="356"/>
      <c r="BN107" s="356"/>
      <c r="BO107" s="356"/>
      <c r="BP107" s="921"/>
      <c r="BQ107" s="356"/>
      <c r="BR107" s="356"/>
      <c r="BS107" s="356"/>
      <c r="BT107" s="356"/>
      <c r="BU107" s="356"/>
      <c r="BV107" s="356"/>
      <c r="BW107" s="356"/>
      <c r="BX107" s="356"/>
      <c r="BY107" s="356"/>
      <c r="BZ107" s="356"/>
      <c r="CA107" s="356"/>
      <c r="CB107" s="921"/>
      <c r="CC107" s="356"/>
      <c r="CD107" s="356"/>
      <c r="CE107" s="356"/>
      <c r="CF107" s="356"/>
      <c r="CG107" s="356"/>
      <c r="CH107" s="356"/>
      <c r="CI107" s="356"/>
      <c r="CJ107" s="356"/>
      <c r="CK107" s="356"/>
      <c r="CL107" s="356"/>
      <c r="CM107" s="356"/>
      <c r="CN107" s="921"/>
      <c r="CO107" s="356"/>
      <c r="CP107" s="356"/>
      <c r="CQ107" s="356"/>
      <c r="CR107" s="356"/>
      <c r="CS107" s="356"/>
      <c r="CT107" s="356"/>
      <c r="CU107" s="356"/>
      <c r="CV107" s="356"/>
      <c r="CW107" s="356"/>
      <c r="CX107" s="356"/>
      <c r="CY107" s="356"/>
      <c r="CZ107" s="921"/>
      <c r="DA107" s="356"/>
      <c r="DB107" s="356"/>
      <c r="DC107" s="356"/>
      <c r="DD107" s="356"/>
      <c r="DE107" s="356"/>
      <c r="DF107" s="356"/>
      <c r="DG107" s="356"/>
      <c r="DH107" s="356"/>
      <c r="DI107" s="356"/>
      <c r="DJ107" s="356"/>
      <c r="DK107" s="356"/>
      <c r="DL107" s="356"/>
      <c r="DM107" s="356"/>
      <c r="DN107" s="424"/>
      <c r="DO107" s="330"/>
    </row>
    <row r="108" spans="2:119" x14ac:dyDescent="0.3">
      <c r="B108" s="416"/>
      <c r="C108" s="427"/>
      <c r="D108" s="387"/>
      <c r="E108" s="359"/>
      <c r="F108" s="359" t="s">
        <v>368</v>
      </c>
      <c r="G108" s="428">
        <f>SUM(I105:CZ105)/-H105</f>
        <v>0</v>
      </c>
      <c r="H108" s="428"/>
      <c r="I108" s="359"/>
      <c r="J108" s="359"/>
      <c r="K108" s="359"/>
      <c r="L108" s="359"/>
      <c r="M108" s="359"/>
      <c r="N108" s="359"/>
      <c r="O108" s="359"/>
      <c r="P108" s="359"/>
      <c r="Q108" s="359"/>
      <c r="R108" s="359"/>
      <c r="S108" s="359"/>
      <c r="T108" s="922"/>
      <c r="U108" s="359"/>
      <c r="V108" s="359"/>
      <c r="W108" s="359"/>
      <c r="X108" s="359"/>
      <c r="Y108" s="359"/>
      <c r="Z108" s="359"/>
      <c r="AA108" s="359"/>
      <c r="AB108" s="359"/>
      <c r="AC108" s="359"/>
      <c r="AD108" s="359"/>
      <c r="AE108" s="359"/>
      <c r="AF108" s="922"/>
      <c r="AG108" s="359"/>
      <c r="AH108" s="359"/>
      <c r="AI108" s="359"/>
      <c r="AJ108" s="359"/>
      <c r="AK108" s="359"/>
      <c r="AL108" s="359"/>
      <c r="AM108" s="359"/>
      <c r="AN108" s="359"/>
      <c r="AO108" s="359"/>
      <c r="AP108" s="359"/>
      <c r="AQ108" s="359"/>
      <c r="AR108" s="922"/>
      <c r="AS108" s="359"/>
      <c r="AT108" s="359"/>
      <c r="AU108" s="359"/>
      <c r="AV108" s="359"/>
      <c r="AW108" s="359"/>
      <c r="AX108" s="359"/>
      <c r="AY108" s="359"/>
      <c r="AZ108" s="359"/>
      <c r="BA108" s="359"/>
      <c r="BB108" s="359"/>
      <c r="BC108" s="359"/>
      <c r="BD108" s="922"/>
      <c r="BE108" s="359"/>
      <c r="BF108" s="359"/>
      <c r="BG108" s="359"/>
      <c r="BH108" s="359"/>
      <c r="BI108" s="359"/>
      <c r="BJ108" s="359"/>
      <c r="BK108" s="359"/>
      <c r="BL108" s="359"/>
      <c r="BM108" s="359"/>
      <c r="BN108" s="359"/>
      <c r="BO108" s="359"/>
      <c r="BP108" s="922"/>
      <c r="BQ108" s="359"/>
      <c r="BR108" s="359"/>
      <c r="BS108" s="359"/>
      <c r="BT108" s="359"/>
      <c r="BU108" s="359"/>
      <c r="BV108" s="359"/>
      <c r="BW108" s="359"/>
      <c r="BX108" s="359"/>
      <c r="BY108" s="359"/>
      <c r="BZ108" s="359"/>
      <c r="CA108" s="359"/>
      <c r="CB108" s="922"/>
      <c r="CC108" s="359"/>
      <c r="CD108" s="359"/>
      <c r="CE108" s="359"/>
      <c r="CF108" s="359"/>
      <c r="CG108" s="359"/>
      <c r="CH108" s="359"/>
      <c r="CI108" s="359"/>
      <c r="CJ108" s="359"/>
      <c r="CK108" s="359"/>
      <c r="CL108" s="359"/>
      <c r="CM108" s="359"/>
      <c r="CN108" s="922"/>
      <c r="CO108" s="359"/>
      <c r="CP108" s="359"/>
      <c r="CQ108" s="359"/>
      <c r="CR108" s="359"/>
      <c r="CS108" s="359"/>
      <c r="CT108" s="359"/>
      <c r="CU108" s="359"/>
      <c r="CV108" s="359"/>
      <c r="CW108" s="359"/>
      <c r="CX108" s="359"/>
      <c r="CY108" s="359"/>
      <c r="CZ108" s="922"/>
      <c r="DA108" s="359"/>
      <c r="DB108" s="359"/>
      <c r="DC108" s="359"/>
      <c r="DD108" s="359"/>
      <c r="DE108" s="359"/>
      <c r="DF108" s="359"/>
      <c r="DG108" s="359"/>
      <c r="DH108" s="359"/>
      <c r="DI108" s="359"/>
      <c r="DJ108" s="359"/>
      <c r="DK108" s="359"/>
      <c r="DL108" s="359"/>
      <c r="DM108" s="359"/>
      <c r="DN108" s="429"/>
      <c r="DO108" s="330"/>
    </row>
    <row r="109" spans="2:119" x14ac:dyDescent="0.3">
      <c r="B109" s="416"/>
      <c r="T109" s="561"/>
      <c r="AF109" s="561"/>
      <c r="AR109" s="561"/>
      <c r="BD109" s="561"/>
      <c r="BP109" s="561"/>
      <c r="CB109" s="561"/>
      <c r="CN109" s="561"/>
      <c r="CZ109" s="561"/>
      <c r="DO109" s="330"/>
    </row>
    <row r="110" spans="2:119" x14ac:dyDescent="0.3">
      <c r="B110" s="416"/>
      <c r="T110" s="561"/>
      <c r="AF110" s="561"/>
      <c r="AR110" s="561"/>
      <c r="BD110" s="561"/>
      <c r="BP110" s="561"/>
      <c r="CB110" s="561"/>
      <c r="CN110" s="561"/>
      <c r="CZ110" s="561"/>
      <c r="DO110" s="330"/>
    </row>
    <row r="111" spans="2:119" x14ac:dyDescent="0.3">
      <c r="B111" s="416"/>
      <c r="C111" s="385" t="s">
        <v>507</v>
      </c>
      <c r="D111" s="385"/>
      <c r="E111" s="356"/>
      <c r="F111" s="356"/>
      <c r="G111" s="356"/>
      <c r="H111" s="356"/>
      <c r="I111" s="356"/>
      <c r="J111" s="356"/>
      <c r="K111" s="356"/>
      <c r="L111" s="356"/>
      <c r="M111" s="356"/>
      <c r="N111" s="356"/>
      <c r="O111" s="356"/>
      <c r="P111" s="356"/>
      <c r="Q111" s="356"/>
      <c r="R111" s="356"/>
      <c r="S111" s="356"/>
      <c r="T111" s="921"/>
      <c r="U111" s="356"/>
      <c r="V111" s="356"/>
      <c r="W111" s="356"/>
      <c r="X111" s="356"/>
      <c r="Y111" s="356"/>
      <c r="Z111" s="356"/>
      <c r="AA111" s="356"/>
      <c r="AB111" s="356"/>
      <c r="AC111" s="356"/>
      <c r="AD111" s="356"/>
      <c r="AE111" s="356"/>
      <c r="AF111" s="921"/>
      <c r="AG111" s="356"/>
      <c r="AH111" s="356"/>
      <c r="AI111" s="356"/>
      <c r="AJ111" s="356"/>
      <c r="AK111" s="356"/>
      <c r="AL111" s="356"/>
      <c r="AM111" s="356"/>
      <c r="AN111" s="356"/>
      <c r="AO111" s="356"/>
      <c r="AP111" s="356"/>
      <c r="AQ111" s="356"/>
      <c r="AR111" s="921"/>
      <c r="AS111" s="356"/>
      <c r="AT111" s="356"/>
      <c r="AU111" s="356"/>
      <c r="AV111" s="356"/>
      <c r="AW111" s="356"/>
      <c r="AX111" s="356"/>
      <c r="AY111" s="356"/>
      <c r="AZ111" s="356"/>
      <c r="BA111" s="356"/>
      <c r="BB111" s="356"/>
      <c r="BC111" s="356"/>
      <c r="BD111" s="921"/>
      <c r="BE111" s="356"/>
      <c r="BF111" s="356"/>
      <c r="BG111" s="356"/>
      <c r="BH111" s="356"/>
      <c r="BI111" s="356"/>
      <c r="BJ111" s="356"/>
      <c r="BK111" s="356"/>
      <c r="BL111" s="356"/>
      <c r="BM111" s="356"/>
      <c r="BN111" s="356"/>
      <c r="BO111" s="356"/>
      <c r="BP111" s="921"/>
      <c r="BQ111" s="356"/>
      <c r="BR111" s="356"/>
      <c r="BS111" s="356"/>
      <c r="BT111" s="356"/>
      <c r="BU111" s="356"/>
      <c r="BV111" s="356"/>
      <c r="BW111" s="356"/>
      <c r="BX111" s="356"/>
      <c r="BY111" s="356"/>
      <c r="BZ111" s="356"/>
      <c r="CA111" s="356"/>
      <c r="CB111" s="921"/>
      <c r="CC111" s="356"/>
      <c r="CD111" s="356"/>
      <c r="CE111" s="356"/>
      <c r="CF111" s="356"/>
      <c r="CG111" s="356"/>
      <c r="CH111" s="356"/>
      <c r="CI111" s="356"/>
      <c r="CJ111" s="356"/>
      <c r="CK111" s="356"/>
      <c r="CL111" s="356"/>
      <c r="CM111" s="356"/>
      <c r="CN111" s="921"/>
      <c r="CO111" s="356"/>
      <c r="CP111" s="356"/>
      <c r="CQ111" s="356"/>
      <c r="CR111" s="356"/>
      <c r="CS111" s="356"/>
      <c r="CT111" s="356"/>
      <c r="CU111" s="356"/>
      <c r="CV111" s="356"/>
      <c r="CW111" s="356"/>
      <c r="CX111" s="356"/>
      <c r="CY111" s="356"/>
      <c r="CZ111" s="921"/>
      <c r="DA111" s="356"/>
      <c r="DB111" s="356"/>
      <c r="DC111" s="356"/>
      <c r="DD111" s="356"/>
      <c r="DE111" s="356"/>
      <c r="DF111" s="356"/>
      <c r="DG111" s="356"/>
      <c r="DH111" s="356"/>
      <c r="DI111" s="356"/>
      <c r="DJ111" s="356"/>
      <c r="DK111" s="356"/>
      <c r="DL111" s="356"/>
      <c r="DM111" s="356"/>
      <c r="DN111" s="356"/>
      <c r="DO111" s="330"/>
    </row>
    <row r="112" spans="2:119" x14ac:dyDescent="0.3">
      <c r="B112" s="416"/>
      <c r="C112" s="418"/>
      <c r="D112" s="419" t="s">
        <v>383</v>
      </c>
      <c r="E112" s="420"/>
      <c r="F112" s="420"/>
      <c r="G112" s="420"/>
      <c r="H112" s="420"/>
      <c r="I112" s="421">
        <f>Monthly!K99</f>
        <v>10000</v>
      </c>
      <c r="J112" s="421">
        <f>Monthly!L99</f>
        <v>10000</v>
      </c>
      <c r="K112" s="421">
        <f>Monthly!M99</f>
        <v>10000</v>
      </c>
      <c r="L112" s="421">
        <f>Monthly!N99</f>
        <v>10000</v>
      </c>
      <c r="M112" s="421">
        <f>Monthly!O99</f>
        <v>10000</v>
      </c>
      <c r="N112" s="421">
        <f>Monthly!P99</f>
        <v>10000</v>
      </c>
      <c r="O112" s="421">
        <f>Monthly!Q99</f>
        <v>10000</v>
      </c>
      <c r="P112" s="421">
        <f>Monthly!R99</f>
        <v>10000</v>
      </c>
      <c r="Q112" s="421">
        <f>Monthly!S99</f>
        <v>10000</v>
      </c>
      <c r="R112" s="421">
        <f>Monthly!T99</f>
        <v>10000</v>
      </c>
      <c r="S112" s="421">
        <f>Monthly!U99</f>
        <v>10000</v>
      </c>
      <c r="T112" s="421">
        <f>Monthly!V99</f>
        <v>10000</v>
      </c>
      <c r="U112" s="421">
        <f>Monthly!W99</f>
        <v>0</v>
      </c>
      <c r="V112" s="421">
        <f>Monthly!X99</f>
        <v>0</v>
      </c>
      <c r="W112" s="421">
        <f>Monthly!Y99</f>
        <v>0</v>
      </c>
      <c r="X112" s="421">
        <f>Monthly!Z99</f>
        <v>0</v>
      </c>
      <c r="Y112" s="421">
        <f>Monthly!AA99</f>
        <v>0</v>
      </c>
      <c r="Z112" s="421">
        <f>Monthly!AB99</f>
        <v>0</v>
      </c>
      <c r="AA112" s="421">
        <f>Monthly!AC99</f>
        <v>0</v>
      </c>
      <c r="AB112" s="421">
        <f>Monthly!AD99</f>
        <v>0</v>
      </c>
      <c r="AC112" s="421">
        <f>Monthly!AE99</f>
        <v>0</v>
      </c>
      <c r="AD112" s="421">
        <f>Monthly!AF99</f>
        <v>0</v>
      </c>
      <c r="AE112" s="421">
        <f>Monthly!AG99</f>
        <v>0</v>
      </c>
      <c r="AF112" s="421">
        <f>Monthly!AH99</f>
        <v>0</v>
      </c>
      <c r="AG112" s="421">
        <f>Monthly!AI99</f>
        <v>0</v>
      </c>
      <c r="AH112" s="421">
        <f>Monthly!AJ99</f>
        <v>0</v>
      </c>
      <c r="AI112" s="421">
        <f>Monthly!AK99</f>
        <v>0</v>
      </c>
      <c r="AJ112" s="421">
        <f>Monthly!AL99</f>
        <v>0</v>
      </c>
      <c r="AK112" s="421">
        <f>Monthly!AM99</f>
        <v>0</v>
      </c>
      <c r="AL112" s="421">
        <f>Monthly!AN99</f>
        <v>0</v>
      </c>
      <c r="AM112" s="421">
        <f>Monthly!AO99</f>
        <v>0</v>
      </c>
      <c r="AN112" s="421">
        <f>Monthly!AP99</f>
        <v>0</v>
      </c>
      <c r="AO112" s="421">
        <f>Monthly!AQ99</f>
        <v>0</v>
      </c>
      <c r="AP112" s="421">
        <f>Monthly!AR99</f>
        <v>0</v>
      </c>
      <c r="AQ112" s="421">
        <f>Monthly!AS99</f>
        <v>0</v>
      </c>
      <c r="AR112" s="421">
        <f>Monthly!AT99</f>
        <v>0</v>
      </c>
      <c r="AS112" s="421">
        <f>Monthly!AU99</f>
        <v>0</v>
      </c>
      <c r="AT112" s="421">
        <f>Monthly!AV99</f>
        <v>0</v>
      </c>
      <c r="AU112" s="421">
        <f>Monthly!AW99</f>
        <v>0</v>
      </c>
      <c r="AV112" s="421">
        <f>Monthly!AX99</f>
        <v>0</v>
      </c>
      <c r="AW112" s="421">
        <f>Monthly!AY99</f>
        <v>0</v>
      </c>
      <c r="AX112" s="421">
        <f>Monthly!AZ99</f>
        <v>0</v>
      </c>
      <c r="AY112" s="421">
        <f>Monthly!BA99</f>
        <v>0</v>
      </c>
      <c r="AZ112" s="421">
        <f>Monthly!BB99</f>
        <v>0</v>
      </c>
      <c r="BA112" s="421">
        <f>Monthly!BC99</f>
        <v>0</v>
      </c>
      <c r="BB112" s="421">
        <f>Monthly!BD99</f>
        <v>0</v>
      </c>
      <c r="BC112" s="421">
        <f>Monthly!BE99</f>
        <v>0</v>
      </c>
      <c r="BD112" s="421">
        <f>Monthly!BF99</f>
        <v>0</v>
      </c>
      <c r="BE112" s="421">
        <f>Monthly!BG99</f>
        <v>0</v>
      </c>
      <c r="BF112" s="421">
        <f>Monthly!BH99</f>
        <v>0</v>
      </c>
      <c r="BG112" s="421">
        <f>Monthly!BI99</f>
        <v>0</v>
      </c>
      <c r="BH112" s="421">
        <f>Monthly!BJ99</f>
        <v>0</v>
      </c>
      <c r="BI112" s="421">
        <f>Monthly!BK99</f>
        <v>0</v>
      </c>
      <c r="BJ112" s="421">
        <f>Monthly!BL99</f>
        <v>0</v>
      </c>
      <c r="BK112" s="421">
        <f>Monthly!BM99</f>
        <v>0</v>
      </c>
      <c r="BL112" s="421">
        <f>Monthly!BN99</f>
        <v>0</v>
      </c>
      <c r="BM112" s="421">
        <f>Monthly!BO99</f>
        <v>0</v>
      </c>
      <c r="BN112" s="421">
        <f>Monthly!BP99</f>
        <v>0</v>
      </c>
      <c r="BO112" s="421">
        <f>Monthly!BQ99</f>
        <v>0</v>
      </c>
      <c r="BP112" s="421">
        <f>Monthly!BR99</f>
        <v>0</v>
      </c>
      <c r="BQ112" s="421">
        <f>Monthly!BS99</f>
        <v>0</v>
      </c>
      <c r="BR112" s="421">
        <f>Monthly!BT99</f>
        <v>0</v>
      </c>
      <c r="BS112" s="421">
        <f>Monthly!BU99</f>
        <v>0</v>
      </c>
      <c r="BT112" s="421">
        <f>Monthly!BV99</f>
        <v>0</v>
      </c>
      <c r="BU112" s="421">
        <f>Monthly!BW99</f>
        <v>0</v>
      </c>
      <c r="BV112" s="421">
        <f>Monthly!BX99</f>
        <v>0</v>
      </c>
      <c r="BW112" s="421">
        <f>Monthly!BY99</f>
        <v>0</v>
      </c>
      <c r="BX112" s="421">
        <f>Monthly!BZ99</f>
        <v>0</v>
      </c>
      <c r="BY112" s="421">
        <f>Monthly!CA99</f>
        <v>0</v>
      </c>
      <c r="BZ112" s="421">
        <f>Monthly!CB99</f>
        <v>0</v>
      </c>
      <c r="CA112" s="421">
        <f>Monthly!CC99</f>
        <v>0</v>
      </c>
      <c r="CB112" s="421">
        <f>Monthly!CD99</f>
        <v>0</v>
      </c>
      <c r="CC112" s="421">
        <f>Monthly!CE99</f>
        <v>0</v>
      </c>
      <c r="CD112" s="421">
        <f>Monthly!CF99</f>
        <v>0</v>
      </c>
      <c r="CE112" s="421">
        <f>Monthly!CG99</f>
        <v>0</v>
      </c>
      <c r="CF112" s="421">
        <f>Monthly!CH99</f>
        <v>0</v>
      </c>
      <c r="CG112" s="421">
        <f>Monthly!CI99</f>
        <v>0</v>
      </c>
      <c r="CH112" s="421">
        <f>Monthly!CJ99</f>
        <v>0</v>
      </c>
      <c r="CI112" s="421">
        <f>Monthly!CK99</f>
        <v>0</v>
      </c>
      <c r="CJ112" s="421">
        <f>Monthly!CL99</f>
        <v>0</v>
      </c>
      <c r="CK112" s="421">
        <f>Monthly!CM99</f>
        <v>0</v>
      </c>
      <c r="CL112" s="421">
        <f>Monthly!CN99</f>
        <v>0</v>
      </c>
      <c r="CM112" s="421">
        <f>Monthly!CO99</f>
        <v>0</v>
      </c>
      <c r="CN112" s="421">
        <f>Monthly!CP99</f>
        <v>0</v>
      </c>
      <c r="CO112" s="421">
        <f>Monthly!CQ99</f>
        <v>0</v>
      </c>
      <c r="CP112" s="421">
        <f>Monthly!CR99</f>
        <v>0</v>
      </c>
      <c r="CQ112" s="421">
        <f>Monthly!CS99</f>
        <v>0</v>
      </c>
      <c r="CR112" s="421">
        <f>Monthly!CT99</f>
        <v>0</v>
      </c>
      <c r="CS112" s="421">
        <f>Monthly!CU99</f>
        <v>0</v>
      </c>
      <c r="CT112" s="421">
        <f>Monthly!CV99</f>
        <v>0</v>
      </c>
      <c r="CU112" s="421">
        <f>Monthly!CW99</f>
        <v>0</v>
      </c>
      <c r="CV112" s="421">
        <f>Monthly!CX99</f>
        <v>0</v>
      </c>
      <c r="CW112" s="421">
        <f>Monthly!CY99</f>
        <v>0</v>
      </c>
      <c r="CX112" s="421">
        <f>Monthly!CZ99</f>
        <v>0</v>
      </c>
      <c r="CY112" s="421">
        <f>Monthly!DA99</f>
        <v>0</v>
      </c>
      <c r="CZ112" s="421">
        <f>Monthly!DB99</f>
        <v>0</v>
      </c>
      <c r="DA112" s="421">
        <f>Monthly!DC99</f>
        <v>0</v>
      </c>
      <c r="DB112" s="421">
        <f>Monthly!DD99</f>
        <v>0</v>
      </c>
      <c r="DC112" s="421">
        <f>Monthly!DE99</f>
        <v>0</v>
      </c>
      <c r="DD112" s="421">
        <f>Monthly!DF99</f>
        <v>0</v>
      </c>
      <c r="DE112" s="421">
        <f>Monthly!DG99</f>
        <v>0</v>
      </c>
      <c r="DF112" s="421">
        <f>Monthly!DH99</f>
        <v>0</v>
      </c>
      <c r="DG112" s="421">
        <f>Monthly!DI99</f>
        <v>0</v>
      </c>
      <c r="DH112" s="421">
        <f>Monthly!DJ99</f>
        <v>0</v>
      </c>
      <c r="DI112" s="421">
        <f>Monthly!DK99</f>
        <v>0</v>
      </c>
      <c r="DJ112" s="421">
        <f>Monthly!DL99</f>
        <v>0</v>
      </c>
      <c r="DK112" s="421">
        <f>Monthly!DM99</f>
        <v>0</v>
      </c>
      <c r="DL112" s="421">
        <f>Monthly!DN99</f>
        <v>0</v>
      </c>
      <c r="DM112" s="421"/>
      <c r="DN112" s="421">
        <f>Monthly!DP99+Monthly!DP100</f>
        <v>120000</v>
      </c>
      <c r="DO112" s="330"/>
    </row>
    <row r="113" spans="2:119" x14ac:dyDescent="0.3">
      <c r="B113" s="416"/>
      <c r="C113" s="423"/>
      <c r="D113" s="385" t="s">
        <v>508</v>
      </c>
      <c r="E113" s="356"/>
      <c r="F113" s="356"/>
      <c r="G113" s="356"/>
      <c r="H113" s="356"/>
      <c r="I113" s="381">
        <v>0</v>
      </c>
      <c r="J113" s="381">
        <v>0</v>
      </c>
      <c r="K113" s="381">
        <v>0</v>
      </c>
      <c r="L113" s="381">
        <v>0</v>
      </c>
      <c r="M113" s="381">
        <v>0</v>
      </c>
      <c r="N113" s="381">
        <v>0</v>
      </c>
      <c r="O113" s="381">
        <v>0</v>
      </c>
      <c r="P113" s="381">
        <v>0</v>
      </c>
      <c r="Q113" s="381">
        <v>0</v>
      </c>
      <c r="R113" s="381">
        <v>0</v>
      </c>
      <c r="S113" s="381">
        <v>0</v>
      </c>
      <c r="T113" s="917">
        <v>0</v>
      </c>
      <c r="U113" s="381">
        <v>0</v>
      </c>
      <c r="V113" s="381">
        <v>0</v>
      </c>
      <c r="W113" s="381">
        <v>0</v>
      </c>
      <c r="X113" s="381">
        <v>0</v>
      </c>
      <c r="Y113" s="381">
        <v>0</v>
      </c>
      <c r="Z113" s="381">
        <v>0</v>
      </c>
      <c r="AA113" s="381">
        <v>0</v>
      </c>
      <c r="AB113" s="381">
        <v>0</v>
      </c>
      <c r="AC113" s="381">
        <v>0</v>
      </c>
      <c r="AD113" s="381">
        <v>0</v>
      </c>
      <c r="AE113" s="381">
        <v>0</v>
      </c>
      <c r="AF113" s="917">
        <v>0</v>
      </c>
      <c r="AG113" s="381">
        <v>0</v>
      </c>
      <c r="AH113" s="381">
        <v>0</v>
      </c>
      <c r="AI113" s="381">
        <v>0</v>
      </c>
      <c r="AJ113" s="381">
        <v>0</v>
      </c>
      <c r="AK113" s="381">
        <v>0</v>
      </c>
      <c r="AL113" s="381">
        <v>0</v>
      </c>
      <c r="AM113" s="381">
        <v>0</v>
      </c>
      <c r="AN113" s="381">
        <v>0</v>
      </c>
      <c r="AO113" s="381">
        <v>0</v>
      </c>
      <c r="AP113" s="381">
        <v>0</v>
      </c>
      <c r="AQ113" s="381">
        <v>0</v>
      </c>
      <c r="AR113" s="917">
        <v>0</v>
      </c>
      <c r="AS113" s="381">
        <v>0</v>
      </c>
      <c r="AT113" s="381">
        <v>0</v>
      </c>
      <c r="AU113" s="381">
        <v>0</v>
      </c>
      <c r="AV113" s="381">
        <v>0</v>
      </c>
      <c r="AW113" s="381">
        <v>0</v>
      </c>
      <c r="AX113" s="381">
        <v>0</v>
      </c>
      <c r="AY113" s="381">
        <v>0</v>
      </c>
      <c r="AZ113" s="381">
        <v>0</v>
      </c>
      <c r="BA113" s="381">
        <v>0</v>
      </c>
      <c r="BB113" s="381">
        <v>0</v>
      </c>
      <c r="BC113" s="381">
        <v>0</v>
      </c>
      <c r="BD113" s="917">
        <v>0</v>
      </c>
      <c r="BE113" s="381">
        <v>0</v>
      </c>
      <c r="BF113" s="381">
        <v>0</v>
      </c>
      <c r="BG113" s="381">
        <v>0</v>
      </c>
      <c r="BH113" s="381">
        <v>0</v>
      </c>
      <c r="BI113" s="381">
        <v>0</v>
      </c>
      <c r="BJ113" s="381">
        <v>0</v>
      </c>
      <c r="BK113" s="381">
        <v>0</v>
      </c>
      <c r="BL113" s="381">
        <v>0</v>
      </c>
      <c r="BM113" s="381">
        <v>0</v>
      </c>
      <c r="BN113" s="381">
        <v>0</v>
      </c>
      <c r="BO113" s="381">
        <v>0</v>
      </c>
      <c r="BP113" s="917">
        <v>0</v>
      </c>
      <c r="BQ113" s="381">
        <v>0</v>
      </c>
      <c r="BR113" s="381">
        <v>0</v>
      </c>
      <c r="BS113" s="381">
        <v>0</v>
      </c>
      <c r="BT113" s="381">
        <v>0</v>
      </c>
      <c r="BU113" s="381">
        <v>0</v>
      </c>
      <c r="BV113" s="381">
        <v>0</v>
      </c>
      <c r="BW113" s="381">
        <v>0</v>
      </c>
      <c r="BX113" s="381">
        <v>0</v>
      </c>
      <c r="BY113" s="381">
        <v>0</v>
      </c>
      <c r="BZ113" s="381">
        <v>0</v>
      </c>
      <c r="CA113" s="381">
        <v>0</v>
      </c>
      <c r="CB113" s="917">
        <v>0</v>
      </c>
      <c r="CC113" s="381">
        <v>0</v>
      </c>
      <c r="CD113" s="381">
        <v>0</v>
      </c>
      <c r="CE113" s="381">
        <v>0</v>
      </c>
      <c r="CF113" s="381">
        <v>0</v>
      </c>
      <c r="CG113" s="381">
        <v>0</v>
      </c>
      <c r="CH113" s="381">
        <v>0</v>
      </c>
      <c r="CI113" s="381">
        <v>0</v>
      </c>
      <c r="CJ113" s="381">
        <v>0</v>
      </c>
      <c r="CK113" s="381">
        <v>0</v>
      </c>
      <c r="CL113" s="381">
        <v>0</v>
      </c>
      <c r="CM113" s="381">
        <v>0</v>
      </c>
      <c r="CN113" s="917">
        <v>0</v>
      </c>
      <c r="CO113" s="381">
        <v>0</v>
      </c>
      <c r="CP113" s="381">
        <v>0</v>
      </c>
      <c r="CQ113" s="381">
        <v>0</v>
      </c>
      <c r="CR113" s="381">
        <v>0</v>
      </c>
      <c r="CS113" s="381">
        <v>0</v>
      </c>
      <c r="CT113" s="381">
        <v>0</v>
      </c>
      <c r="CU113" s="381">
        <v>0</v>
      </c>
      <c r="CV113" s="381">
        <v>0</v>
      </c>
      <c r="CW113" s="381">
        <v>0</v>
      </c>
      <c r="CX113" s="381">
        <v>0</v>
      </c>
      <c r="CY113" s="381">
        <v>0</v>
      </c>
      <c r="CZ113" s="917">
        <v>0</v>
      </c>
      <c r="DA113" s="381">
        <v>0</v>
      </c>
      <c r="DB113" s="381">
        <v>0</v>
      </c>
      <c r="DC113" s="381">
        <v>0</v>
      </c>
      <c r="DD113" s="381">
        <v>0</v>
      </c>
      <c r="DE113" s="381">
        <v>0</v>
      </c>
      <c r="DF113" s="381">
        <v>0</v>
      </c>
      <c r="DG113" s="381">
        <v>0</v>
      </c>
      <c r="DH113" s="381">
        <v>0</v>
      </c>
      <c r="DI113" s="381">
        <v>0</v>
      </c>
      <c r="DJ113" s="381">
        <v>0</v>
      </c>
      <c r="DK113" s="381">
        <v>0</v>
      </c>
      <c r="DL113" s="381">
        <v>0</v>
      </c>
      <c r="DM113" s="381"/>
      <c r="DN113" s="381">
        <v>0</v>
      </c>
      <c r="DO113" s="330"/>
    </row>
    <row r="114" spans="2:119" x14ac:dyDescent="0.3">
      <c r="B114" s="416"/>
      <c r="C114" s="427"/>
      <c r="D114" s="387" t="s">
        <v>370</v>
      </c>
      <c r="E114" s="359"/>
      <c r="F114" s="359"/>
      <c r="G114" s="359"/>
      <c r="H114" s="359"/>
      <c r="I114" s="382">
        <f>Monthly!K154</f>
        <v>0</v>
      </c>
      <c r="J114" s="382">
        <f>Monthly!L154</f>
        <v>0</v>
      </c>
      <c r="K114" s="382">
        <f>Monthly!M154</f>
        <v>0</v>
      </c>
      <c r="L114" s="382">
        <f>Monthly!N154</f>
        <v>0</v>
      </c>
      <c r="M114" s="382">
        <f>Monthly!O154</f>
        <v>0</v>
      </c>
      <c r="N114" s="382">
        <f>Monthly!P154</f>
        <v>0</v>
      </c>
      <c r="O114" s="382">
        <f>Monthly!Q154</f>
        <v>0</v>
      </c>
      <c r="P114" s="382">
        <f>Monthly!R154</f>
        <v>0</v>
      </c>
      <c r="Q114" s="382">
        <f>Monthly!S154</f>
        <v>0</v>
      </c>
      <c r="R114" s="382">
        <f>Monthly!T154</f>
        <v>0</v>
      </c>
      <c r="S114" s="382">
        <f>Monthly!U154</f>
        <v>0</v>
      </c>
      <c r="T114" s="382">
        <f>Monthly!V154</f>
        <v>0</v>
      </c>
      <c r="U114" s="382">
        <f>Monthly!W154</f>
        <v>0</v>
      </c>
      <c r="V114" s="382">
        <f>Monthly!X154</f>
        <v>0</v>
      </c>
      <c r="W114" s="382">
        <f>Monthly!Y154</f>
        <v>0</v>
      </c>
      <c r="X114" s="382">
        <f>Monthly!Z154</f>
        <v>0</v>
      </c>
      <c r="Y114" s="382">
        <f>Monthly!AA154</f>
        <v>0</v>
      </c>
      <c r="Z114" s="382">
        <f>Monthly!AB154</f>
        <v>0</v>
      </c>
      <c r="AA114" s="382">
        <f>Monthly!AC154</f>
        <v>0</v>
      </c>
      <c r="AB114" s="382">
        <f>Monthly!AD154</f>
        <v>0</v>
      </c>
      <c r="AC114" s="382">
        <f>Monthly!AE154</f>
        <v>0</v>
      </c>
      <c r="AD114" s="382">
        <f>Monthly!AF154</f>
        <v>0</v>
      </c>
      <c r="AE114" s="382">
        <f>Monthly!AG154</f>
        <v>0</v>
      </c>
      <c r="AF114" s="382">
        <f>Monthly!AH154</f>
        <v>0</v>
      </c>
      <c r="AG114" s="382">
        <f>Monthly!AI154</f>
        <v>0</v>
      </c>
      <c r="AH114" s="382">
        <f>Monthly!AJ154</f>
        <v>0</v>
      </c>
      <c r="AI114" s="382">
        <f>Monthly!AK154</f>
        <v>0</v>
      </c>
      <c r="AJ114" s="382">
        <f>Monthly!AL154</f>
        <v>0</v>
      </c>
      <c r="AK114" s="382">
        <f>Monthly!AM154</f>
        <v>0</v>
      </c>
      <c r="AL114" s="382">
        <f>Monthly!AN154</f>
        <v>0</v>
      </c>
      <c r="AM114" s="382">
        <f>Monthly!AO154</f>
        <v>0</v>
      </c>
      <c r="AN114" s="382">
        <f>Monthly!AP154</f>
        <v>0</v>
      </c>
      <c r="AO114" s="382">
        <f>Monthly!AQ154</f>
        <v>0</v>
      </c>
      <c r="AP114" s="382">
        <f>Monthly!AR154</f>
        <v>0</v>
      </c>
      <c r="AQ114" s="382">
        <f>Monthly!AS154</f>
        <v>0</v>
      </c>
      <c r="AR114" s="382">
        <f>Monthly!AT154</f>
        <v>0</v>
      </c>
      <c r="AS114" s="382">
        <f>Monthly!AU154</f>
        <v>0</v>
      </c>
      <c r="AT114" s="382">
        <f>Monthly!AV154</f>
        <v>0</v>
      </c>
      <c r="AU114" s="382">
        <f>Monthly!AW154</f>
        <v>0</v>
      </c>
      <c r="AV114" s="382">
        <f>Monthly!AX154</f>
        <v>0</v>
      </c>
      <c r="AW114" s="382">
        <f>Monthly!AY154</f>
        <v>0</v>
      </c>
      <c r="AX114" s="382">
        <f>Monthly!AZ154</f>
        <v>0</v>
      </c>
      <c r="AY114" s="382">
        <f>Monthly!BA154</f>
        <v>0</v>
      </c>
      <c r="AZ114" s="382">
        <f>Monthly!BB154</f>
        <v>0</v>
      </c>
      <c r="BA114" s="382">
        <f>Monthly!BC154</f>
        <v>0</v>
      </c>
      <c r="BB114" s="382">
        <f>Monthly!BD154</f>
        <v>0</v>
      </c>
      <c r="BC114" s="382">
        <f>Monthly!BE154</f>
        <v>0</v>
      </c>
      <c r="BD114" s="382">
        <f>Monthly!BF154</f>
        <v>0</v>
      </c>
      <c r="BE114" s="382">
        <f>Monthly!BG154</f>
        <v>0</v>
      </c>
      <c r="BF114" s="382">
        <f>Monthly!BH154</f>
        <v>0</v>
      </c>
      <c r="BG114" s="382">
        <f>Monthly!BI154</f>
        <v>0</v>
      </c>
      <c r="BH114" s="382">
        <f>Monthly!BJ154</f>
        <v>0</v>
      </c>
      <c r="BI114" s="382">
        <f>Monthly!BK154</f>
        <v>0</v>
      </c>
      <c r="BJ114" s="382">
        <f>Monthly!BL154</f>
        <v>0</v>
      </c>
      <c r="BK114" s="382">
        <f>Monthly!BM154</f>
        <v>0</v>
      </c>
      <c r="BL114" s="382">
        <f>Monthly!BN154</f>
        <v>0</v>
      </c>
      <c r="BM114" s="382">
        <f>Monthly!BO154</f>
        <v>0</v>
      </c>
      <c r="BN114" s="382">
        <f>Monthly!BP154</f>
        <v>0</v>
      </c>
      <c r="BO114" s="382">
        <f>Monthly!BQ154</f>
        <v>0</v>
      </c>
      <c r="BP114" s="382">
        <f>Monthly!BR154</f>
        <v>0</v>
      </c>
      <c r="BQ114" s="382">
        <f>Monthly!BS154</f>
        <v>0</v>
      </c>
      <c r="BR114" s="382">
        <f>Monthly!BT154</f>
        <v>0</v>
      </c>
      <c r="BS114" s="382">
        <f>Monthly!BU154</f>
        <v>0</v>
      </c>
      <c r="BT114" s="382">
        <f>Monthly!BV154</f>
        <v>0</v>
      </c>
      <c r="BU114" s="382">
        <f>Monthly!BW154</f>
        <v>0</v>
      </c>
      <c r="BV114" s="382">
        <f>Monthly!BX154</f>
        <v>0</v>
      </c>
      <c r="BW114" s="382">
        <f>Monthly!BY154</f>
        <v>0</v>
      </c>
      <c r="BX114" s="382">
        <f>Monthly!BZ154</f>
        <v>0</v>
      </c>
      <c r="BY114" s="382">
        <f>Monthly!CA154</f>
        <v>0</v>
      </c>
      <c r="BZ114" s="382">
        <f>Monthly!CB154</f>
        <v>0</v>
      </c>
      <c r="CA114" s="382">
        <f>Monthly!CC154</f>
        <v>0</v>
      </c>
      <c r="CB114" s="382">
        <f>Monthly!CD154</f>
        <v>0</v>
      </c>
      <c r="CC114" s="382">
        <f>Monthly!CE154</f>
        <v>0</v>
      </c>
      <c r="CD114" s="382">
        <f>Monthly!CF154</f>
        <v>0</v>
      </c>
      <c r="CE114" s="382">
        <f>Monthly!CG154</f>
        <v>0</v>
      </c>
      <c r="CF114" s="382">
        <f>Monthly!CH154</f>
        <v>0</v>
      </c>
      <c r="CG114" s="382">
        <f>Monthly!CI154</f>
        <v>0</v>
      </c>
      <c r="CH114" s="382">
        <f>Monthly!CJ154</f>
        <v>0</v>
      </c>
      <c r="CI114" s="382">
        <f>Monthly!CK154</f>
        <v>0</v>
      </c>
      <c r="CJ114" s="382">
        <f>Monthly!CL154</f>
        <v>0</v>
      </c>
      <c r="CK114" s="382">
        <f>Monthly!CM154</f>
        <v>0</v>
      </c>
      <c r="CL114" s="382">
        <f>Monthly!CN154</f>
        <v>0</v>
      </c>
      <c r="CM114" s="382">
        <f>Monthly!CO154</f>
        <v>0</v>
      </c>
      <c r="CN114" s="382">
        <f>Monthly!CP154</f>
        <v>0</v>
      </c>
      <c r="CO114" s="382">
        <f>Monthly!CQ154</f>
        <v>0</v>
      </c>
      <c r="CP114" s="382">
        <f>Monthly!CR154</f>
        <v>0</v>
      </c>
      <c r="CQ114" s="382">
        <f>Monthly!CS154</f>
        <v>0</v>
      </c>
      <c r="CR114" s="382">
        <f>Monthly!CT154</f>
        <v>0</v>
      </c>
      <c r="CS114" s="382">
        <f>Monthly!CU154</f>
        <v>0</v>
      </c>
      <c r="CT114" s="382">
        <f>Monthly!CV154</f>
        <v>0</v>
      </c>
      <c r="CU114" s="382">
        <f>Monthly!CW154</f>
        <v>0</v>
      </c>
      <c r="CV114" s="382">
        <f>Monthly!CX154</f>
        <v>0</v>
      </c>
      <c r="CW114" s="382">
        <f>Monthly!CY154</f>
        <v>0</v>
      </c>
      <c r="CX114" s="382">
        <f>Monthly!CZ154</f>
        <v>0</v>
      </c>
      <c r="CY114" s="382">
        <f>Monthly!DA154</f>
        <v>0</v>
      </c>
      <c r="CZ114" s="382">
        <f>Monthly!DB154</f>
        <v>0</v>
      </c>
      <c r="DA114" s="382">
        <f>Monthly!DC154</f>
        <v>0</v>
      </c>
      <c r="DB114" s="382">
        <f>Monthly!DD154</f>
        <v>0</v>
      </c>
      <c r="DC114" s="382">
        <f>Monthly!DE154</f>
        <v>0</v>
      </c>
      <c r="DD114" s="382">
        <f>Monthly!DF154</f>
        <v>0</v>
      </c>
      <c r="DE114" s="382">
        <f>Monthly!DG154</f>
        <v>0</v>
      </c>
      <c r="DF114" s="382">
        <f>Monthly!DH154</f>
        <v>0</v>
      </c>
      <c r="DG114" s="382">
        <f>Monthly!DI154</f>
        <v>0</v>
      </c>
      <c r="DH114" s="382">
        <f>Monthly!DJ154</f>
        <v>0</v>
      </c>
      <c r="DI114" s="382">
        <f>Monthly!DK154</f>
        <v>0</v>
      </c>
      <c r="DJ114" s="382">
        <f>Monthly!DL154</f>
        <v>0</v>
      </c>
      <c r="DK114" s="382">
        <f>Monthly!DM154</f>
        <v>0</v>
      </c>
      <c r="DL114" s="382">
        <f>Monthly!DN154</f>
        <v>0</v>
      </c>
      <c r="DM114" s="382"/>
      <c r="DN114" s="382">
        <f>Monthly!DP154</f>
        <v>0</v>
      </c>
      <c r="DO114" s="330"/>
    </row>
    <row r="115" spans="2:119" x14ac:dyDescent="0.3">
      <c r="B115" s="416"/>
      <c r="C115" s="427" t="s">
        <v>117</v>
      </c>
      <c r="D115" s="387"/>
      <c r="E115" s="359"/>
      <c r="F115" s="359"/>
      <c r="G115" s="359"/>
      <c r="H115" s="517"/>
      <c r="I115" s="382">
        <f t="shared" ref="I115" si="767">SUM(I112:I114)</f>
        <v>10000</v>
      </c>
      <c r="J115" s="382">
        <f t="shared" ref="J115:BU115" si="768">SUM(J112:J114)</f>
        <v>10000</v>
      </c>
      <c r="K115" s="382">
        <f t="shared" si="768"/>
        <v>10000</v>
      </c>
      <c r="L115" s="382">
        <f t="shared" si="768"/>
        <v>10000</v>
      </c>
      <c r="M115" s="382">
        <f t="shared" si="768"/>
        <v>10000</v>
      </c>
      <c r="N115" s="382">
        <f t="shared" si="768"/>
        <v>10000</v>
      </c>
      <c r="O115" s="382">
        <f t="shared" si="768"/>
        <v>10000</v>
      </c>
      <c r="P115" s="382">
        <f t="shared" si="768"/>
        <v>10000</v>
      </c>
      <c r="Q115" s="382">
        <f t="shared" si="768"/>
        <v>10000</v>
      </c>
      <c r="R115" s="382">
        <f t="shared" si="768"/>
        <v>10000</v>
      </c>
      <c r="S115" s="382">
        <f t="shared" si="768"/>
        <v>10000</v>
      </c>
      <c r="T115" s="920">
        <f t="shared" si="768"/>
        <v>10000</v>
      </c>
      <c r="U115" s="382">
        <f t="shared" si="768"/>
        <v>0</v>
      </c>
      <c r="V115" s="382">
        <f t="shared" si="768"/>
        <v>0</v>
      </c>
      <c r="W115" s="382">
        <f t="shared" si="768"/>
        <v>0</v>
      </c>
      <c r="X115" s="382">
        <f t="shared" si="768"/>
        <v>0</v>
      </c>
      <c r="Y115" s="382">
        <f t="shared" si="768"/>
        <v>0</v>
      </c>
      <c r="Z115" s="382">
        <f t="shared" si="768"/>
        <v>0</v>
      </c>
      <c r="AA115" s="382">
        <f t="shared" si="768"/>
        <v>0</v>
      </c>
      <c r="AB115" s="382">
        <f t="shared" si="768"/>
        <v>0</v>
      </c>
      <c r="AC115" s="382">
        <f t="shared" si="768"/>
        <v>0</v>
      </c>
      <c r="AD115" s="382">
        <f t="shared" si="768"/>
        <v>0</v>
      </c>
      <c r="AE115" s="382">
        <f t="shared" si="768"/>
        <v>0</v>
      </c>
      <c r="AF115" s="920">
        <f t="shared" si="768"/>
        <v>0</v>
      </c>
      <c r="AG115" s="382">
        <f t="shared" si="768"/>
        <v>0</v>
      </c>
      <c r="AH115" s="382">
        <f t="shared" si="768"/>
        <v>0</v>
      </c>
      <c r="AI115" s="382">
        <f t="shared" si="768"/>
        <v>0</v>
      </c>
      <c r="AJ115" s="382">
        <f t="shared" si="768"/>
        <v>0</v>
      </c>
      <c r="AK115" s="382">
        <f t="shared" si="768"/>
        <v>0</v>
      </c>
      <c r="AL115" s="382">
        <f t="shared" si="768"/>
        <v>0</v>
      </c>
      <c r="AM115" s="382">
        <f t="shared" si="768"/>
        <v>0</v>
      </c>
      <c r="AN115" s="382">
        <f t="shared" si="768"/>
        <v>0</v>
      </c>
      <c r="AO115" s="382">
        <f t="shared" si="768"/>
        <v>0</v>
      </c>
      <c r="AP115" s="382">
        <f t="shared" si="768"/>
        <v>0</v>
      </c>
      <c r="AQ115" s="382">
        <f t="shared" si="768"/>
        <v>0</v>
      </c>
      <c r="AR115" s="920">
        <f t="shared" si="768"/>
        <v>0</v>
      </c>
      <c r="AS115" s="382">
        <f t="shared" si="768"/>
        <v>0</v>
      </c>
      <c r="AT115" s="382">
        <f t="shared" si="768"/>
        <v>0</v>
      </c>
      <c r="AU115" s="382">
        <f t="shared" si="768"/>
        <v>0</v>
      </c>
      <c r="AV115" s="382">
        <f t="shared" si="768"/>
        <v>0</v>
      </c>
      <c r="AW115" s="382">
        <f t="shared" si="768"/>
        <v>0</v>
      </c>
      <c r="AX115" s="382">
        <f t="shared" si="768"/>
        <v>0</v>
      </c>
      <c r="AY115" s="382">
        <f t="shared" si="768"/>
        <v>0</v>
      </c>
      <c r="AZ115" s="382">
        <f t="shared" si="768"/>
        <v>0</v>
      </c>
      <c r="BA115" s="382">
        <f t="shared" si="768"/>
        <v>0</v>
      </c>
      <c r="BB115" s="382">
        <f t="shared" si="768"/>
        <v>0</v>
      </c>
      <c r="BC115" s="382">
        <f t="shared" si="768"/>
        <v>0</v>
      </c>
      <c r="BD115" s="920">
        <f t="shared" si="768"/>
        <v>0</v>
      </c>
      <c r="BE115" s="382">
        <f t="shared" si="768"/>
        <v>0</v>
      </c>
      <c r="BF115" s="382">
        <f t="shared" si="768"/>
        <v>0</v>
      </c>
      <c r="BG115" s="382">
        <f t="shared" si="768"/>
        <v>0</v>
      </c>
      <c r="BH115" s="382">
        <f t="shared" si="768"/>
        <v>0</v>
      </c>
      <c r="BI115" s="382">
        <f t="shared" si="768"/>
        <v>0</v>
      </c>
      <c r="BJ115" s="382">
        <f t="shared" si="768"/>
        <v>0</v>
      </c>
      <c r="BK115" s="382">
        <f t="shared" si="768"/>
        <v>0</v>
      </c>
      <c r="BL115" s="382">
        <f t="shared" si="768"/>
        <v>0</v>
      </c>
      <c r="BM115" s="382">
        <f t="shared" si="768"/>
        <v>0</v>
      </c>
      <c r="BN115" s="382">
        <f t="shared" si="768"/>
        <v>0</v>
      </c>
      <c r="BO115" s="382">
        <f t="shared" si="768"/>
        <v>0</v>
      </c>
      <c r="BP115" s="920">
        <f t="shared" si="768"/>
        <v>0</v>
      </c>
      <c r="BQ115" s="382">
        <f t="shared" si="768"/>
        <v>0</v>
      </c>
      <c r="BR115" s="382">
        <f t="shared" si="768"/>
        <v>0</v>
      </c>
      <c r="BS115" s="382">
        <f t="shared" si="768"/>
        <v>0</v>
      </c>
      <c r="BT115" s="382">
        <f t="shared" si="768"/>
        <v>0</v>
      </c>
      <c r="BU115" s="382">
        <f t="shared" si="768"/>
        <v>0</v>
      </c>
      <c r="BV115" s="382">
        <f t="shared" ref="BV115:DN115" si="769">SUM(BV112:BV114)</f>
        <v>0</v>
      </c>
      <c r="BW115" s="382">
        <f t="shared" si="769"/>
        <v>0</v>
      </c>
      <c r="BX115" s="382">
        <f t="shared" si="769"/>
        <v>0</v>
      </c>
      <c r="BY115" s="382">
        <f t="shared" si="769"/>
        <v>0</v>
      </c>
      <c r="BZ115" s="382">
        <f t="shared" si="769"/>
        <v>0</v>
      </c>
      <c r="CA115" s="382">
        <f t="shared" si="769"/>
        <v>0</v>
      </c>
      <c r="CB115" s="920">
        <f t="shared" si="769"/>
        <v>0</v>
      </c>
      <c r="CC115" s="382">
        <f t="shared" si="769"/>
        <v>0</v>
      </c>
      <c r="CD115" s="382">
        <f t="shared" si="769"/>
        <v>0</v>
      </c>
      <c r="CE115" s="382">
        <f t="shared" si="769"/>
        <v>0</v>
      </c>
      <c r="CF115" s="382">
        <f t="shared" si="769"/>
        <v>0</v>
      </c>
      <c r="CG115" s="382">
        <f t="shared" si="769"/>
        <v>0</v>
      </c>
      <c r="CH115" s="382">
        <f t="shared" si="769"/>
        <v>0</v>
      </c>
      <c r="CI115" s="382">
        <f t="shared" si="769"/>
        <v>0</v>
      </c>
      <c r="CJ115" s="382">
        <f t="shared" si="769"/>
        <v>0</v>
      </c>
      <c r="CK115" s="382">
        <f t="shared" si="769"/>
        <v>0</v>
      </c>
      <c r="CL115" s="382">
        <f t="shared" si="769"/>
        <v>0</v>
      </c>
      <c r="CM115" s="382">
        <f t="shared" si="769"/>
        <v>0</v>
      </c>
      <c r="CN115" s="920">
        <f t="shared" si="769"/>
        <v>0</v>
      </c>
      <c r="CO115" s="382">
        <f t="shared" si="769"/>
        <v>0</v>
      </c>
      <c r="CP115" s="382">
        <f t="shared" si="769"/>
        <v>0</v>
      </c>
      <c r="CQ115" s="382">
        <f t="shared" si="769"/>
        <v>0</v>
      </c>
      <c r="CR115" s="382">
        <f t="shared" si="769"/>
        <v>0</v>
      </c>
      <c r="CS115" s="382">
        <f t="shared" si="769"/>
        <v>0</v>
      </c>
      <c r="CT115" s="382">
        <f t="shared" si="769"/>
        <v>0</v>
      </c>
      <c r="CU115" s="382">
        <f t="shared" si="769"/>
        <v>0</v>
      </c>
      <c r="CV115" s="382">
        <f t="shared" si="769"/>
        <v>0</v>
      </c>
      <c r="CW115" s="382">
        <f t="shared" si="769"/>
        <v>0</v>
      </c>
      <c r="CX115" s="382">
        <f t="shared" si="769"/>
        <v>0</v>
      </c>
      <c r="CY115" s="382">
        <f t="shared" si="769"/>
        <v>0</v>
      </c>
      <c r="CZ115" s="920">
        <f t="shared" si="769"/>
        <v>0</v>
      </c>
      <c r="DA115" s="382">
        <f t="shared" ref="DA115:DL115" si="770">SUM(DA112:DA114)</f>
        <v>0</v>
      </c>
      <c r="DB115" s="382">
        <f t="shared" si="770"/>
        <v>0</v>
      </c>
      <c r="DC115" s="382">
        <f t="shared" si="770"/>
        <v>0</v>
      </c>
      <c r="DD115" s="382">
        <f t="shared" si="770"/>
        <v>0</v>
      </c>
      <c r="DE115" s="382">
        <f t="shared" si="770"/>
        <v>0</v>
      </c>
      <c r="DF115" s="382">
        <f t="shared" si="770"/>
        <v>0</v>
      </c>
      <c r="DG115" s="382">
        <f t="shared" si="770"/>
        <v>0</v>
      </c>
      <c r="DH115" s="382">
        <f t="shared" si="770"/>
        <v>0</v>
      </c>
      <c r="DI115" s="382">
        <f t="shared" si="770"/>
        <v>0</v>
      </c>
      <c r="DJ115" s="382">
        <f t="shared" si="770"/>
        <v>0</v>
      </c>
      <c r="DK115" s="382">
        <f t="shared" si="770"/>
        <v>0</v>
      </c>
      <c r="DL115" s="382">
        <f t="shared" si="770"/>
        <v>0</v>
      </c>
      <c r="DM115" s="382"/>
      <c r="DN115" s="382">
        <f t="shared" si="769"/>
        <v>120000</v>
      </c>
      <c r="DO115" s="330"/>
    </row>
    <row r="116" spans="2:119" x14ac:dyDescent="0.3">
      <c r="B116" s="416"/>
      <c r="C116" s="423"/>
      <c r="D116" s="385"/>
      <c r="E116" s="356"/>
      <c r="F116" s="356"/>
      <c r="G116" s="356"/>
      <c r="H116" s="512"/>
      <c r="I116" s="381"/>
      <c r="J116" s="381"/>
      <c r="K116" s="381"/>
      <c r="L116" s="381"/>
      <c r="M116" s="381"/>
      <c r="N116" s="381"/>
      <c r="O116" s="381"/>
      <c r="P116" s="381"/>
      <c r="Q116" s="381"/>
      <c r="R116" s="381"/>
      <c r="S116" s="381"/>
      <c r="T116" s="917"/>
      <c r="U116" s="381"/>
      <c r="V116" s="381"/>
      <c r="W116" s="381"/>
      <c r="X116" s="381"/>
      <c r="Y116" s="381"/>
      <c r="Z116" s="381"/>
      <c r="AA116" s="381"/>
      <c r="AB116" s="381"/>
      <c r="AC116" s="381"/>
      <c r="AD116" s="381"/>
      <c r="AE116" s="381"/>
      <c r="AF116" s="917"/>
      <c r="AG116" s="381"/>
      <c r="AH116" s="381"/>
      <c r="AI116" s="381"/>
      <c r="AJ116" s="381"/>
      <c r="AK116" s="381"/>
      <c r="AL116" s="381"/>
      <c r="AM116" s="381"/>
      <c r="AN116" s="381"/>
      <c r="AO116" s="381"/>
      <c r="AP116" s="381"/>
      <c r="AQ116" s="381"/>
      <c r="AR116" s="917"/>
      <c r="AS116" s="381"/>
      <c r="AT116" s="381"/>
      <c r="AU116" s="381"/>
      <c r="AV116" s="381"/>
      <c r="AW116" s="381"/>
      <c r="AX116" s="381"/>
      <c r="AY116" s="381"/>
      <c r="AZ116" s="381"/>
      <c r="BA116" s="381"/>
      <c r="BB116" s="381"/>
      <c r="BC116" s="381"/>
      <c r="BD116" s="917"/>
      <c r="BE116" s="381"/>
      <c r="BF116" s="381"/>
      <c r="BG116" s="381"/>
      <c r="BH116" s="381"/>
      <c r="BI116" s="381"/>
      <c r="BJ116" s="381"/>
      <c r="BK116" s="381"/>
      <c r="BL116" s="381"/>
      <c r="BM116" s="381"/>
      <c r="BN116" s="381"/>
      <c r="BO116" s="381"/>
      <c r="BP116" s="917"/>
      <c r="BQ116" s="381"/>
      <c r="BR116" s="381"/>
      <c r="BS116" s="381"/>
      <c r="BT116" s="381"/>
      <c r="BU116" s="381"/>
      <c r="BV116" s="381"/>
      <c r="BW116" s="381"/>
      <c r="BX116" s="381"/>
      <c r="BY116" s="381"/>
      <c r="BZ116" s="381"/>
      <c r="CA116" s="381"/>
      <c r="CB116" s="917"/>
      <c r="CC116" s="381"/>
      <c r="CD116" s="381"/>
      <c r="CE116" s="381"/>
      <c r="CF116" s="381"/>
      <c r="CG116" s="381"/>
      <c r="CH116" s="381"/>
      <c r="CI116" s="381"/>
      <c r="CJ116" s="381"/>
      <c r="CK116" s="381"/>
      <c r="CL116" s="381"/>
      <c r="CM116" s="381"/>
      <c r="CN116" s="917"/>
      <c r="CO116" s="381"/>
      <c r="CP116" s="381"/>
      <c r="CQ116" s="381"/>
      <c r="CR116" s="381"/>
      <c r="CS116" s="381"/>
      <c r="CT116" s="381"/>
      <c r="CU116" s="381"/>
      <c r="CV116" s="381"/>
      <c r="CW116" s="381"/>
      <c r="CX116" s="381"/>
      <c r="CY116" s="381"/>
      <c r="CZ116" s="917"/>
      <c r="DA116" s="381"/>
      <c r="DB116" s="381"/>
      <c r="DC116" s="381"/>
      <c r="DD116" s="381"/>
      <c r="DE116" s="381"/>
      <c r="DF116" s="381"/>
      <c r="DG116" s="381"/>
      <c r="DH116" s="381"/>
      <c r="DI116" s="381"/>
      <c r="DJ116" s="381"/>
      <c r="DK116" s="381"/>
      <c r="DL116" s="381"/>
      <c r="DM116" s="381"/>
      <c r="DN116" s="424"/>
      <c r="DO116" s="330"/>
    </row>
    <row r="117" spans="2:119" x14ac:dyDescent="0.3">
      <c r="B117" s="416"/>
      <c r="C117" s="423"/>
      <c r="D117" s="385" t="s">
        <v>367</v>
      </c>
      <c r="E117" s="356"/>
      <c r="F117" s="356"/>
      <c r="G117" s="356"/>
      <c r="H117" s="356"/>
      <c r="I117" s="356"/>
      <c r="J117" s="356"/>
      <c r="K117" s="356"/>
      <c r="L117" s="356"/>
      <c r="M117" s="356"/>
      <c r="N117" s="356"/>
      <c r="O117" s="356"/>
      <c r="P117" s="356"/>
      <c r="Q117" s="356"/>
      <c r="R117" s="356"/>
      <c r="S117" s="356"/>
      <c r="T117" s="921"/>
      <c r="U117" s="356"/>
      <c r="V117" s="356"/>
      <c r="W117" s="356"/>
      <c r="X117" s="356"/>
      <c r="Y117" s="356"/>
      <c r="Z117" s="356"/>
      <c r="AA117" s="356"/>
      <c r="AB117" s="356"/>
      <c r="AC117" s="356"/>
      <c r="AD117" s="356"/>
      <c r="AE117" s="356"/>
      <c r="AF117" s="921"/>
      <c r="AG117" s="356"/>
      <c r="AH117" s="356"/>
      <c r="AI117" s="356"/>
      <c r="AJ117" s="356"/>
      <c r="AK117" s="356"/>
      <c r="AL117" s="356"/>
      <c r="AM117" s="356"/>
      <c r="AN117" s="356"/>
      <c r="AO117" s="356"/>
      <c r="AP117" s="356"/>
      <c r="AQ117" s="356"/>
      <c r="AR117" s="921"/>
      <c r="AS117" s="356"/>
      <c r="AT117" s="356"/>
      <c r="AU117" s="356"/>
      <c r="AV117" s="356"/>
      <c r="AW117" s="356"/>
      <c r="AX117" s="356"/>
      <c r="AY117" s="356"/>
      <c r="AZ117" s="356"/>
      <c r="BA117" s="356"/>
      <c r="BB117" s="356"/>
      <c r="BC117" s="356"/>
      <c r="BD117" s="921"/>
      <c r="BE117" s="356"/>
      <c r="BF117" s="356"/>
      <c r="BG117" s="356"/>
      <c r="BH117" s="356"/>
      <c r="BI117" s="356"/>
      <c r="BJ117" s="356"/>
      <c r="BK117" s="356"/>
      <c r="BL117" s="356"/>
      <c r="BM117" s="356"/>
      <c r="BN117" s="356"/>
      <c r="BO117" s="356"/>
      <c r="BP117" s="921"/>
      <c r="BQ117" s="356"/>
      <c r="BR117" s="356"/>
      <c r="BS117" s="356"/>
      <c r="BT117" s="356"/>
      <c r="BU117" s="356"/>
      <c r="BV117" s="356"/>
      <c r="BW117" s="356"/>
      <c r="BX117" s="356"/>
      <c r="BY117" s="356"/>
      <c r="BZ117" s="356"/>
      <c r="CA117" s="356"/>
      <c r="CB117" s="921"/>
      <c r="CC117" s="356"/>
      <c r="CD117" s="356"/>
      <c r="CE117" s="356"/>
      <c r="CF117" s="356"/>
      <c r="CG117" s="356"/>
      <c r="CH117" s="356"/>
      <c r="CI117" s="356"/>
      <c r="CJ117" s="356"/>
      <c r="CK117" s="356"/>
      <c r="CL117" s="356"/>
      <c r="CM117" s="356"/>
      <c r="CN117" s="921"/>
      <c r="CO117" s="356"/>
      <c r="CP117" s="356"/>
      <c r="CQ117" s="356"/>
      <c r="CR117" s="356"/>
      <c r="CS117" s="356"/>
      <c r="CT117" s="356"/>
      <c r="CU117" s="356"/>
      <c r="CV117" s="356"/>
      <c r="CW117" s="356"/>
      <c r="CX117" s="356"/>
      <c r="CY117" s="356"/>
      <c r="CZ117" s="921"/>
      <c r="DA117" s="356"/>
      <c r="DB117" s="356"/>
      <c r="DC117" s="356"/>
      <c r="DD117" s="356"/>
      <c r="DE117" s="356"/>
      <c r="DF117" s="356"/>
      <c r="DG117" s="356"/>
      <c r="DH117" s="356"/>
      <c r="DI117" s="356"/>
      <c r="DJ117" s="356"/>
      <c r="DK117" s="356"/>
      <c r="DL117" s="356"/>
      <c r="DM117" s="356"/>
      <c r="DN117" s="424"/>
      <c r="DO117" s="330"/>
    </row>
    <row r="118" spans="2:119" x14ac:dyDescent="0.3">
      <c r="B118" s="416"/>
      <c r="C118" s="423"/>
      <c r="D118" s="385"/>
      <c r="E118" s="356" t="s">
        <v>366</v>
      </c>
      <c r="F118" s="356"/>
      <c r="G118" s="356"/>
      <c r="H118" s="512">
        <f>-'Members Capital'!H22</f>
        <v>-99625.77</v>
      </c>
      <c r="I118" s="381">
        <f>I115</f>
        <v>10000</v>
      </c>
      <c r="J118" s="381">
        <f t="shared" ref="J118:AI118" si="771">J115</f>
        <v>10000</v>
      </c>
      <c r="K118" s="381">
        <f t="shared" si="771"/>
        <v>10000</v>
      </c>
      <c r="L118" s="381">
        <f t="shared" si="771"/>
        <v>10000</v>
      </c>
      <c r="M118" s="381">
        <f t="shared" si="771"/>
        <v>10000</v>
      </c>
      <c r="N118" s="381">
        <f t="shared" si="771"/>
        <v>10000</v>
      </c>
      <c r="O118" s="381">
        <f t="shared" si="771"/>
        <v>10000</v>
      </c>
      <c r="P118" s="381">
        <f t="shared" si="771"/>
        <v>10000</v>
      </c>
      <c r="Q118" s="381">
        <f t="shared" si="771"/>
        <v>10000</v>
      </c>
      <c r="R118" s="381">
        <f t="shared" si="771"/>
        <v>10000</v>
      </c>
      <c r="S118" s="381">
        <f t="shared" si="771"/>
        <v>10000</v>
      </c>
      <c r="T118" s="917">
        <f t="shared" si="771"/>
        <v>10000</v>
      </c>
      <c r="U118" s="381">
        <f t="shared" si="771"/>
        <v>0</v>
      </c>
      <c r="V118" s="381">
        <f t="shared" si="771"/>
        <v>0</v>
      </c>
      <c r="W118" s="381">
        <f t="shared" si="771"/>
        <v>0</v>
      </c>
      <c r="X118" s="381">
        <f t="shared" si="771"/>
        <v>0</v>
      </c>
      <c r="Y118" s="381">
        <f t="shared" si="771"/>
        <v>0</v>
      </c>
      <c r="Z118" s="381">
        <f t="shared" si="771"/>
        <v>0</v>
      </c>
      <c r="AA118" s="381">
        <f t="shared" si="771"/>
        <v>0</v>
      </c>
      <c r="AB118" s="381">
        <f t="shared" si="771"/>
        <v>0</v>
      </c>
      <c r="AC118" s="381">
        <f t="shared" si="771"/>
        <v>0</v>
      </c>
      <c r="AD118" s="381">
        <f t="shared" si="771"/>
        <v>0</v>
      </c>
      <c r="AE118" s="381">
        <f t="shared" si="771"/>
        <v>0</v>
      </c>
      <c r="AF118" s="917">
        <f t="shared" si="771"/>
        <v>0</v>
      </c>
      <c r="AG118" s="381">
        <f t="shared" si="771"/>
        <v>0</v>
      </c>
      <c r="AH118" s="381">
        <f t="shared" si="771"/>
        <v>0</v>
      </c>
      <c r="AI118" s="381">
        <f t="shared" si="771"/>
        <v>0</v>
      </c>
      <c r="AJ118" s="381">
        <f t="shared" ref="AJ118:BD118" si="772">AJ115</f>
        <v>0</v>
      </c>
      <c r="AK118" s="381">
        <f t="shared" si="772"/>
        <v>0</v>
      </c>
      <c r="AL118" s="381">
        <f t="shared" si="772"/>
        <v>0</v>
      </c>
      <c r="AM118" s="381">
        <f t="shared" si="772"/>
        <v>0</v>
      </c>
      <c r="AN118" s="381">
        <f t="shared" si="772"/>
        <v>0</v>
      </c>
      <c r="AO118" s="381">
        <f t="shared" si="772"/>
        <v>0</v>
      </c>
      <c r="AP118" s="381">
        <f t="shared" si="772"/>
        <v>0</v>
      </c>
      <c r="AQ118" s="381">
        <f t="shared" si="772"/>
        <v>0</v>
      </c>
      <c r="AR118" s="917">
        <f t="shared" si="772"/>
        <v>0</v>
      </c>
      <c r="AS118" s="381">
        <f t="shared" si="772"/>
        <v>0</v>
      </c>
      <c r="AT118" s="381">
        <f t="shared" si="772"/>
        <v>0</v>
      </c>
      <c r="AU118" s="381">
        <f t="shared" si="772"/>
        <v>0</v>
      </c>
      <c r="AV118" s="381">
        <f t="shared" si="772"/>
        <v>0</v>
      </c>
      <c r="AW118" s="381">
        <f t="shared" si="772"/>
        <v>0</v>
      </c>
      <c r="AX118" s="381">
        <f t="shared" si="772"/>
        <v>0</v>
      </c>
      <c r="AY118" s="381">
        <f t="shared" si="772"/>
        <v>0</v>
      </c>
      <c r="AZ118" s="381">
        <f t="shared" si="772"/>
        <v>0</v>
      </c>
      <c r="BA118" s="381">
        <f t="shared" si="772"/>
        <v>0</v>
      </c>
      <c r="BB118" s="381">
        <f t="shared" si="772"/>
        <v>0</v>
      </c>
      <c r="BC118" s="381">
        <f t="shared" si="772"/>
        <v>0</v>
      </c>
      <c r="BD118" s="917">
        <f t="shared" si="772"/>
        <v>0</v>
      </c>
      <c r="BE118" s="381">
        <f t="shared" ref="BE118:CB118" si="773">BE115</f>
        <v>0</v>
      </c>
      <c r="BF118" s="381">
        <f t="shared" si="773"/>
        <v>0</v>
      </c>
      <c r="BG118" s="381">
        <f t="shared" si="773"/>
        <v>0</v>
      </c>
      <c r="BH118" s="381">
        <f t="shared" si="773"/>
        <v>0</v>
      </c>
      <c r="BI118" s="381">
        <f t="shared" si="773"/>
        <v>0</v>
      </c>
      <c r="BJ118" s="381">
        <f t="shared" si="773"/>
        <v>0</v>
      </c>
      <c r="BK118" s="381">
        <f t="shared" si="773"/>
        <v>0</v>
      </c>
      <c r="BL118" s="381">
        <f t="shared" si="773"/>
        <v>0</v>
      </c>
      <c r="BM118" s="381">
        <f t="shared" si="773"/>
        <v>0</v>
      </c>
      <c r="BN118" s="381">
        <f t="shared" si="773"/>
        <v>0</v>
      </c>
      <c r="BO118" s="381">
        <f t="shared" si="773"/>
        <v>0</v>
      </c>
      <c r="BP118" s="917">
        <f t="shared" si="773"/>
        <v>0</v>
      </c>
      <c r="BQ118" s="381">
        <f t="shared" si="773"/>
        <v>0</v>
      </c>
      <c r="BR118" s="381">
        <f t="shared" si="773"/>
        <v>0</v>
      </c>
      <c r="BS118" s="381">
        <f t="shared" si="773"/>
        <v>0</v>
      </c>
      <c r="BT118" s="381">
        <f t="shared" si="773"/>
        <v>0</v>
      </c>
      <c r="BU118" s="381">
        <f t="shared" si="773"/>
        <v>0</v>
      </c>
      <c r="BV118" s="381">
        <f t="shared" si="773"/>
        <v>0</v>
      </c>
      <c r="BW118" s="381">
        <f t="shared" si="773"/>
        <v>0</v>
      </c>
      <c r="BX118" s="381">
        <f t="shared" si="773"/>
        <v>0</v>
      </c>
      <c r="BY118" s="381">
        <f t="shared" si="773"/>
        <v>0</v>
      </c>
      <c r="BZ118" s="381">
        <f t="shared" si="773"/>
        <v>0</v>
      </c>
      <c r="CA118" s="381">
        <f t="shared" si="773"/>
        <v>0</v>
      </c>
      <c r="CB118" s="917">
        <f t="shared" si="773"/>
        <v>0</v>
      </c>
      <c r="CC118" s="381">
        <f t="shared" ref="CC118:CZ118" si="774">CC115</f>
        <v>0</v>
      </c>
      <c r="CD118" s="381">
        <f t="shared" si="774"/>
        <v>0</v>
      </c>
      <c r="CE118" s="381">
        <f t="shared" si="774"/>
        <v>0</v>
      </c>
      <c r="CF118" s="381">
        <f t="shared" si="774"/>
        <v>0</v>
      </c>
      <c r="CG118" s="381">
        <f t="shared" si="774"/>
        <v>0</v>
      </c>
      <c r="CH118" s="381">
        <f t="shared" si="774"/>
        <v>0</v>
      </c>
      <c r="CI118" s="381">
        <f t="shared" si="774"/>
        <v>0</v>
      </c>
      <c r="CJ118" s="381">
        <f t="shared" si="774"/>
        <v>0</v>
      </c>
      <c r="CK118" s="381">
        <f t="shared" si="774"/>
        <v>0</v>
      </c>
      <c r="CL118" s="381">
        <f t="shared" si="774"/>
        <v>0</v>
      </c>
      <c r="CM118" s="381">
        <f t="shared" si="774"/>
        <v>0</v>
      </c>
      <c r="CN118" s="917">
        <f t="shared" si="774"/>
        <v>0</v>
      </c>
      <c r="CO118" s="381">
        <f t="shared" si="774"/>
        <v>0</v>
      </c>
      <c r="CP118" s="381">
        <f t="shared" si="774"/>
        <v>0</v>
      </c>
      <c r="CQ118" s="381">
        <f t="shared" si="774"/>
        <v>0</v>
      </c>
      <c r="CR118" s="381">
        <f t="shared" si="774"/>
        <v>0</v>
      </c>
      <c r="CS118" s="381">
        <f t="shared" si="774"/>
        <v>0</v>
      </c>
      <c r="CT118" s="381">
        <f t="shared" si="774"/>
        <v>0</v>
      </c>
      <c r="CU118" s="381">
        <f t="shared" si="774"/>
        <v>0</v>
      </c>
      <c r="CV118" s="381">
        <f t="shared" si="774"/>
        <v>0</v>
      </c>
      <c r="CW118" s="381">
        <f t="shared" si="774"/>
        <v>0</v>
      </c>
      <c r="CX118" s="381">
        <f t="shared" si="774"/>
        <v>0</v>
      </c>
      <c r="CY118" s="381">
        <f t="shared" si="774"/>
        <v>0</v>
      </c>
      <c r="CZ118" s="917">
        <f t="shared" si="774"/>
        <v>0</v>
      </c>
      <c r="DA118" s="381">
        <f t="shared" ref="DA118:DL118" si="775">DA115</f>
        <v>0</v>
      </c>
      <c r="DB118" s="381">
        <f t="shared" si="775"/>
        <v>0</v>
      </c>
      <c r="DC118" s="381">
        <f t="shared" si="775"/>
        <v>0</v>
      </c>
      <c r="DD118" s="381">
        <f t="shared" si="775"/>
        <v>0</v>
      </c>
      <c r="DE118" s="381">
        <f t="shared" si="775"/>
        <v>0</v>
      </c>
      <c r="DF118" s="381">
        <f t="shared" si="775"/>
        <v>0</v>
      </c>
      <c r="DG118" s="381">
        <f t="shared" si="775"/>
        <v>0</v>
      </c>
      <c r="DH118" s="381">
        <f t="shared" si="775"/>
        <v>0</v>
      </c>
      <c r="DI118" s="381">
        <f t="shared" si="775"/>
        <v>0</v>
      </c>
      <c r="DJ118" s="381">
        <f t="shared" si="775"/>
        <v>0</v>
      </c>
      <c r="DK118" s="381">
        <f t="shared" si="775"/>
        <v>0</v>
      </c>
      <c r="DL118" s="381">
        <f t="shared" si="775"/>
        <v>0</v>
      </c>
      <c r="DM118" s="381"/>
      <c r="DN118" s="720">
        <f>SUM(H118:DL118)</f>
        <v>20374.229999999996</v>
      </c>
      <c r="DO118" s="330"/>
    </row>
    <row r="119" spans="2:119" x14ac:dyDescent="0.3">
      <c r="B119" s="416"/>
      <c r="C119" s="423"/>
      <c r="D119" s="385"/>
      <c r="E119" s="356"/>
      <c r="F119" s="356" t="s">
        <v>364</v>
      </c>
      <c r="G119" s="383">
        <f>XIRR(H118:DL118,H2:DL2,0.01)</f>
        <v>0.42220063686370846</v>
      </c>
      <c r="H119" s="383"/>
      <c r="I119" s="356"/>
      <c r="J119" s="356"/>
      <c r="K119" s="356"/>
      <c r="L119" s="356"/>
      <c r="M119" s="356"/>
      <c r="N119" s="356"/>
      <c r="O119" s="356"/>
      <c r="P119" s="356"/>
      <c r="Q119" s="356"/>
      <c r="R119" s="356"/>
      <c r="S119" s="356"/>
      <c r="T119" s="921"/>
      <c r="U119" s="356"/>
      <c r="V119" s="356"/>
      <c r="W119" s="356"/>
      <c r="X119" s="356"/>
      <c r="Y119" s="356"/>
      <c r="Z119" s="356"/>
      <c r="AA119" s="356"/>
      <c r="AB119" s="356"/>
      <c r="AC119" s="356"/>
      <c r="AD119" s="356"/>
      <c r="AE119" s="356"/>
      <c r="AF119" s="921"/>
      <c r="AG119" s="356"/>
      <c r="AH119" s="356"/>
      <c r="AI119" s="356"/>
      <c r="AJ119" s="356"/>
      <c r="AK119" s="356"/>
      <c r="AL119" s="356"/>
      <c r="AM119" s="356"/>
      <c r="AN119" s="356"/>
      <c r="AO119" s="356"/>
      <c r="AP119" s="356"/>
      <c r="AQ119" s="356"/>
      <c r="AR119" s="921"/>
      <c r="AS119" s="356"/>
      <c r="AT119" s="356"/>
      <c r="AU119" s="356"/>
      <c r="AV119" s="356"/>
      <c r="AW119" s="356"/>
      <c r="AX119" s="356"/>
      <c r="AY119" s="356"/>
      <c r="AZ119" s="356"/>
      <c r="BA119" s="356"/>
      <c r="BB119" s="356"/>
      <c r="BC119" s="356"/>
      <c r="BD119" s="921"/>
      <c r="BE119" s="356"/>
      <c r="BF119" s="356"/>
      <c r="BG119" s="356"/>
      <c r="BH119" s="356"/>
      <c r="BI119" s="356"/>
      <c r="BJ119" s="356"/>
      <c r="BK119" s="356"/>
      <c r="BL119" s="356"/>
      <c r="BM119" s="356"/>
      <c r="BN119" s="356"/>
      <c r="BO119" s="356"/>
      <c r="BP119" s="921"/>
      <c r="BQ119" s="356"/>
      <c r="BR119" s="356"/>
      <c r="BS119" s="356"/>
      <c r="BT119" s="356"/>
      <c r="BU119" s="356"/>
      <c r="BV119" s="356"/>
      <c r="BW119" s="356"/>
      <c r="BX119" s="356"/>
      <c r="BY119" s="356"/>
      <c r="BZ119" s="356"/>
      <c r="CA119" s="356"/>
      <c r="CB119" s="921"/>
      <c r="CC119" s="356"/>
      <c r="CD119" s="356"/>
      <c r="CE119" s="356"/>
      <c r="CF119" s="356"/>
      <c r="CG119" s="356"/>
      <c r="CH119" s="356"/>
      <c r="CI119" s="356"/>
      <c r="CJ119" s="356"/>
      <c r="CK119" s="356"/>
      <c r="CL119" s="356"/>
      <c r="CM119" s="356"/>
      <c r="CN119" s="921"/>
      <c r="CO119" s="356"/>
      <c r="CP119" s="356"/>
      <c r="CQ119" s="356"/>
      <c r="CR119" s="356"/>
      <c r="CS119" s="356"/>
      <c r="CT119" s="356"/>
      <c r="CU119" s="356"/>
      <c r="CV119" s="356"/>
      <c r="CW119" s="356"/>
      <c r="CX119" s="356"/>
      <c r="CY119" s="356"/>
      <c r="CZ119" s="921"/>
      <c r="DA119" s="356"/>
      <c r="DB119" s="356"/>
      <c r="DC119" s="356"/>
      <c r="DD119" s="356"/>
      <c r="DE119" s="356"/>
      <c r="DF119" s="356"/>
      <c r="DG119" s="356"/>
      <c r="DH119" s="356"/>
      <c r="DI119" s="356"/>
      <c r="DJ119" s="356"/>
      <c r="DK119" s="356"/>
      <c r="DL119" s="356"/>
      <c r="DM119" s="356"/>
      <c r="DN119" s="424"/>
      <c r="DO119" s="330"/>
    </row>
    <row r="120" spans="2:119" x14ac:dyDescent="0.3">
      <c r="B120" s="416"/>
      <c r="C120" s="423"/>
      <c r="D120" s="385"/>
      <c r="E120" s="356"/>
      <c r="F120" s="356" t="s">
        <v>369</v>
      </c>
      <c r="G120" s="518">
        <f>DN118</f>
        <v>20374.229999999996</v>
      </c>
      <c r="H120" s="381"/>
      <c r="I120" s="356"/>
      <c r="J120" s="356"/>
      <c r="K120" s="356"/>
      <c r="L120" s="356"/>
      <c r="M120" s="356"/>
      <c r="N120" s="356"/>
      <c r="O120" s="356"/>
      <c r="P120" s="356"/>
      <c r="Q120" s="356"/>
      <c r="R120" s="356"/>
      <c r="S120" s="356"/>
      <c r="T120" s="921"/>
      <c r="U120" s="356"/>
      <c r="V120" s="356"/>
      <c r="W120" s="356"/>
      <c r="X120" s="356"/>
      <c r="Y120" s="356"/>
      <c r="Z120" s="356"/>
      <c r="AA120" s="356"/>
      <c r="AB120" s="356"/>
      <c r="AC120" s="356"/>
      <c r="AD120" s="356"/>
      <c r="AE120" s="356"/>
      <c r="AF120" s="921"/>
      <c r="AG120" s="356"/>
      <c r="AH120" s="356"/>
      <c r="AI120" s="356"/>
      <c r="AJ120" s="356"/>
      <c r="AK120" s="356"/>
      <c r="AL120" s="356"/>
      <c r="AM120" s="356"/>
      <c r="AN120" s="356"/>
      <c r="AO120" s="356"/>
      <c r="AP120" s="356"/>
      <c r="AQ120" s="356"/>
      <c r="AR120" s="921"/>
      <c r="AS120" s="356"/>
      <c r="AT120" s="356"/>
      <c r="AU120" s="356"/>
      <c r="AV120" s="356"/>
      <c r="AW120" s="356"/>
      <c r="AX120" s="356"/>
      <c r="AY120" s="356"/>
      <c r="AZ120" s="356"/>
      <c r="BA120" s="356"/>
      <c r="BB120" s="356"/>
      <c r="BC120" s="356"/>
      <c r="BD120" s="921"/>
      <c r="BE120" s="356"/>
      <c r="BF120" s="356"/>
      <c r="BG120" s="356"/>
      <c r="BH120" s="356"/>
      <c r="BI120" s="356"/>
      <c r="BJ120" s="356"/>
      <c r="BK120" s="356"/>
      <c r="BL120" s="356"/>
      <c r="BM120" s="356"/>
      <c r="BN120" s="356"/>
      <c r="BO120" s="356"/>
      <c r="BP120" s="921"/>
      <c r="BQ120" s="356"/>
      <c r="BR120" s="356"/>
      <c r="BS120" s="356"/>
      <c r="BT120" s="356"/>
      <c r="BU120" s="356"/>
      <c r="BV120" s="356"/>
      <c r="BW120" s="356"/>
      <c r="BX120" s="356"/>
      <c r="BY120" s="356"/>
      <c r="BZ120" s="356"/>
      <c r="CA120" s="356"/>
      <c r="CB120" s="921"/>
      <c r="CC120" s="356"/>
      <c r="CD120" s="356"/>
      <c r="CE120" s="356"/>
      <c r="CF120" s="356"/>
      <c r="CG120" s="356"/>
      <c r="CH120" s="356"/>
      <c r="CI120" s="356"/>
      <c r="CJ120" s="356"/>
      <c r="CK120" s="356"/>
      <c r="CL120" s="356"/>
      <c r="CM120" s="356"/>
      <c r="CN120" s="921"/>
      <c r="CO120" s="356"/>
      <c r="CP120" s="356"/>
      <c r="CQ120" s="356"/>
      <c r="CR120" s="356"/>
      <c r="CS120" s="356"/>
      <c r="CT120" s="356"/>
      <c r="CU120" s="356"/>
      <c r="CV120" s="356"/>
      <c r="CW120" s="356"/>
      <c r="CX120" s="356"/>
      <c r="CY120" s="356"/>
      <c r="CZ120" s="921"/>
      <c r="DA120" s="356"/>
      <c r="DB120" s="356"/>
      <c r="DC120" s="356"/>
      <c r="DD120" s="356"/>
      <c r="DE120" s="356"/>
      <c r="DF120" s="356"/>
      <c r="DG120" s="356"/>
      <c r="DH120" s="356"/>
      <c r="DI120" s="356"/>
      <c r="DJ120" s="356"/>
      <c r="DK120" s="356"/>
      <c r="DL120" s="356"/>
      <c r="DM120" s="356"/>
      <c r="DN120" s="424"/>
      <c r="DO120" s="330"/>
    </row>
    <row r="121" spans="2:119" x14ac:dyDescent="0.3">
      <c r="B121" s="416"/>
      <c r="C121" s="427"/>
      <c r="D121" s="387"/>
      <c r="E121" s="359"/>
      <c r="F121" s="359" t="s">
        <v>368</v>
      </c>
      <c r="G121" s="428">
        <f>SUM(I118:CZ118)/-H118</f>
        <v>1.204507628899631</v>
      </c>
      <c r="H121" s="428"/>
      <c r="I121" s="359"/>
      <c r="J121" s="359"/>
      <c r="K121" s="359"/>
      <c r="L121" s="359"/>
      <c r="M121" s="359"/>
      <c r="N121" s="359"/>
      <c r="O121" s="359"/>
      <c r="P121" s="359"/>
      <c r="Q121" s="359"/>
      <c r="R121" s="359"/>
      <c r="S121" s="359"/>
      <c r="T121" s="922"/>
      <c r="U121" s="359"/>
      <c r="V121" s="359"/>
      <c r="W121" s="359"/>
      <c r="X121" s="359"/>
      <c r="Y121" s="359"/>
      <c r="Z121" s="359"/>
      <c r="AA121" s="359"/>
      <c r="AB121" s="359"/>
      <c r="AC121" s="359"/>
      <c r="AD121" s="359"/>
      <c r="AE121" s="359"/>
      <c r="AF121" s="922"/>
      <c r="AG121" s="359"/>
      <c r="AH121" s="359"/>
      <c r="AI121" s="359"/>
      <c r="AJ121" s="359"/>
      <c r="AK121" s="359"/>
      <c r="AL121" s="359"/>
      <c r="AM121" s="359"/>
      <c r="AN121" s="359"/>
      <c r="AO121" s="359"/>
      <c r="AP121" s="359"/>
      <c r="AQ121" s="359"/>
      <c r="AR121" s="922"/>
      <c r="AS121" s="359"/>
      <c r="AT121" s="359"/>
      <c r="AU121" s="359"/>
      <c r="AV121" s="359"/>
      <c r="AW121" s="359"/>
      <c r="AX121" s="359"/>
      <c r="AY121" s="359"/>
      <c r="AZ121" s="359"/>
      <c r="BA121" s="359"/>
      <c r="BB121" s="359"/>
      <c r="BC121" s="359"/>
      <c r="BD121" s="922"/>
      <c r="BE121" s="359"/>
      <c r="BF121" s="359"/>
      <c r="BG121" s="359"/>
      <c r="BH121" s="359"/>
      <c r="BI121" s="359"/>
      <c r="BJ121" s="359"/>
      <c r="BK121" s="359"/>
      <c r="BL121" s="359"/>
      <c r="BM121" s="359"/>
      <c r="BN121" s="359"/>
      <c r="BO121" s="359"/>
      <c r="BP121" s="922"/>
      <c r="BQ121" s="359"/>
      <c r="BR121" s="359"/>
      <c r="BS121" s="359"/>
      <c r="BT121" s="359"/>
      <c r="BU121" s="359"/>
      <c r="BV121" s="359"/>
      <c r="BW121" s="359"/>
      <c r="BX121" s="359"/>
      <c r="BY121" s="359"/>
      <c r="BZ121" s="359"/>
      <c r="CA121" s="359"/>
      <c r="CB121" s="922"/>
      <c r="CC121" s="359"/>
      <c r="CD121" s="359"/>
      <c r="CE121" s="359"/>
      <c r="CF121" s="359"/>
      <c r="CG121" s="359"/>
      <c r="CH121" s="359"/>
      <c r="CI121" s="359"/>
      <c r="CJ121" s="359"/>
      <c r="CK121" s="359"/>
      <c r="CL121" s="359"/>
      <c r="CM121" s="359"/>
      <c r="CN121" s="922"/>
      <c r="CO121" s="359"/>
      <c r="CP121" s="359"/>
      <c r="CQ121" s="359"/>
      <c r="CR121" s="359"/>
      <c r="CS121" s="359"/>
      <c r="CT121" s="359"/>
      <c r="CU121" s="359"/>
      <c r="CV121" s="359"/>
      <c r="CW121" s="359"/>
      <c r="CX121" s="359"/>
      <c r="CY121" s="359"/>
      <c r="CZ121" s="922"/>
      <c r="DA121" s="359"/>
      <c r="DB121" s="359"/>
      <c r="DC121" s="359"/>
      <c r="DD121" s="359"/>
      <c r="DE121" s="359"/>
      <c r="DF121" s="359"/>
      <c r="DG121" s="359"/>
      <c r="DH121" s="359"/>
      <c r="DI121" s="359"/>
      <c r="DJ121" s="359"/>
      <c r="DK121" s="359"/>
      <c r="DL121" s="359"/>
      <c r="DM121" s="359"/>
      <c r="DN121" s="429"/>
      <c r="DO121" s="330"/>
    </row>
    <row r="122" spans="2:119" x14ac:dyDescent="0.3">
      <c r="B122" s="416"/>
      <c r="T122" s="561"/>
      <c r="AF122" s="561"/>
      <c r="AR122" s="561"/>
      <c r="BD122" s="561"/>
      <c r="BP122" s="561"/>
      <c r="CB122" s="561"/>
      <c r="CN122" s="561"/>
      <c r="CZ122" s="561"/>
      <c r="DO122" s="330"/>
    </row>
    <row r="123" spans="2:119" x14ac:dyDescent="0.3">
      <c r="B123" s="416"/>
      <c r="T123" s="561"/>
      <c r="AF123" s="561"/>
      <c r="AR123" s="561"/>
      <c r="BD123" s="561"/>
      <c r="BP123" s="561"/>
      <c r="CB123" s="561"/>
      <c r="CN123" s="561"/>
      <c r="CZ123" s="561"/>
      <c r="DO123" s="330"/>
    </row>
    <row r="124" spans="2:119" x14ac:dyDescent="0.3">
      <c r="B124" s="416"/>
      <c r="C124" s="385" t="s">
        <v>340</v>
      </c>
      <c r="D124" s="385"/>
      <c r="E124" s="356"/>
      <c r="F124" s="356"/>
      <c r="G124" s="356"/>
      <c r="H124" s="356"/>
      <c r="I124" s="356"/>
      <c r="J124" s="356"/>
      <c r="K124" s="356"/>
      <c r="L124" s="356"/>
      <c r="M124" s="356"/>
      <c r="N124" s="356"/>
      <c r="O124" s="356"/>
      <c r="P124" s="356"/>
      <c r="Q124" s="356"/>
      <c r="R124" s="356"/>
      <c r="S124" s="356"/>
      <c r="T124" s="921"/>
      <c r="U124" s="356"/>
      <c r="V124" s="356"/>
      <c r="W124" s="356"/>
      <c r="X124" s="356"/>
      <c r="Y124" s="356"/>
      <c r="Z124" s="356"/>
      <c r="AA124" s="356"/>
      <c r="AB124" s="356"/>
      <c r="AC124" s="356"/>
      <c r="AD124" s="356"/>
      <c r="AE124" s="356"/>
      <c r="AF124" s="921"/>
      <c r="AG124" s="356"/>
      <c r="AH124" s="356"/>
      <c r="AI124" s="356"/>
      <c r="AJ124" s="356"/>
      <c r="AK124" s="356"/>
      <c r="AL124" s="356"/>
      <c r="AM124" s="356"/>
      <c r="AN124" s="356"/>
      <c r="AO124" s="356"/>
      <c r="AP124" s="356"/>
      <c r="AQ124" s="356"/>
      <c r="AR124" s="921"/>
      <c r="AS124" s="356"/>
      <c r="AT124" s="356"/>
      <c r="AU124" s="356"/>
      <c r="AV124" s="356"/>
      <c r="AW124" s="356"/>
      <c r="AX124" s="356"/>
      <c r="AY124" s="356"/>
      <c r="AZ124" s="356"/>
      <c r="BA124" s="356"/>
      <c r="BB124" s="356"/>
      <c r="BC124" s="356"/>
      <c r="BD124" s="921"/>
      <c r="BE124" s="356"/>
      <c r="BF124" s="356"/>
      <c r="BG124" s="356"/>
      <c r="BH124" s="356"/>
      <c r="BI124" s="356"/>
      <c r="BJ124" s="356"/>
      <c r="BK124" s="356"/>
      <c r="BL124" s="356"/>
      <c r="BM124" s="356"/>
      <c r="BN124" s="356"/>
      <c r="BO124" s="356"/>
      <c r="BP124" s="921"/>
      <c r="BQ124" s="356"/>
      <c r="BR124" s="356"/>
      <c r="BS124" s="356"/>
      <c r="BT124" s="356"/>
      <c r="BU124" s="356"/>
      <c r="BV124" s="356"/>
      <c r="BW124" s="356"/>
      <c r="BX124" s="356"/>
      <c r="BY124" s="356"/>
      <c r="BZ124" s="356"/>
      <c r="CA124" s="356"/>
      <c r="CB124" s="921"/>
      <c r="CC124" s="356"/>
      <c r="CD124" s="356"/>
      <c r="CE124" s="356"/>
      <c r="CF124" s="356"/>
      <c r="CG124" s="356"/>
      <c r="CH124" s="356"/>
      <c r="CI124" s="356"/>
      <c r="CJ124" s="356"/>
      <c r="CK124" s="356"/>
      <c r="CL124" s="356"/>
      <c r="CM124" s="356"/>
      <c r="CN124" s="921"/>
      <c r="CO124" s="356"/>
      <c r="CP124" s="356"/>
      <c r="CQ124" s="356"/>
      <c r="CR124" s="356"/>
      <c r="CS124" s="356"/>
      <c r="CT124" s="356"/>
      <c r="CU124" s="356"/>
      <c r="CV124" s="356"/>
      <c r="CW124" s="356"/>
      <c r="CX124" s="356"/>
      <c r="CY124" s="356"/>
      <c r="CZ124" s="921"/>
      <c r="DA124" s="356"/>
      <c r="DB124" s="356"/>
      <c r="DC124" s="356"/>
      <c r="DD124" s="356"/>
      <c r="DE124" s="356"/>
      <c r="DF124" s="356"/>
      <c r="DG124" s="356"/>
      <c r="DH124" s="356"/>
      <c r="DI124" s="356"/>
      <c r="DJ124" s="356"/>
      <c r="DK124" s="356"/>
      <c r="DL124" s="356"/>
      <c r="DM124" s="356"/>
      <c r="DN124" s="356"/>
      <c r="DO124" s="330"/>
    </row>
    <row r="125" spans="2:119" x14ac:dyDescent="0.3">
      <c r="B125" s="416"/>
      <c r="C125" s="418"/>
      <c r="D125" s="419" t="s">
        <v>531</v>
      </c>
      <c r="E125" s="420"/>
      <c r="F125" s="420"/>
      <c r="G125" s="420"/>
      <c r="H125" s="420"/>
      <c r="I125" s="421">
        <f>I79</f>
        <v>0</v>
      </c>
      <c r="J125" s="421">
        <f t="shared" ref="J125:BU125" si="776">J79</f>
        <v>0</v>
      </c>
      <c r="K125" s="421">
        <f t="shared" si="776"/>
        <v>0</v>
      </c>
      <c r="L125" s="421">
        <f t="shared" si="776"/>
        <v>0</v>
      </c>
      <c r="M125" s="421">
        <f t="shared" si="776"/>
        <v>0</v>
      </c>
      <c r="N125" s="421">
        <f t="shared" si="776"/>
        <v>0</v>
      </c>
      <c r="O125" s="421">
        <f t="shared" si="776"/>
        <v>0</v>
      </c>
      <c r="P125" s="421">
        <f t="shared" si="776"/>
        <v>0</v>
      </c>
      <c r="Q125" s="421">
        <f t="shared" si="776"/>
        <v>0</v>
      </c>
      <c r="R125" s="421">
        <f t="shared" si="776"/>
        <v>0</v>
      </c>
      <c r="S125" s="421">
        <f t="shared" si="776"/>
        <v>0</v>
      </c>
      <c r="T125" s="916">
        <f t="shared" si="776"/>
        <v>0</v>
      </c>
      <c r="U125" s="421">
        <f t="shared" si="776"/>
        <v>0</v>
      </c>
      <c r="V125" s="421">
        <f t="shared" si="776"/>
        <v>0</v>
      </c>
      <c r="W125" s="421">
        <f t="shared" si="776"/>
        <v>0</v>
      </c>
      <c r="X125" s="421">
        <f t="shared" si="776"/>
        <v>0</v>
      </c>
      <c r="Y125" s="421">
        <f t="shared" si="776"/>
        <v>0</v>
      </c>
      <c r="Z125" s="421">
        <f t="shared" si="776"/>
        <v>0</v>
      </c>
      <c r="AA125" s="421">
        <f t="shared" si="776"/>
        <v>0</v>
      </c>
      <c r="AB125" s="421">
        <f t="shared" si="776"/>
        <v>0</v>
      </c>
      <c r="AC125" s="421">
        <f t="shared" si="776"/>
        <v>0</v>
      </c>
      <c r="AD125" s="421">
        <f t="shared" si="776"/>
        <v>0</v>
      </c>
      <c r="AE125" s="421">
        <f t="shared" si="776"/>
        <v>0</v>
      </c>
      <c r="AF125" s="916">
        <f t="shared" si="776"/>
        <v>0</v>
      </c>
      <c r="AG125" s="421">
        <f t="shared" si="776"/>
        <v>0</v>
      </c>
      <c r="AH125" s="421">
        <f t="shared" si="776"/>
        <v>0</v>
      </c>
      <c r="AI125" s="421">
        <f t="shared" si="776"/>
        <v>0</v>
      </c>
      <c r="AJ125" s="421">
        <f t="shared" si="776"/>
        <v>0</v>
      </c>
      <c r="AK125" s="421">
        <f t="shared" si="776"/>
        <v>0</v>
      </c>
      <c r="AL125" s="421">
        <f t="shared" si="776"/>
        <v>0</v>
      </c>
      <c r="AM125" s="421">
        <f t="shared" si="776"/>
        <v>0</v>
      </c>
      <c r="AN125" s="421">
        <f t="shared" si="776"/>
        <v>0</v>
      </c>
      <c r="AO125" s="421">
        <f t="shared" si="776"/>
        <v>0</v>
      </c>
      <c r="AP125" s="421">
        <f t="shared" si="776"/>
        <v>0</v>
      </c>
      <c r="AQ125" s="421">
        <f t="shared" si="776"/>
        <v>0</v>
      </c>
      <c r="AR125" s="916">
        <f t="shared" si="776"/>
        <v>0</v>
      </c>
      <c r="AS125" s="421">
        <f t="shared" si="776"/>
        <v>0</v>
      </c>
      <c r="AT125" s="421">
        <f t="shared" si="776"/>
        <v>0</v>
      </c>
      <c r="AU125" s="421">
        <f t="shared" si="776"/>
        <v>0</v>
      </c>
      <c r="AV125" s="421">
        <f t="shared" si="776"/>
        <v>0</v>
      </c>
      <c r="AW125" s="421">
        <f t="shared" si="776"/>
        <v>0</v>
      </c>
      <c r="AX125" s="421">
        <f t="shared" si="776"/>
        <v>0</v>
      </c>
      <c r="AY125" s="421">
        <f t="shared" si="776"/>
        <v>0</v>
      </c>
      <c r="AZ125" s="421">
        <f t="shared" si="776"/>
        <v>0</v>
      </c>
      <c r="BA125" s="421">
        <f t="shared" si="776"/>
        <v>0</v>
      </c>
      <c r="BB125" s="421">
        <f t="shared" si="776"/>
        <v>0</v>
      </c>
      <c r="BC125" s="421">
        <f t="shared" si="776"/>
        <v>0</v>
      </c>
      <c r="BD125" s="916">
        <f t="shared" si="776"/>
        <v>0</v>
      </c>
      <c r="BE125" s="421">
        <f t="shared" si="776"/>
        <v>0</v>
      </c>
      <c r="BF125" s="421">
        <f t="shared" si="776"/>
        <v>0</v>
      </c>
      <c r="BG125" s="421">
        <f t="shared" si="776"/>
        <v>0</v>
      </c>
      <c r="BH125" s="421">
        <f t="shared" si="776"/>
        <v>0</v>
      </c>
      <c r="BI125" s="421">
        <f t="shared" si="776"/>
        <v>0</v>
      </c>
      <c r="BJ125" s="421">
        <f t="shared" si="776"/>
        <v>0</v>
      </c>
      <c r="BK125" s="421">
        <f t="shared" si="776"/>
        <v>0</v>
      </c>
      <c r="BL125" s="421">
        <f t="shared" si="776"/>
        <v>0</v>
      </c>
      <c r="BM125" s="421">
        <f t="shared" si="776"/>
        <v>0</v>
      </c>
      <c r="BN125" s="421">
        <f t="shared" si="776"/>
        <v>0</v>
      </c>
      <c r="BO125" s="421">
        <f t="shared" si="776"/>
        <v>0</v>
      </c>
      <c r="BP125" s="916">
        <f t="shared" si="776"/>
        <v>0</v>
      </c>
      <c r="BQ125" s="421">
        <f t="shared" si="776"/>
        <v>0</v>
      </c>
      <c r="BR125" s="421">
        <f t="shared" si="776"/>
        <v>0</v>
      </c>
      <c r="BS125" s="421">
        <f t="shared" si="776"/>
        <v>0</v>
      </c>
      <c r="BT125" s="421">
        <f t="shared" si="776"/>
        <v>0</v>
      </c>
      <c r="BU125" s="421">
        <f t="shared" si="776"/>
        <v>0</v>
      </c>
      <c r="BV125" s="421">
        <f t="shared" ref="BV125:CZ125" si="777">BV79</f>
        <v>0</v>
      </c>
      <c r="BW125" s="421">
        <f t="shared" si="777"/>
        <v>0</v>
      </c>
      <c r="BX125" s="421">
        <f t="shared" si="777"/>
        <v>0</v>
      </c>
      <c r="BY125" s="421">
        <f t="shared" si="777"/>
        <v>0</v>
      </c>
      <c r="BZ125" s="421">
        <f t="shared" si="777"/>
        <v>0</v>
      </c>
      <c r="CA125" s="421">
        <f t="shared" si="777"/>
        <v>0</v>
      </c>
      <c r="CB125" s="916">
        <f t="shared" si="777"/>
        <v>0</v>
      </c>
      <c r="CC125" s="421">
        <f t="shared" si="777"/>
        <v>0</v>
      </c>
      <c r="CD125" s="421">
        <f t="shared" si="777"/>
        <v>0</v>
      </c>
      <c r="CE125" s="421">
        <f t="shared" si="777"/>
        <v>0</v>
      </c>
      <c r="CF125" s="421">
        <f t="shared" si="777"/>
        <v>0</v>
      </c>
      <c r="CG125" s="421">
        <f t="shared" si="777"/>
        <v>0</v>
      </c>
      <c r="CH125" s="421">
        <f t="shared" si="777"/>
        <v>0</v>
      </c>
      <c r="CI125" s="421">
        <f t="shared" si="777"/>
        <v>0</v>
      </c>
      <c r="CJ125" s="421">
        <f t="shared" si="777"/>
        <v>0</v>
      </c>
      <c r="CK125" s="421">
        <f t="shared" si="777"/>
        <v>0</v>
      </c>
      <c r="CL125" s="421">
        <f t="shared" si="777"/>
        <v>0</v>
      </c>
      <c r="CM125" s="421">
        <f t="shared" si="777"/>
        <v>0</v>
      </c>
      <c r="CN125" s="916">
        <f t="shared" si="777"/>
        <v>0</v>
      </c>
      <c r="CO125" s="421">
        <f t="shared" si="777"/>
        <v>0</v>
      </c>
      <c r="CP125" s="421">
        <f t="shared" si="777"/>
        <v>0</v>
      </c>
      <c r="CQ125" s="421">
        <f t="shared" si="777"/>
        <v>0</v>
      </c>
      <c r="CR125" s="421">
        <f t="shared" si="777"/>
        <v>0</v>
      </c>
      <c r="CS125" s="421">
        <f t="shared" si="777"/>
        <v>0</v>
      </c>
      <c r="CT125" s="421">
        <f t="shared" si="777"/>
        <v>0</v>
      </c>
      <c r="CU125" s="421">
        <f t="shared" si="777"/>
        <v>0</v>
      </c>
      <c r="CV125" s="421">
        <f t="shared" si="777"/>
        <v>0</v>
      </c>
      <c r="CW125" s="421">
        <f t="shared" si="777"/>
        <v>0</v>
      </c>
      <c r="CX125" s="421">
        <f t="shared" si="777"/>
        <v>0</v>
      </c>
      <c r="CY125" s="421">
        <f t="shared" si="777"/>
        <v>0</v>
      </c>
      <c r="CZ125" s="916">
        <f t="shared" si="777"/>
        <v>0</v>
      </c>
      <c r="DA125" s="421">
        <f t="shared" ref="DA125:DL125" si="778">DA79</f>
        <v>0</v>
      </c>
      <c r="DB125" s="421">
        <f t="shared" si="778"/>
        <v>0</v>
      </c>
      <c r="DC125" s="421">
        <f t="shared" si="778"/>
        <v>0</v>
      </c>
      <c r="DD125" s="421">
        <f t="shared" si="778"/>
        <v>0</v>
      </c>
      <c r="DE125" s="421">
        <f t="shared" si="778"/>
        <v>0</v>
      </c>
      <c r="DF125" s="421">
        <f t="shared" si="778"/>
        <v>0</v>
      </c>
      <c r="DG125" s="421">
        <f t="shared" si="778"/>
        <v>0</v>
      </c>
      <c r="DH125" s="421">
        <f t="shared" si="778"/>
        <v>0</v>
      </c>
      <c r="DI125" s="421">
        <f t="shared" si="778"/>
        <v>0</v>
      </c>
      <c r="DJ125" s="421">
        <f t="shared" si="778"/>
        <v>0</v>
      </c>
      <c r="DK125" s="421">
        <f t="shared" si="778"/>
        <v>0</v>
      </c>
      <c r="DL125" s="421">
        <f t="shared" si="778"/>
        <v>0</v>
      </c>
      <c r="DM125" s="421"/>
      <c r="DN125" s="430">
        <f>SUM(I125:DL125)</f>
        <v>0</v>
      </c>
      <c r="DO125" s="330"/>
    </row>
    <row r="126" spans="2:119" x14ac:dyDescent="0.3">
      <c r="B126" s="416"/>
      <c r="C126" s="423"/>
      <c r="D126" s="385" t="s">
        <v>371</v>
      </c>
      <c r="E126" s="356"/>
      <c r="F126" s="356"/>
      <c r="G126" s="356"/>
      <c r="H126" s="356"/>
      <c r="I126" s="381">
        <v>0</v>
      </c>
      <c r="J126" s="381">
        <v>0</v>
      </c>
      <c r="K126" s="381">
        <v>0</v>
      </c>
      <c r="L126" s="381">
        <v>0</v>
      </c>
      <c r="M126" s="381">
        <v>0</v>
      </c>
      <c r="N126" s="381">
        <v>0</v>
      </c>
      <c r="O126" s="381">
        <v>0</v>
      </c>
      <c r="P126" s="381">
        <v>0</v>
      </c>
      <c r="Q126" s="381">
        <v>0</v>
      </c>
      <c r="R126" s="381">
        <v>0</v>
      </c>
      <c r="S126" s="381">
        <v>0</v>
      </c>
      <c r="T126" s="917">
        <v>0</v>
      </c>
      <c r="U126" s="381">
        <v>0</v>
      </c>
      <c r="V126" s="381">
        <v>0</v>
      </c>
      <c r="W126" s="381">
        <v>0</v>
      </c>
      <c r="X126" s="381">
        <v>0</v>
      </c>
      <c r="Y126" s="381">
        <v>0</v>
      </c>
      <c r="Z126" s="381">
        <v>0</v>
      </c>
      <c r="AA126" s="381">
        <v>0</v>
      </c>
      <c r="AB126" s="381">
        <v>0</v>
      </c>
      <c r="AC126" s="381">
        <v>0</v>
      </c>
      <c r="AD126" s="381">
        <v>0</v>
      </c>
      <c r="AE126" s="381">
        <v>0</v>
      </c>
      <c r="AF126" s="917">
        <v>0</v>
      </c>
      <c r="AG126" s="381">
        <v>0</v>
      </c>
      <c r="AH126" s="381">
        <v>0</v>
      </c>
      <c r="AI126" s="381">
        <v>0</v>
      </c>
      <c r="AJ126" s="381">
        <v>0</v>
      </c>
      <c r="AK126" s="381">
        <v>0</v>
      </c>
      <c r="AL126" s="381">
        <v>0</v>
      </c>
      <c r="AM126" s="381">
        <v>0</v>
      </c>
      <c r="AN126" s="381">
        <v>0</v>
      </c>
      <c r="AO126" s="381">
        <v>0</v>
      </c>
      <c r="AP126" s="381">
        <v>0</v>
      </c>
      <c r="AQ126" s="381">
        <v>0</v>
      </c>
      <c r="AR126" s="917">
        <v>0</v>
      </c>
      <c r="AS126" s="381">
        <v>0</v>
      </c>
      <c r="AT126" s="381">
        <v>0</v>
      </c>
      <c r="AU126" s="381">
        <v>0</v>
      </c>
      <c r="AV126" s="381">
        <v>0</v>
      </c>
      <c r="AW126" s="381">
        <v>0</v>
      </c>
      <c r="AX126" s="381">
        <v>0</v>
      </c>
      <c r="AY126" s="381">
        <v>0</v>
      </c>
      <c r="AZ126" s="381">
        <v>0</v>
      </c>
      <c r="BA126" s="381">
        <v>0</v>
      </c>
      <c r="BB126" s="381">
        <v>0</v>
      </c>
      <c r="BC126" s="381">
        <v>0</v>
      </c>
      <c r="BD126" s="917">
        <v>0</v>
      </c>
      <c r="BE126" s="381">
        <v>0</v>
      </c>
      <c r="BF126" s="381">
        <v>0</v>
      </c>
      <c r="BG126" s="381">
        <v>0</v>
      </c>
      <c r="BH126" s="381">
        <v>0</v>
      </c>
      <c r="BI126" s="381">
        <v>0</v>
      </c>
      <c r="BJ126" s="381">
        <v>0</v>
      </c>
      <c r="BK126" s="381">
        <v>0</v>
      </c>
      <c r="BL126" s="381">
        <v>0</v>
      </c>
      <c r="BM126" s="381">
        <v>0</v>
      </c>
      <c r="BN126" s="381">
        <v>0</v>
      </c>
      <c r="BO126" s="381">
        <v>0</v>
      </c>
      <c r="BP126" s="917">
        <v>0</v>
      </c>
      <c r="BQ126" s="381">
        <v>0</v>
      </c>
      <c r="BR126" s="381">
        <v>0</v>
      </c>
      <c r="BS126" s="381">
        <v>0</v>
      </c>
      <c r="BT126" s="381">
        <v>0</v>
      </c>
      <c r="BU126" s="381">
        <v>0</v>
      </c>
      <c r="BV126" s="381">
        <v>0</v>
      </c>
      <c r="BW126" s="381">
        <v>0</v>
      </c>
      <c r="BX126" s="381">
        <v>0</v>
      </c>
      <c r="BY126" s="381">
        <v>0</v>
      </c>
      <c r="BZ126" s="381">
        <v>0</v>
      </c>
      <c r="CA126" s="381">
        <v>0</v>
      </c>
      <c r="CB126" s="917">
        <v>0</v>
      </c>
      <c r="CC126" s="381">
        <v>0</v>
      </c>
      <c r="CD126" s="381">
        <v>0</v>
      </c>
      <c r="CE126" s="381">
        <v>0</v>
      </c>
      <c r="CF126" s="381">
        <v>0</v>
      </c>
      <c r="CG126" s="381">
        <v>0</v>
      </c>
      <c r="CH126" s="381">
        <v>0</v>
      </c>
      <c r="CI126" s="381">
        <v>0</v>
      </c>
      <c r="CJ126" s="381">
        <v>0</v>
      </c>
      <c r="CK126" s="381">
        <v>0</v>
      </c>
      <c r="CL126" s="381">
        <v>0</v>
      </c>
      <c r="CM126" s="381">
        <v>0</v>
      </c>
      <c r="CN126" s="917">
        <v>0</v>
      </c>
      <c r="CO126" s="381">
        <v>0</v>
      </c>
      <c r="CP126" s="381">
        <v>0</v>
      </c>
      <c r="CQ126" s="381">
        <v>0</v>
      </c>
      <c r="CR126" s="381">
        <v>0</v>
      </c>
      <c r="CS126" s="381">
        <v>0</v>
      </c>
      <c r="CT126" s="381">
        <v>0</v>
      </c>
      <c r="CU126" s="381">
        <v>0</v>
      </c>
      <c r="CV126" s="381">
        <v>0</v>
      </c>
      <c r="CW126" s="381">
        <v>0</v>
      </c>
      <c r="CX126" s="381">
        <v>0</v>
      </c>
      <c r="CY126" s="381">
        <v>0</v>
      </c>
      <c r="CZ126" s="917">
        <v>0</v>
      </c>
      <c r="DA126" s="381">
        <v>0</v>
      </c>
      <c r="DB126" s="381">
        <v>0</v>
      </c>
      <c r="DC126" s="381">
        <v>0</v>
      </c>
      <c r="DD126" s="381">
        <v>0</v>
      </c>
      <c r="DE126" s="381">
        <v>0</v>
      </c>
      <c r="DF126" s="381">
        <v>0</v>
      </c>
      <c r="DG126" s="381">
        <v>0</v>
      </c>
      <c r="DH126" s="381">
        <v>0</v>
      </c>
      <c r="DI126" s="381">
        <v>0</v>
      </c>
      <c r="DJ126" s="381">
        <v>0</v>
      </c>
      <c r="DK126" s="381">
        <v>0</v>
      </c>
      <c r="DL126" s="381">
        <v>0</v>
      </c>
      <c r="DM126" s="381"/>
      <c r="DN126" s="426">
        <f>SUM(I126:DL126)</f>
        <v>0</v>
      </c>
      <c r="DO126" s="330"/>
    </row>
    <row r="127" spans="2:119" x14ac:dyDescent="0.3">
      <c r="B127" s="416"/>
      <c r="C127" s="427"/>
      <c r="D127" s="387" t="s">
        <v>787</v>
      </c>
      <c r="E127" s="359"/>
      <c r="F127" s="359"/>
      <c r="G127" s="428">
        <f>'Members Capital'!L26</f>
        <v>0.15000000000000002</v>
      </c>
      <c r="H127" s="359"/>
      <c r="I127" s="382">
        <f>Monthly!K155</f>
        <v>0</v>
      </c>
      <c r="J127" s="382">
        <f>Monthly!L155</f>
        <v>0</v>
      </c>
      <c r="K127" s="382">
        <f>Monthly!M155</f>
        <v>0</v>
      </c>
      <c r="L127" s="382">
        <f>Monthly!N155</f>
        <v>0</v>
      </c>
      <c r="M127" s="382">
        <f>Monthly!O155</f>
        <v>0</v>
      </c>
      <c r="N127" s="382">
        <f>Monthly!P155</f>
        <v>0</v>
      </c>
      <c r="O127" s="382">
        <f>Monthly!Q155</f>
        <v>0</v>
      </c>
      <c r="P127" s="382">
        <f>Monthly!R155</f>
        <v>0</v>
      </c>
      <c r="Q127" s="382">
        <f>Monthly!S155</f>
        <v>0</v>
      </c>
      <c r="R127" s="382">
        <f>Monthly!T155</f>
        <v>0</v>
      </c>
      <c r="S127" s="382">
        <f>Monthly!U155</f>
        <v>0</v>
      </c>
      <c r="T127" s="382">
        <f>Monthly!V155</f>
        <v>0</v>
      </c>
      <c r="U127" s="382">
        <f>Monthly!W155</f>
        <v>0</v>
      </c>
      <c r="V127" s="382">
        <f>Monthly!X155</f>
        <v>0</v>
      </c>
      <c r="W127" s="382">
        <f>Monthly!Y155</f>
        <v>0</v>
      </c>
      <c r="X127" s="382">
        <f>Monthly!Z155</f>
        <v>0</v>
      </c>
      <c r="Y127" s="382">
        <f>Monthly!AA155</f>
        <v>0</v>
      </c>
      <c r="Z127" s="382">
        <f>Monthly!AB155</f>
        <v>0</v>
      </c>
      <c r="AA127" s="382">
        <f>Monthly!AC155</f>
        <v>0</v>
      </c>
      <c r="AB127" s="382">
        <f>Monthly!AD155</f>
        <v>0</v>
      </c>
      <c r="AC127" s="382">
        <f>Monthly!AE155</f>
        <v>0</v>
      </c>
      <c r="AD127" s="382">
        <f>Monthly!AF155</f>
        <v>0</v>
      </c>
      <c r="AE127" s="382">
        <f>Monthly!AG155</f>
        <v>0</v>
      </c>
      <c r="AF127" s="382">
        <f>Monthly!AH155</f>
        <v>0</v>
      </c>
      <c r="AG127" s="382">
        <f>Monthly!AI155</f>
        <v>0</v>
      </c>
      <c r="AH127" s="382">
        <f>Monthly!AJ155</f>
        <v>0</v>
      </c>
      <c r="AI127" s="382">
        <f>Monthly!AK155</f>
        <v>0</v>
      </c>
      <c r="AJ127" s="382">
        <f>Monthly!AL155</f>
        <v>0</v>
      </c>
      <c r="AK127" s="382">
        <f>Monthly!AM155</f>
        <v>0</v>
      </c>
      <c r="AL127" s="382">
        <f>Monthly!AN155</f>
        <v>0</v>
      </c>
      <c r="AM127" s="382">
        <f>Monthly!AO155</f>
        <v>0</v>
      </c>
      <c r="AN127" s="382">
        <f>Monthly!AP155</f>
        <v>0</v>
      </c>
      <c r="AO127" s="382">
        <f>Monthly!AQ155</f>
        <v>0</v>
      </c>
      <c r="AP127" s="382">
        <f>Monthly!AR155</f>
        <v>0</v>
      </c>
      <c r="AQ127" s="382">
        <f>Monthly!AS155</f>
        <v>0</v>
      </c>
      <c r="AR127" s="382">
        <f>Monthly!AT155</f>
        <v>0</v>
      </c>
      <c r="AS127" s="382">
        <f>Monthly!AU155</f>
        <v>0</v>
      </c>
      <c r="AT127" s="382">
        <f>Monthly!AV155</f>
        <v>0</v>
      </c>
      <c r="AU127" s="382">
        <f>Monthly!AW155</f>
        <v>0</v>
      </c>
      <c r="AV127" s="382">
        <f>Monthly!AX155</f>
        <v>0</v>
      </c>
      <c r="AW127" s="382">
        <f>Monthly!AY155</f>
        <v>0</v>
      </c>
      <c r="AX127" s="382">
        <f>Monthly!AZ155</f>
        <v>0</v>
      </c>
      <c r="AY127" s="382">
        <f>Monthly!BA155</f>
        <v>0</v>
      </c>
      <c r="AZ127" s="382">
        <f>Monthly!BB155</f>
        <v>0</v>
      </c>
      <c r="BA127" s="382">
        <f>Monthly!BC155</f>
        <v>0</v>
      </c>
      <c r="BB127" s="382">
        <f>Monthly!BD155</f>
        <v>0</v>
      </c>
      <c r="BC127" s="382">
        <f>Monthly!BE155</f>
        <v>0</v>
      </c>
      <c r="BD127" s="382">
        <f>Monthly!BF155</f>
        <v>0</v>
      </c>
      <c r="BE127" s="382">
        <f>Monthly!BG155</f>
        <v>0</v>
      </c>
      <c r="BF127" s="382">
        <f>Monthly!BH155</f>
        <v>0</v>
      </c>
      <c r="BG127" s="382">
        <f>Monthly!BI155</f>
        <v>0</v>
      </c>
      <c r="BH127" s="382">
        <f>Monthly!BJ155</f>
        <v>0</v>
      </c>
      <c r="BI127" s="382">
        <f>Monthly!BK155</f>
        <v>0</v>
      </c>
      <c r="BJ127" s="382">
        <f>Monthly!BL155</f>
        <v>0</v>
      </c>
      <c r="BK127" s="382">
        <f>Monthly!BM155</f>
        <v>0</v>
      </c>
      <c r="BL127" s="382">
        <f>Monthly!BN155</f>
        <v>0</v>
      </c>
      <c r="BM127" s="382">
        <f>Monthly!BO155</f>
        <v>0</v>
      </c>
      <c r="BN127" s="382">
        <f>Monthly!BP155</f>
        <v>0</v>
      </c>
      <c r="BO127" s="382">
        <f>Monthly!BQ155</f>
        <v>0</v>
      </c>
      <c r="BP127" s="382">
        <f>Monthly!BR155</f>
        <v>0</v>
      </c>
      <c r="BQ127" s="382">
        <f>Monthly!BS155</f>
        <v>0</v>
      </c>
      <c r="BR127" s="382">
        <f>Monthly!BT155</f>
        <v>0</v>
      </c>
      <c r="BS127" s="382">
        <f>Monthly!BU155</f>
        <v>0</v>
      </c>
      <c r="BT127" s="382">
        <f>Monthly!BV155</f>
        <v>0</v>
      </c>
      <c r="BU127" s="382">
        <f>Monthly!BW155</f>
        <v>0</v>
      </c>
      <c r="BV127" s="382">
        <f>Monthly!BX155</f>
        <v>0</v>
      </c>
      <c r="BW127" s="382">
        <f>Monthly!BY155</f>
        <v>0</v>
      </c>
      <c r="BX127" s="382">
        <f>Monthly!BZ155</f>
        <v>0</v>
      </c>
      <c r="BY127" s="382">
        <f>Monthly!CA155</f>
        <v>0</v>
      </c>
      <c r="BZ127" s="382">
        <f>Monthly!CB155</f>
        <v>0</v>
      </c>
      <c r="CA127" s="382">
        <f>Monthly!CC155</f>
        <v>0</v>
      </c>
      <c r="CB127" s="382">
        <f>Monthly!CD155</f>
        <v>0</v>
      </c>
      <c r="CC127" s="382">
        <f>Monthly!CE155</f>
        <v>0</v>
      </c>
      <c r="CD127" s="382">
        <f>Monthly!CF155</f>
        <v>0</v>
      </c>
      <c r="CE127" s="382">
        <f>Monthly!CG155</f>
        <v>0</v>
      </c>
      <c r="CF127" s="382">
        <f>Monthly!CH155</f>
        <v>0</v>
      </c>
      <c r="CG127" s="382">
        <f>Monthly!CI155</f>
        <v>0</v>
      </c>
      <c r="CH127" s="382">
        <f>Monthly!CJ155</f>
        <v>0</v>
      </c>
      <c r="CI127" s="382">
        <f>Monthly!CK155</f>
        <v>0</v>
      </c>
      <c r="CJ127" s="382">
        <f>Monthly!CL155</f>
        <v>0</v>
      </c>
      <c r="CK127" s="382">
        <f>Monthly!CM155</f>
        <v>0</v>
      </c>
      <c r="CL127" s="382">
        <f>Monthly!CN155</f>
        <v>0</v>
      </c>
      <c r="CM127" s="382">
        <f>Monthly!CO155</f>
        <v>0</v>
      </c>
      <c r="CN127" s="382">
        <f>Monthly!CP155</f>
        <v>0</v>
      </c>
      <c r="CO127" s="382">
        <f>Monthly!CQ155</f>
        <v>0</v>
      </c>
      <c r="CP127" s="382">
        <f>Monthly!CR155</f>
        <v>0</v>
      </c>
      <c r="CQ127" s="382">
        <f>Monthly!CS155</f>
        <v>0</v>
      </c>
      <c r="CR127" s="382">
        <f>Monthly!CT155</f>
        <v>0</v>
      </c>
      <c r="CS127" s="382">
        <f>Monthly!CU155</f>
        <v>0</v>
      </c>
      <c r="CT127" s="382">
        <f>Monthly!CV155</f>
        <v>0</v>
      </c>
      <c r="CU127" s="382">
        <f>Monthly!CW155</f>
        <v>0</v>
      </c>
      <c r="CV127" s="382">
        <f>Monthly!CX155</f>
        <v>0</v>
      </c>
      <c r="CW127" s="382">
        <f>Monthly!CY155</f>
        <v>0</v>
      </c>
      <c r="CX127" s="382">
        <f>Monthly!CZ155</f>
        <v>0</v>
      </c>
      <c r="CY127" s="382">
        <f>Monthly!DA155</f>
        <v>0</v>
      </c>
      <c r="CZ127" s="382">
        <f>Monthly!DB155</f>
        <v>0</v>
      </c>
      <c r="DA127" s="382">
        <f>Monthly!DC155</f>
        <v>0</v>
      </c>
      <c r="DB127" s="382">
        <f>Monthly!DD155</f>
        <v>0</v>
      </c>
      <c r="DC127" s="382">
        <f>Monthly!DE155</f>
        <v>0</v>
      </c>
      <c r="DD127" s="382">
        <f>Monthly!DF155</f>
        <v>0</v>
      </c>
      <c r="DE127" s="382">
        <f>Monthly!DG155</f>
        <v>0</v>
      </c>
      <c r="DF127" s="382">
        <f>Monthly!DH155</f>
        <v>0</v>
      </c>
      <c r="DG127" s="382">
        <f>Monthly!DI155</f>
        <v>0</v>
      </c>
      <c r="DH127" s="382">
        <f>Monthly!DJ155</f>
        <v>0</v>
      </c>
      <c r="DI127" s="382">
        <f>Monthly!DK155</f>
        <v>0</v>
      </c>
      <c r="DJ127" s="382">
        <f>Monthly!DL155</f>
        <v>0</v>
      </c>
      <c r="DK127" s="382">
        <f>Monthly!DM155</f>
        <v>0</v>
      </c>
      <c r="DL127" s="382">
        <f>Monthly!DN155</f>
        <v>0</v>
      </c>
      <c r="DM127" s="382"/>
      <c r="DN127" s="425">
        <f>SUM(I127:DL127)</f>
        <v>0</v>
      </c>
      <c r="DO127" s="330"/>
    </row>
    <row r="128" spans="2:119" x14ac:dyDescent="0.3">
      <c r="B128" s="416"/>
      <c r="C128" s="427" t="s">
        <v>117</v>
      </c>
      <c r="D128" s="387"/>
      <c r="E128" s="359"/>
      <c r="F128" s="359"/>
      <c r="G128" s="359"/>
      <c r="H128" s="359"/>
      <c r="I128" s="382">
        <f t="shared" ref="I128" si="779">SUM(I125:I127)</f>
        <v>0</v>
      </c>
      <c r="J128" s="382">
        <f t="shared" ref="J128:BU128" si="780">SUM(J125:J127)</f>
        <v>0</v>
      </c>
      <c r="K128" s="382">
        <f t="shared" si="780"/>
        <v>0</v>
      </c>
      <c r="L128" s="382">
        <f t="shared" si="780"/>
        <v>0</v>
      </c>
      <c r="M128" s="382">
        <f t="shared" si="780"/>
        <v>0</v>
      </c>
      <c r="N128" s="382">
        <f t="shared" si="780"/>
        <v>0</v>
      </c>
      <c r="O128" s="382">
        <f t="shared" si="780"/>
        <v>0</v>
      </c>
      <c r="P128" s="382">
        <f t="shared" si="780"/>
        <v>0</v>
      </c>
      <c r="Q128" s="382">
        <f t="shared" si="780"/>
        <v>0</v>
      </c>
      <c r="R128" s="382">
        <f t="shared" si="780"/>
        <v>0</v>
      </c>
      <c r="S128" s="382">
        <f t="shared" si="780"/>
        <v>0</v>
      </c>
      <c r="T128" s="920">
        <f t="shared" si="780"/>
        <v>0</v>
      </c>
      <c r="U128" s="382">
        <f t="shared" si="780"/>
        <v>0</v>
      </c>
      <c r="V128" s="382">
        <f t="shared" si="780"/>
        <v>0</v>
      </c>
      <c r="W128" s="382">
        <f t="shared" si="780"/>
        <v>0</v>
      </c>
      <c r="X128" s="382">
        <f t="shared" si="780"/>
        <v>0</v>
      </c>
      <c r="Y128" s="382">
        <f t="shared" si="780"/>
        <v>0</v>
      </c>
      <c r="Z128" s="382">
        <f t="shared" si="780"/>
        <v>0</v>
      </c>
      <c r="AA128" s="382">
        <f t="shared" si="780"/>
        <v>0</v>
      </c>
      <c r="AB128" s="382">
        <f t="shared" si="780"/>
        <v>0</v>
      </c>
      <c r="AC128" s="382">
        <f t="shared" si="780"/>
        <v>0</v>
      </c>
      <c r="AD128" s="382">
        <f t="shared" si="780"/>
        <v>0</v>
      </c>
      <c r="AE128" s="382">
        <f t="shared" si="780"/>
        <v>0</v>
      </c>
      <c r="AF128" s="920">
        <f t="shared" si="780"/>
        <v>0</v>
      </c>
      <c r="AG128" s="382">
        <f t="shared" si="780"/>
        <v>0</v>
      </c>
      <c r="AH128" s="382">
        <f t="shared" si="780"/>
        <v>0</v>
      </c>
      <c r="AI128" s="382">
        <f t="shared" si="780"/>
        <v>0</v>
      </c>
      <c r="AJ128" s="382">
        <f t="shared" si="780"/>
        <v>0</v>
      </c>
      <c r="AK128" s="382">
        <f t="shared" si="780"/>
        <v>0</v>
      </c>
      <c r="AL128" s="382">
        <f t="shared" si="780"/>
        <v>0</v>
      </c>
      <c r="AM128" s="382">
        <f t="shared" si="780"/>
        <v>0</v>
      </c>
      <c r="AN128" s="382">
        <f t="shared" si="780"/>
        <v>0</v>
      </c>
      <c r="AO128" s="382">
        <f t="shared" si="780"/>
        <v>0</v>
      </c>
      <c r="AP128" s="382">
        <f t="shared" si="780"/>
        <v>0</v>
      </c>
      <c r="AQ128" s="382">
        <f t="shared" si="780"/>
        <v>0</v>
      </c>
      <c r="AR128" s="920">
        <f t="shared" si="780"/>
        <v>0</v>
      </c>
      <c r="AS128" s="382">
        <f t="shared" si="780"/>
        <v>0</v>
      </c>
      <c r="AT128" s="382">
        <f t="shared" si="780"/>
        <v>0</v>
      </c>
      <c r="AU128" s="382">
        <f t="shared" si="780"/>
        <v>0</v>
      </c>
      <c r="AV128" s="382">
        <f t="shared" si="780"/>
        <v>0</v>
      </c>
      <c r="AW128" s="382">
        <f t="shared" si="780"/>
        <v>0</v>
      </c>
      <c r="AX128" s="382">
        <f t="shared" si="780"/>
        <v>0</v>
      </c>
      <c r="AY128" s="382">
        <f t="shared" si="780"/>
        <v>0</v>
      </c>
      <c r="AZ128" s="382">
        <f t="shared" si="780"/>
        <v>0</v>
      </c>
      <c r="BA128" s="382">
        <f t="shared" si="780"/>
        <v>0</v>
      </c>
      <c r="BB128" s="382">
        <f t="shared" si="780"/>
        <v>0</v>
      </c>
      <c r="BC128" s="382">
        <f t="shared" si="780"/>
        <v>0</v>
      </c>
      <c r="BD128" s="920">
        <f t="shared" si="780"/>
        <v>0</v>
      </c>
      <c r="BE128" s="382">
        <f t="shared" si="780"/>
        <v>0</v>
      </c>
      <c r="BF128" s="382">
        <f t="shared" si="780"/>
        <v>0</v>
      </c>
      <c r="BG128" s="382">
        <f t="shared" si="780"/>
        <v>0</v>
      </c>
      <c r="BH128" s="382">
        <f t="shared" si="780"/>
        <v>0</v>
      </c>
      <c r="BI128" s="382">
        <f t="shared" si="780"/>
        <v>0</v>
      </c>
      <c r="BJ128" s="382">
        <f t="shared" si="780"/>
        <v>0</v>
      </c>
      <c r="BK128" s="382">
        <f t="shared" si="780"/>
        <v>0</v>
      </c>
      <c r="BL128" s="382">
        <f t="shared" si="780"/>
        <v>0</v>
      </c>
      <c r="BM128" s="382">
        <f t="shared" si="780"/>
        <v>0</v>
      </c>
      <c r="BN128" s="382">
        <f t="shared" si="780"/>
        <v>0</v>
      </c>
      <c r="BO128" s="382">
        <f t="shared" si="780"/>
        <v>0</v>
      </c>
      <c r="BP128" s="920">
        <f t="shared" si="780"/>
        <v>0</v>
      </c>
      <c r="BQ128" s="382">
        <f t="shared" si="780"/>
        <v>0</v>
      </c>
      <c r="BR128" s="382">
        <f t="shared" si="780"/>
        <v>0</v>
      </c>
      <c r="BS128" s="382">
        <f t="shared" si="780"/>
        <v>0</v>
      </c>
      <c r="BT128" s="382">
        <f t="shared" si="780"/>
        <v>0</v>
      </c>
      <c r="BU128" s="382">
        <f t="shared" si="780"/>
        <v>0</v>
      </c>
      <c r="BV128" s="382">
        <f t="shared" ref="BV128:CZ128" si="781">SUM(BV125:BV127)</f>
        <v>0</v>
      </c>
      <c r="BW128" s="382">
        <f t="shared" si="781"/>
        <v>0</v>
      </c>
      <c r="BX128" s="382">
        <f t="shared" si="781"/>
        <v>0</v>
      </c>
      <c r="BY128" s="382">
        <f t="shared" si="781"/>
        <v>0</v>
      </c>
      <c r="BZ128" s="382">
        <f t="shared" si="781"/>
        <v>0</v>
      </c>
      <c r="CA128" s="382">
        <f t="shared" si="781"/>
        <v>0</v>
      </c>
      <c r="CB128" s="920">
        <f t="shared" si="781"/>
        <v>0</v>
      </c>
      <c r="CC128" s="382">
        <f t="shared" si="781"/>
        <v>0</v>
      </c>
      <c r="CD128" s="382">
        <f t="shared" si="781"/>
        <v>0</v>
      </c>
      <c r="CE128" s="382">
        <f t="shared" si="781"/>
        <v>0</v>
      </c>
      <c r="CF128" s="382">
        <f t="shared" si="781"/>
        <v>0</v>
      </c>
      <c r="CG128" s="382">
        <f t="shared" si="781"/>
        <v>0</v>
      </c>
      <c r="CH128" s="382">
        <f t="shared" si="781"/>
        <v>0</v>
      </c>
      <c r="CI128" s="382">
        <f t="shared" si="781"/>
        <v>0</v>
      </c>
      <c r="CJ128" s="382">
        <f t="shared" si="781"/>
        <v>0</v>
      </c>
      <c r="CK128" s="382">
        <f t="shared" si="781"/>
        <v>0</v>
      </c>
      <c r="CL128" s="382">
        <f t="shared" si="781"/>
        <v>0</v>
      </c>
      <c r="CM128" s="382">
        <f t="shared" si="781"/>
        <v>0</v>
      </c>
      <c r="CN128" s="920">
        <f t="shared" si="781"/>
        <v>0</v>
      </c>
      <c r="CO128" s="382">
        <f t="shared" si="781"/>
        <v>0</v>
      </c>
      <c r="CP128" s="382">
        <f t="shared" si="781"/>
        <v>0</v>
      </c>
      <c r="CQ128" s="382">
        <f t="shared" si="781"/>
        <v>0</v>
      </c>
      <c r="CR128" s="382">
        <f t="shared" si="781"/>
        <v>0</v>
      </c>
      <c r="CS128" s="382">
        <f t="shared" si="781"/>
        <v>0</v>
      </c>
      <c r="CT128" s="382">
        <f t="shared" si="781"/>
        <v>0</v>
      </c>
      <c r="CU128" s="382">
        <f t="shared" si="781"/>
        <v>0</v>
      </c>
      <c r="CV128" s="382">
        <f t="shared" si="781"/>
        <v>0</v>
      </c>
      <c r="CW128" s="382">
        <f t="shared" si="781"/>
        <v>0</v>
      </c>
      <c r="CX128" s="382">
        <f t="shared" si="781"/>
        <v>0</v>
      </c>
      <c r="CY128" s="382">
        <f t="shared" si="781"/>
        <v>0</v>
      </c>
      <c r="CZ128" s="920">
        <f t="shared" si="781"/>
        <v>0</v>
      </c>
      <c r="DA128" s="382">
        <f t="shared" ref="DA128:DL128" si="782">SUM(DA125:DA127)</f>
        <v>0</v>
      </c>
      <c r="DB128" s="382">
        <f t="shared" si="782"/>
        <v>0</v>
      </c>
      <c r="DC128" s="382">
        <f t="shared" si="782"/>
        <v>0</v>
      </c>
      <c r="DD128" s="382">
        <f t="shared" si="782"/>
        <v>0</v>
      </c>
      <c r="DE128" s="382">
        <f t="shared" si="782"/>
        <v>0</v>
      </c>
      <c r="DF128" s="382">
        <f t="shared" si="782"/>
        <v>0</v>
      </c>
      <c r="DG128" s="382">
        <f t="shared" si="782"/>
        <v>0</v>
      </c>
      <c r="DH128" s="382">
        <f t="shared" si="782"/>
        <v>0</v>
      </c>
      <c r="DI128" s="382">
        <f t="shared" si="782"/>
        <v>0</v>
      </c>
      <c r="DJ128" s="382">
        <f t="shared" si="782"/>
        <v>0</v>
      </c>
      <c r="DK128" s="382">
        <f t="shared" si="782"/>
        <v>0</v>
      </c>
      <c r="DL128" s="382">
        <f t="shared" si="782"/>
        <v>0</v>
      </c>
      <c r="DM128" s="382"/>
      <c r="DN128" s="425">
        <f>SUM(I128:DL128)</f>
        <v>0</v>
      </c>
      <c r="DO128" s="330"/>
    </row>
    <row r="129" spans="2:119" x14ac:dyDescent="0.3">
      <c r="B129" s="416"/>
      <c r="C129" s="423"/>
      <c r="D129" s="385"/>
      <c r="E129" s="356"/>
      <c r="F129" s="356"/>
      <c r="G129" s="356"/>
      <c r="H129" s="356"/>
      <c r="I129" s="381"/>
      <c r="J129" s="381"/>
      <c r="K129" s="381"/>
      <c r="L129" s="381"/>
      <c r="M129" s="381"/>
      <c r="N129" s="381"/>
      <c r="O129" s="381"/>
      <c r="P129" s="381"/>
      <c r="Q129" s="381"/>
      <c r="R129" s="381"/>
      <c r="S129" s="381"/>
      <c r="T129" s="917"/>
      <c r="U129" s="381"/>
      <c r="V129" s="381"/>
      <c r="W129" s="381"/>
      <c r="X129" s="381"/>
      <c r="Y129" s="381"/>
      <c r="Z129" s="381"/>
      <c r="AA129" s="381"/>
      <c r="AB129" s="381"/>
      <c r="AC129" s="381"/>
      <c r="AD129" s="381"/>
      <c r="AE129" s="381"/>
      <c r="AF129" s="917"/>
      <c r="AG129" s="381"/>
      <c r="AH129" s="381"/>
      <c r="AI129" s="381"/>
      <c r="AJ129" s="381"/>
      <c r="AK129" s="381"/>
      <c r="AL129" s="381"/>
      <c r="AM129" s="381"/>
      <c r="AN129" s="381"/>
      <c r="AO129" s="381"/>
      <c r="AP129" s="381"/>
      <c r="AQ129" s="381"/>
      <c r="AR129" s="917"/>
      <c r="AS129" s="381"/>
      <c r="AT129" s="381"/>
      <c r="AU129" s="381"/>
      <c r="AV129" s="381"/>
      <c r="AW129" s="381"/>
      <c r="AX129" s="381"/>
      <c r="AY129" s="381"/>
      <c r="AZ129" s="381"/>
      <c r="BA129" s="381"/>
      <c r="BB129" s="381"/>
      <c r="BC129" s="381"/>
      <c r="BD129" s="917"/>
      <c r="BE129" s="381"/>
      <c r="BF129" s="381"/>
      <c r="BG129" s="381"/>
      <c r="BH129" s="381"/>
      <c r="BI129" s="381"/>
      <c r="BJ129" s="381"/>
      <c r="BK129" s="381"/>
      <c r="BL129" s="381"/>
      <c r="BM129" s="381"/>
      <c r="BN129" s="381"/>
      <c r="BO129" s="381"/>
      <c r="BP129" s="917"/>
      <c r="BQ129" s="381"/>
      <c r="BR129" s="381"/>
      <c r="BS129" s="381"/>
      <c r="BT129" s="381"/>
      <c r="BU129" s="381"/>
      <c r="BV129" s="381"/>
      <c r="BW129" s="381"/>
      <c r="BX129" s="381"/>
      <c r="BY129" s="381"/>
      <c r="BZ129" s="381"/>
      <c r="CA129" s="381"/>
      <c r="CB129" s="917"/>
      <c r="CC129" s="381"/>
      <c r="CD129" s="381"/>
      <c r="CE129" s="381"/>
      <c r="CF129" s="381"/>
      <c r="CG129" s="381"/>
      <c r="CH129" s="381"/>
      <c r="CI129" s="381"/>
      <c r="CJ129" s="381"/>
      <c r="CK129" s="381"/>
      <c r="CL129" s="381"/>
      <c r="CM129" s="381"/>
      <c r="CN129" s="917"/>
      <c r="CO129" s="381"/>
      <c r="CP129" s="381"/>
      <c r="CQ129" s="381"/>
      <c r="CR129" s="381"/>
      <c r="CS129" s="381"/>
      <c r="CT129" s="381"/>
      <c r="CU129" s="381"/>
      <c r="CV129" s="381"/>
      <c r="CW129" s="381"/>
      <c r="CX129" s="381"/>
      <c r="CY129" s="381"/>
      <c r="CZ129" s="917"/>
      <c r="DA129" s="381"/>
      <c r="DB129" s="381"/>
      <c r="DC129" s="381"/>
      <c r="DD129" s="381"/>
      <c r="DE129" s="381"/>
      <c r="DF129" s="381"/>
      <c r="DG129" s="381"/>
      <c r="DH129" s="381"/>
      <c r="DI129" s="381"/>
      <c r="DJ129" s="381"/>
      <c r="DK129" s="381"/>
      <c r="DL129" s="381"/>
      <c r="DM129" s="381"/>
      <c r="DN129" s="426"/>
      <c r="DO129" s="330"/>
    </row>
    <row r="130" spans="2:119" x14ac:dyDescent="0.3">
      <c r="B130" s="416"/>
      <c r="C130" s="423"/>
      <c r="D130" s="385" t="s">
        <v>367</v>
      </c>
      <c r="E130" s="356"/>
      <c r="F130" s="356"/>
      <c r="G130" s="356"/>
      <c r="H130" s="356"/>
      <c r="I130" s="381"/>
      <c r="J130" s="381"/>
      <c r="K130" s="381"/>
      <c r="L130" s="381"/>
      <c r="M130" s="381"/>
      <c r="N130" s="381"/>
      <c r="O130" s="381"/>
      <c r="P130" s="381"/>
      <c r="Q130" s="381"/>
      <c r="R130" s="381"/>
      <c r="S130" s="381"/>
      <c r="T130" s="917"/>
      <c r="U130" s="381"/>
      <c r="V130" s="381"/>
      <c r="W130" s="381"/>
      <c r="X130" s="381"/>
      <c r="Y130" s="381"/>
      <c r="Z130" s="381"/>
      <c r="AA130" s="381"/>
      <c r="AB130" s="381"/>
      <c r="AC130" s="381"/>
      <c r="AD130" s="381"/>
      <c r="AE130" s="381"/>
      <c r="AF130" s="917"/>
      <c r="AG130" s="381"/>
      <c r="AH130" s="381"/>
      <c r="AI130" s="381"/>
      <c r="AJ130" s="381"/>
      <c r="AK130" s="381"/>
      <c r="AL130" s="381"/>
      <c r="AM130" s="381"/>
      <c r="AN130" s="381"/>
      <c r="AO130" s="381"/>
      <c r="AP130" s="381"/>
      <c r="AQ130" s="381"/>
      <c r="AR130" s="917"/>
      <c r="AS130" s="381"/>
      <c r="AT130" s="381"/>
      <c r="AU130" s="381"/>
      <c r="AV130" s="381"/>
      <c r="AW130" s="381"/>
      <c r="AX130" s="381"/>
      <c r="AY130" s="381"/>
      <c r="AZ130" s="381"/>
      <c r="BA130" s="381"/>
      <c r="BB130" s="381"/>
      <c r="BC130" s="381"/>
      <c r="BD130" s="917"/>
      <c r="BE130" s="381"/>
      <c r="BF130" s="381"/>
      <c r="BG130" s="381"/>
      <c r="BH130" s="381"/>
      <c r="BI130" s="381"/>
      <c r="BJ130" s="381"/>
      <c r="BK130" s="381"/>
      <c r="BL130" s="381"/>
      <c r="BM130" s="381"/>
      <c r="BN130" s="381"/>
      <c r="BO130" s="381"/>
      <c r="BP130" s="917"/>
      <c r="BQ130" s="381"/>
      <c r="BR130" s="381"/>
      <c r="BS130" s="381"/>
      <c r="BT130" s="381"/>
      <c r="BU130" s="381"/>
      <c r="BV130" s="381"/>
      <c r="BW130" s="381"/>
      <c r="BX130" s="381"/>
      <c r="BY130" s="381"/>
      <c r="BZ130" s="381"/>
      <c r="CA130" s="381"/>
      <c r="CB130" s="917"/>
      <c r="CC130" s="381"/>
      <c r="CD130" s="381"/>
      <c r="CE130" s="381"/>
      <c r="CF130" s="381"/>
      <c r="CG130" s="381"/>
      <c r="CH130" s="381"/>
      <c r="CI130" s="381"/>
      <c r="CJ130" s="381"/>
      <c r="CK130" s="381"/>
      <c r="CL130" s="381"/>
      <c r="CM130" s="381"/>
      <c r="CN130" s="917"/>
      <c r="CO130" s="381"/>
      <c r="CP130" s="381"/>
      <c r="CQ130" s="381"/>
      <c r="CR130" s="381"/>
      <c r="CS130" s="381"/>
      <c r="CT130" s="381"/>
      <c r="CU130" s="381"/>
      <c r="CV130" s="381"/>
      <c r="CW130" s="381"/>
      <c r="CX130" s="381"/>
      <c r="CY130" s="381"/>
      <c r="CZ130" s="917"/>
      <c r="DA130" s="381"/>
      <c r="DB130" s="381"/>
      <c r="DC130" s="381"/>
      <c r="DD130" s="381"/>
      <c r="DE130" s="381"/>
      <c r="DF130" s="381"/>
      <c r="DG130" s="381"/>
      <c r="DH130" s="381"/>
      <c r="DI130" s="381"/>
      <c r="DJ130" s="381"/>
      <c r="DK130" s="381"/>
      <c r="DL130" s="381"/>
      <c r="DM130" s="381"/>
      <c r="DN130" s="426"/>
      <c r="DO130" s="330"/>
    </row>
    <row r="131" spans="2:119" x14ac:dyDescent="0.3">
      <c r="B131" s="416"/>
      <c r="C131" s="423"/>
      <c r="D131" s="385"/>
      <c r="E131" s="356" t="s">
        <v>366</v>
      </c>
      <c r="F131" s="356"/>
      <c r="G131" s="356"/>
      <c r="H131" s="512">
        <f>-'Members Capital'!G7</f>
        <v>-45642</v>
      </c>
      <c r="I131" s="381">
        <f>I128</f>
        <v>0</v>
      </c>
      <c r="J131" s="381">
        <f t="shared" ref="J131:BU131" si="783">J128</f>
        <v>0</v>
      </c>
      <c r="K131" s="381">
        <f t="shared" si="783"/>
        <v>0</v>
      </c>
      <c r="L131" s="381">
        <f t="shared" si="783"/>
        <v>0</v>
      </c>
      <c r="M131" s="381">
        <f t="shared" si="783"/>
        <v>0</v>
      </c>
      <c r="N131" s="381">
        <f t="shared" si="783"/>
        <v>0</v>
      </c>
      <c r="O131" s="381">
        <f t="shared" si="783"/>
        <v>0</v>
      </c>
      <c r="P131" s="381">
        <f t="shared" si="783"/>
        <v>0</v>
      </c>
      <c r="Q131" s="381">
        <f t="shared" si="783"/>
        <v>0</v>
      </c>
      <c r="R131" s="381">
        <f t="shared" si="783"/>
        <v>0</v>
      </c>
      <c r="S131" s="381">
        <f t="shared" si="783"/>
        <v>0</v>
      </c>
      <c r="T131" s="917">
        <f t="shared" si="783"/>
        <v>0</v>
      </c>
      <c r="U131" s="381">
        <f t="shared" si="783"/>
        <v>0</v>
      </c>
      <c r="V131" s="381">
        <f t="shared" si="783"/>
        <v>0</v>
      </c>
      <c r="W131" s="381">
        <f t="shared" si="783"/>
        <v>0</v>
      </c>
      <c r="X131" s="381">
        <f t="shared" si="783"/>
        <v>0</v>
      </c>
      <c r="Y131" s="381">
        <f t="shared" si="783"/>
        <v>0</v>
      </c>
      <c r="Z131" s="381">
        <f t="shared" si="783"/>
        <v>0</v>
      </c>
      <c r="AA131" s="381">
        <f t="shared" si="783"/>
        <v>0</v>
      </c>
      <c r="AB131" s="381">
        <f t="shared" si="783"/>
        <v>0</v>
      </c>
      <c r="AC131" s="381">
        <f t="shared" si="783"/>
        <v>0</v>
      </c>
      <c r="AD131" s="381">
        <f t="shared" si="783"/>
        <v>0</v>
      </c>
      <c r="AE131" s="381">
        <f t="shared" si="783"/>
        <v>0</v>
      </c>
      <c r="AF131" s="917">
        <f t="shared" si="783"/>
        <v>0</v>
      </c>
      <c r="AG131" s="381">
        <f t="shared" si="783"/>
        <v>0</v>
      </c>
      <c r="AH131" s="381">
        <f t="shared" si="783"/>
        <v>0</v>
      </c>
      <c r="AI131" s="381">
        <f t="shared" si="783"/>
        <v>0</v>
      </c>
      <c r="AJ131" s="381">
        <f t="shared" si="783"/>
        <v>0</v>
      </c>
      <c r="AK131" s="381">
        <f t="shared" si="783"/>
        <v>0</v>
      </c>
      <c r="AL131" s="381">
        <f t="shared" si="783"/>
        <v>0</v>
      </c>
      <c r="AM131" s="381">
        <f t="shared" si="783"/>
        <v>0</v>
      </c>
      <c r="AN131" s="381">
        <f t="shared" si="783"/>
        <v>0</v>
      </c>
      <c r="AO131" s="381">
        <f t="shared" si="783"/>
        <v>0</v>
      </c>
      <c r="AP131" s="381">
        <f t="shared" si="783"/>
        <v>0</v>
      </c>
      <c r="AQ131" s="381">
        <f t="shared" si="783"/>
        <v>0</v>
      </c>
      <c r="AR131" s="917">
        <f t="shared" si="783"/>
        <v>0</v>
      </c>
      <c r="AS131" s="381">
        <f t="shared" si="783"/>
        <v>0</v>
      </c>
      <c r="AT131" s="381">
        <f t="shared" si="783"/>
        <v>0</v>
      </c>
      <c r="AU131" s="381">
        <f t="shared" si="783"/>
        <v>0</v>
      </c>
      <c r="AV131" s="381">
        <f t="shared" si="783"/>
        <v>0</v>
      </c>
      <c r="AW131" s="381">
        <f t="shared" si="783"/>
        <v>0</v>
      </c>
      <c r="AX131" s="381">
        <f t="shared" si="783"/>
        <v>0</v>
      </c>
      <c r="AY131" s="381">
        <f t="shared" si="783"/>
        <v>0</v>
      </c>
      <c r="AZ131" s="381">
        <f t="shared" si="783"/>
        <v>0</v>
      </c>
      <c r="BA131" s="381">
        <f t="shared" si="783"/>
        <v>0</v>
      </c>
      <c r="BB131" s="381">
        <f t="shared" si="783"/>
        <v>0</v>
      </c>
      <c r="BC131" s="381">
        <f t="shared" si="783"/>
        <v>0</v>
      </c>
      <c r="BD131" s="917">
        <f t="shared" si="783"/>
        <v>0</v>
      </c>
      <c r="BE131" s="381">
        <f t="shared" si="783"/>
        <v>0</v>
      </c>
      <c r="BF131" s="381">
        <f t="shared" si="783"/>
        <v>0</v>
      </c>
      <c r="BG131" s="381">
        <f t="shared" si="783"/>
        <v>0</v>
      </c>
      <c r="BH131" s="381">
        <f t="shared" si="783"/>
        <v>0</v>
      </c>
      <c r="BI131" s="381">
        <f t="shared" si="783"/>
        <v>0</v>
      </c>
      <c r="BJ131" s="381">
        <f t="shared" si="783"/>
        <v>0</v>
      </c>
      <c r="BK131" s="381">
        <f t="shared" si="783"/>
        <v>0</v>
      </c>
      <c r="BL131" s="381">
        <f t="shared" si="783"/>
        <v>0</v>
      </c>
      <c r="BM131" s="381">
        <f t="shared" si="783"/>
        <v>0</v>
      </c>
      <c r="BN131" s="381">
        <f t="shared" si="783"/>
        <v>0</v>
      </c>
      <c r="BO131" s="381">
        <f t="shared" si="783"/>
        <v>0</v>
      </c>
      <c r="BP131" s="917">
        <f t="shared" si="783"/>
        <v>0</v>
      </c>
      <c r="BQ131" s="381">
        <f t="shared" si="783"/>
        <v>0</v>
      </c>
      <c r="BR131" s="381">
        <f t="shared" si="783"/>
        <v>0</v>
      </c>
      <c r="BS131" s="381">
        <f t="shared" si="783"/>
        <v>0</v>
      </c>
      <c r="BT131" s="381">
        <f t="shared" si="783"/>
        <v>0</v>
      </c>
      <c r="BU131" s="381">
        <f t="shared" si="783"/>
        <v>0</v>
      </c>
      <c r="BV131" s="381">
        <f t="shared" ref="BV131:CB131" si="784">BV128</f>
        <v>0</v>
      </c>
      <c r="BW131" s="381">
        <f t="shared" si="784"/>
        <v>0</v>
      </c>
      <c r="BX131" s="381">
        <f t="shared" si="784"/>
        <v>0</v>
      </c>
      <c r="BY131" s="381">
        <f t="shared" si="784"/>
        <v>0</v>
      </c>
      <c r="BZ131" s="381">
        <f t="shared" si="784"/>
        <v>0</v>
      </c>
      <c r="CA131" s="381">
        <f t="shared" si="784"/>
        <v>0</v>
      </c>
      <c r="CB131" s="917">
        <f t="shared" si="784"/>
        <v>0</v>
      </c>
      <c r="CC131" s="381">
        <f t="shared" ref="CC131:CZ131" si="785">CC128</f>
        <v>0</v>
      </c>
      <c r="CD131" s="381">
        <f t="shared" si="785"/>
        <v>0</v>
      </c>
      <c r="CE131" s="381">
        <f t="shared" si="785"/>
        <v>0</v>
      </c>
      <c r="CF131" s="381">
        <f t="shared" si="785"/>
        <v>0</v>
      </c>
      <c r="CG131" s="381">
        <f t="shared" si="785"/>
        <v>0</v>
      </c>
      <c r="CH131" s="381">
        <f t="shared" si="785"/>
        <v>0</v>
      </c>
      <c r="CI131" s="381">
        <f t="shared" si="785"/>
        <v>0</v>
      </c>
      <c r="CJ131" s="381">
        <f t="shared" si="785"/>
        <v>0</v>
      </c>
      <c r="CK131" s="381">
        <f t="shared" si="785"/>
        <v>0</v>
      </c>
      <c r="CL131" s="381">
        <f t="shared" si="785"/>
        <v>0</v>
      </c>
      <c r="CM131" s="381">
        <f t="shared" si="785"/>
        <v>0</v>
      </c>
      <c r="CN131" s="917">
        <f t="shared" si="785"/>
        <v>0</v>
      </c>
      <c r="CO131" s="381">
        <f t="shared" si="785"/>
        <v>0</v>
      </c>
      <c r="CP131" s="381">
        <f t="shared" si="785"/>
        <v>0</v>
      </c>
      <c r="CQ131" s="381">
        <f t="shared" si="785"/>
        <v>0</v>
      </c>
      <c r="CR131" s="381">
        <f t="shared" si="785"/>
        <v>0</v>
      </c>
      <c r="CS131" s="381">
        <f t="shared" si="785"/>
        <v>0</v>
      </c>
      <c r="CT131" s="381">
        <f t="shared" si="785"/>
        <v>0</v>
      </c>
      <c r="CU131" s="381">
        <f t="shared" si="785"/>
        <v>0</v>
      </c>
      <c r="CV131" s="381">
        <f t="shared" si="785"/>
        <v>0</v>
      </c>
      <c r="CW131" s="381">
        <f t="shared" si="785"/>
        <v>0</v>
      </c>
      <c r="CX131" s="381">
        <f t="shared" si="785"/>
        <v>0</v>
      </c>
      <c r="CY131" s="381">
        <f t="shared" si="785"/>
        <v>0</v>
      </c>
      <c r="CZ131" s="917">
        <f t="shared" si="785"/>
        <v>0</v>
      </c>
      <c r="DA131" s="381">
        <f t="shared" ref="DA131:DL131" si="786">DA128</f>
        <v>0</v>
      </c>
      <c r="DB131" s="381">
        <f t="shared" si="786"/>
        <v>0</v>
      </c>
      <c r="DC131" s="381">
        <f t="shared" si="786"/>
        <v>0</v>
      </c>
      <c r="DD131" s="381">
        <f t="shared" si="786"/>
        <v>0</v>
      </c>
      <c r="DE131" s="381">
        <f t="shared" si="786"/>
        <v>0</v>
      </c>
      <c r="DF131" s="381">
        <f t="shared" si="786"/>
        <v>0</v>
      </c>
      <c r="DG131" s="381">
        <f t="shared" si="786"/>
        <v>0</v>
      </c>
      <c r="DH131" s="381">
        <f t="shared" si="786"/>
        <v>0</v>
      </c>
      <c r="DI131" s="381">
        <f t="shared" si="786"/>
        <v>0</v>
      </c>
      <c r="DJ131" s="381">
        <f t="shared" si="786"/>
        <v>0</v>
      </c>
      <c r="DK131" s="381">
        <f t="shared" si="786"/>
        <v>0</v>
      </c>
      <c r="DL131" s="381">
        <f t="shared" si="786"/>
        <v>0</v>
      </c>
      <c r="DM131" s="381"/>
      <c r="DN131" s="720">
        <f>SUM(H131:DL131)</f>
        <v>-45642</v>
      </c>
      <c r="DO131" s="330"/>
    </row>
    <row r="132" spans="2:119" x14ac:dyDescent="0.3">
      <c r="B132" s="416"/>
      <c r="C132" s="423"/>
      <c r="D132" s="385"/>
      <c r="E132" s="356"/>
      <c r="F132" s="356" t="s">
        <v>364</v>
      </c>
      <c r="G132" s="383" t="e">
        <f>XIRR(H131:DL131,H2:DL2,0.01)</f>
        <v>#NUM!</v>
      </c>
      <c r="H132" s="356"/>
      <c r="I132" s="381"/>
      <c r="J132" s="381"/>
      <c r="K132" s="381"/>
      <c r="L132" s="381"/>
      <c r="M132" s="381"/>
      <c r="N132" s="381"/>
      <c r="O132" s="381"/>
      <c r="P132" s="381"/>
      <c r="Q132" s="381"/>
      <c r="R132" s="381"/>
      <c r="S132" s="381"/>
      <c r="T132" s="917"/>
      <c r="U132" s="381"/>
      <c r="V132" s="381"/>
      <c r="W132" s="381"/>
      <c r="X132" s="381"/>
      <c r="Y132" s="381"/>
      <c r="Z132" s="381"/>
      <c r="AA132" s="381"/>
      <c r="AB132" s="381"/>
      <c r="AC132" s="381"/>
      <c r="AD132" s="381"/>
      <c r="AE132" s="381"/>
      <c r="AF132" s="917"/>
      <c r="AG132" s="381"/>
      <c r="AH132" s="381"/>
      <c r="AI132" s="381"/>
      <c r="AJ132" s="381"/>
      <c r="AK132" s="381"/>
      <c r="AL132" s="381"/>
      <c r="AM132" s="381"/>
      <c r="AN132" s="381"/>
      <c r="AO132" s="381"/>
      <c r="AP132" s="381"/>
      <c r="AQ132" s="381"/>
      <c r="AR132" s="917"/>
      <c r="AS132" s="381"/>
      <c r="AT132" s="381"/>
      <c r="AU132" s="381"/>
      <c r="AV132" s="381"/>
      <c r="AW132" s="381"/>
      <c r="AX132" s="381"/>
      <c r="AY132" s="381"/>
      <c r="AZ132" s="381"/>
      <c r="BA132" s="381"/>
      <c r="BB132" s="381"/>
      <c r="BC132" s="381"/>
      <c r="BD132" s="917"/>
      <c r="BE132" s="381"/>
      <c r="BF132" s="381"/>
      <c r="BG132" s="381"/>
      <c r="BH132" s="381"/>
      <c r="BI132" s="381"/>
      <c r="BJ132" s="381"/>
      <c r="BK132" s="381"/>
      <c r="BL132" s="381"/>
      <c r="BM132" s="381"/>
      <c r="BN132" s="381"/>
      <c r="BO132" s="381"/>
      <c r="BP132" s="917"/>
      <c r="BQ132" s="381"/>
      <c r="BR132" s="381"/>
      <c r="BS132" s="381"/>
      <c r="BT132" s="381"/>
      <c r="BU132" s="381"/>
      <c r="BV132" s="381"/>
      <c r="BW132" s="381"/>
      <c r="BX132" s="381"/>
      <c r="BY132" s="381"/>
      <c r="BZ132" s="381"/>
      <c r="CA132" s="381"/>
      <c r="CB132" s="917"/>
      <c r="CC132" s="381"/>
      <c r="CD132" s="381"/>
      <c r="CE132" s="381"/>
      <c r="CF132" s="381"/>
      <c r="CG132" s="381"/>
      <c r="CH132" s="381"/>
      <c r="CI132" s="381"/>
      <c r="CJ132" s="381"/>
      <c r="CK132" s="381"/>
      <c r="CL132" s="381"/>
      <c r="CM132" s="381"/>
      <c r="CN132" s="917"/>
      <c r="CO132" s="381"/>
      <c r="CP132" s="381"/>
      <c r="CQ132" s="381"/>
      <c r="CR132" s="381"/>
      <c r="CS132" s="381"/>
      <c r="CT132" s="381"/>
      <c r="CU132" s="381"/>
      <c r="CV132" s="381"/>
      <c r="CW132" s="381"/>
      <c r="CX132" s="381"/>
      <c r="CY132" s="381"/>
      <c r="CZ132" s="917"/>
      <c r="DA132" s="381"/>
      <c r="DB132" s="381"/>
      <c r="DC132" s="381"/>
      <c r="DD132" s="381"/>
      <c r="DE132" s="381"/>
      <c r="DF132" s="381"/>
      <c r="DG132" s="381"/>
      <c r="DH132" s="381"/>
      <c r="DI132" s="381"/>
      <c r="DJ132" s="381"/>
      <c r="DK132" s="381"/>
      <c r="DL132" s="381"/>
      <c r="DM132" s="381"/>
      <c r="DN132" s="720"/>
      <c r="DO132" s="330"/>
    </row>
    <row r="133" spans="2:119" x14ac:dyDescent="0.3">
      <c r="B133" s="416"/>
      <c r="C133" s="423"/>
      <c r="D133" s="385"/>
      <c r="E133" s="356"/>
      <c r="F133" s="356" t="s">
        <v>369</v>
      </c>
      <c r="G133" s="518">
        <f>DN131</f>
        <v>-45642</v>
      </c>
      <c r="H133" s="356"/>
      <c r="I133" s="381"/>
      <c r="J133" s="381"/>
      <c r="K133" s="381"/>
      <c r="L133" s="381"/>
      <c r="M133" s="381"/>
      <c r="N133" s="381"/>
      <c r="O133" s="381"/>
      <c r="P133" s="381"/>
      <c r="Q133" s="381"/>
      <c r="R133" s="381"/>
      <c r="S133" s="381"/>
      <c r="T133" s="917"/>
      <c r="U133" s="381"/>
      <c r="V133" s="381"/>
      <c r="W133" s="381"/>
      <c r="X133" s="381"/>
      <c r="Y133" s="381"/>
      <c r="Z133" s="381"/>
      <c r="AA133" s="381"/>
      <c r="AB133" s="381"/>
      <c r="AC133" s="381"/>
      <c r="AD133" s="381"/>
      <c r="AE133" s="381"/>
      <c r="AF133" s="917"/>
      <c r="AG133" s="381"/>
      <c r="AH133" s="381"/>
      <c r="AI133" s="381"/>
      <c r="AJ133" s="381"/>
      <c r="AK133" s="381"/>
      <c r="AL133" s="381"/>
      <c r="AM133" s="381"/>
      <c r="AN133" s="381"/>
      <c r="AO133" s="381"/>
      <c r="AP133" s="381"/>
      <c r="AQ133" s="381"/>
      <c r="AR133" s="917"/>
      <c r="AS133" s="381"/>
      <c r="AT133" s="381"/>
      <c r="AU133" s="381"/>
      <c r="AV133" s="381"/>
      <c r="AW133" s="381"/>
      <c r="AX133" s="381"/>
      <c r="AY133" s="381"/>
      <c r="AZ133" s="381"/>
      <c r="BA133" s="381"/>
      <c r="BB133" s="381"/>
      <c r="BC133" s="381"/>
      <c r="BD133" s="917"/>
      <c r="BE133" s="381"/>
      <c r="BF133" s="381"/>
      <c r="BG133" s="381"/>
      <c r="BH133" s="381"/>
      <c r="BI133" s="381"/>
      <c r="BJ133" s="381"/>
      <c r="BK133" s="381"/>
      <c r="BL133" s="381"/>
      <c r="BM133" s="381"/>
      <c r="BN133" s="381"/>
      <c r="BO133" s="381"/>
      <c r="BP133" s="917"/>
      <c r="BQ133" s="381"/>
      <c r="BR133" s="381"/>
      <c r="BS133" s="381"/>
      <c r="BT133" s="381"/>
      <c r="BU133" s="381"/>
      <c r="BV133" s="381"/>
      <c r="BW133" s="381"/>
      <c r="BX133" s="381"/>
      <c r="BY133" s="381"/>
      <c r="BZ133" s="381"/>
      <c r="CA133" s="381"/>
      <c r="CB133" s="917"/>
      <c r="CC133" s="381"/>
      <c r="CD133" s="381"/>
      <c r="CE133" s="381"/>
      <c r="CF133" s="381"/>
      <c r="CG133" s="381"/>
      <c r="CH133" s="381"/>
      <c r="CI133" s="381"/>
      <c r="CJ133" s="381"/>
      <c r="CK133" s="381"/>
      <c r="CL133" s="381"/>
      <c r="CM133" s="381"/>
      <c r="CN133" s="917"/>
      <c r="CO133" s="381"/>
      <c r="CP133" s="381"/>
      <c r="CQ133" s="381"/>
      <c r="CR133" s="381"/>
      <c r="CS133" s="381"/>
      <c r="CT133" s="381"/>
      <c r="CU133" s="381"/>
      <c r="CV133" s="381"/>
      <c r="CW133" s="381"/>
      <c r="CX133" s="381"/>
      <c r="CY133" s="381"/>
      <c r="CZ133" s="917"/>
      <c r="DA133" s="381"/>
      <c r="DB133" s="381"/>
      <c r="DC133" s="381"/>
      <c r="DD133" s="381"/>
      <c r="DE133" s="381"/>
      <c r="DF133" s="381"/>
      <c r="DG133" s="381"/>
      <c r="DH133" s="381"/>
      <c r="DI133" s="381"/>
      <c r="DJ133" s="381"/>
      <c r="DK133" s="381"/>
      <c r="DL133" s="381"/>
      <c r="DM133" s="381"/>
      <c r="DN133" s="426"/>
      <c r="DO133" s="330"/>
    </row>
    <row r="134" spans="2:119" x14ac:dyDescent="0.3">
      <c r="B134" s="416"/>
      <c r="C134" s="427"/>
      <c r="D134" s="387"/>
      <c r="E134" s="359"/>
      <c r="F134" s="359" t="s">
        <v>368</v>
      </c>
      <c r="G134" s="428">
        <f>SUM(I131:CZ131)/-H131</f>
        <v>0</v>
      </c>
      <c r="H134" s="359"/>
      <c r="I134" s="382"/>
      <c r="J134" s="382"/>
      <c r="K134" s="382"/>
      <c r="L134" s="382"/>
      <c r="M134" s="382"/>
      <c r="N134" s="382"/>
      <c r="O134" s="382"/>
      <c r="P134" s="382"/>
      <c r="Q134" s="382"/>
      <c r="R134" s="382"/>
      <c r="S134" s="382"/>
      <c r="T134" s="920"/>
      <c r="U134" s="382"/>
      <c r="V134" s="382"/>
      <c r="W134" s="382"/>
      <c r="X134" s="382"/>
      <c r="Y134" s="382"/>
      <c r="Z134" s="382"/>
      <c r="AA134" s="382"/>
      <c r="AB134" s="382"/>
      <c r="AC134" s="382"/>
      <c r="AD134" s="382"/>
      <c r="AE134" s="382"/>
      <c r="AF134" s="920"/>
      <c r="AG134" s="382"/>
      <c r="AH134" s="382"/>
      <c r="AI134" s="382"/>
      <c r="AJ134" s="382"/>
      <c r="AK134" s="382"/>
      <c r="AL134" s="382"/>
      <c r="AM134" s="382"/>
      <c r="AN134" s="382"/>
      <c r="AO134" s="382"/>
      <c r="AP134" s="382"/>
      <c r="AQ134" s="382"/>
      <c r="AR134" s="920"/>
      <c r="AS134" s="382"/>
      <c r="AT134" s="382"/>
      <c r="AU134" s="382"/>
      <c r="AV134" s="382"/>
      <c r="AW134" s="382"/>
      <c r="AX134" s="382"/>
      <c r="AY134" s="382"/>
      <c r="AZ134" s="382"/>
      <c r="BA134" s="382"/>
      <c r="BB134" s="382"/>
      <c r="BC134" s="382"/>
      <c r="BD134" s="920"/>
      <c r="BE134" s="382"/>
      <c r="BF134" s="382"/>
      <c r="BG134" s="382"/>
      <c r="BH134" s="382"/>
      <c r="BI134" s="382"/>
      <c r="BJ134" s="382"/>
      <c r="BK134" s="382"/>
      <c r="BL134" s="382"/>
      <c r="BM134" s="382"/>
      <c r="BN134" s="382"/>
      <c r="BO134" s="382"/>
      <c r="BP134" s="920"/>
      <c r="BQ134" s="382"/>
      <c r="BR134" s="382"/>
      <c r="BS134" s="382"/>
      <c r="BT134" s="382"/>
      <c r="BU134" s="382"/>
      <c r="BV134" s="382"/>
      <c r="BW134" s="382"/>
      <c r="BX134" s="382"/>
      <c r="BY134" s="382"/>
      <c r="BZ134" s="382"/>
      <c r="CA134" s="382"/>
      <c r="CB134" s="920"/>
      <c r="CC134" s="382"/>
      <c r="CD134" s="382"/>
      <c r="CE134" s="382"/>
      <c r="CF134" s="382"/>
      <c r="CG134" s="382"/>
      <c r="CH134" s="382"/>
      <c r="CI134" s="382"/>
      <c r="CJ134" s="382"/>
      <c r="CK134" s="382"/>
      <c r="CL134" s="382"/>
      <c r="CM134" s="382"/>
      <c r="CN134" s="920"/>
      <c r="CO134" s="382"/>
      <c r="CP134" s="382"/>
      <c r="CQ134" s="382"/>
      <c r="CR134" s="382"/>
      <c r="CS134" s="382"/>
      <c r="CT134" s="382"/>
      <c r="CU134" s="382"/>
      <c r="CV134" s="382"/>
      <c r="CW134" s="382"/>
      <c r="CX134" s="382"/>
      <c r="CY134" s="382"/>
      <c r="CZ134" s="920"/>
      <c r="DA134" s="382"/>
      <c r="DB134" s="382"/>
      <c r="DC134" s="382"/>
      <c r="DD134" s="382"/>
      <c r="DE134" s="382"/>
      <c r="DF134" s="382"/>
      <c r="DG134" s="382"/>
      <c r="DH134" s="382"/>
      <c r="DI134" s="382"/>
      <c r="DJ134" s="382"/>
      <c r="DK134" s="382"/>
      <c r="DL134" s="382"/>
      <c r="DM134" s="382"/>
      <c r="DN134" s="425"/>
      <c r="DO134" s="330"/>
    </row>
    <row r="135" spans="2:119" ht="14.4" thickBot="1" x14ac:dyDescent="0.35">
      <c r="B135" s="417"/>
      <c r="C135" s="325"/>
      <c r="D135" s="325"/>
      <c r="E135" s="327"/>
      <c r="F135" s="327"/>
      <c r="G135" s="327"/>
      <c r="H135" s="327"/>
      <c r="I135" s="327"/>
      <c r="J135" s="327"/>
      <c r="K135" s="327"/>
      <c r="L135" s="327"/>
      <c r="M135" s="327"/>
      <c r="N135" s="327"/>
      <c r="O135" s="327"/>
      <c r="P135" s="327"/>
      <c r="Q135" s="327"/>
      <c r="R135" s="327"/>
      <c r="S135" s="327"/>
      <c r="T135" s="895"/>
      <c r="U135" s="327"/>
      <c r="V135" s="327"/>
      <c r="W135" s="327"/>
      <c r="X135" s="327"/>
      <c r="Y135" s="327"/>
      <c r="Z135" s="327"/>
      <c r="AA135" s="327"/>
      <c r="AB135" s="327"/>
      <c r="AC135" s="327"/>
      <c r="AD135" s="327"/>
      <c r="AE135" s="327"/>
      <c r="AF135" s="895"/>
      <c r="AG135" s="327"/>
      <c r="AH135" s="327"/>
      <c r="AI135" s="327"/>
      <c r="AJ135" s="327"/>
      <c r="AK135" s="327"/>
      <c r="AL135" s="327"/>
      <c r="AM135" s="327"/>
      <c r="AN135" s="327"/>
      <c r="AO135" s="327"/>
      <c r="AP135" s="327"/>
      <c r="AQ135" s="327"/>
      <c r="AR135" s="895"/>
      <c r="AS135" s="327"/>
      <c r="AT135" s="327"/>
      <c r="AU135" s="327"/>
      <c r="AV135" s="327"/>
      <c r="AW135" s="327"/>
      <c r="AX135" s="327"/>
      <c r="AY135" s="327"/>
      <c r="AZ135" s="327"/>
      <c r="BA135" s="327"/>
      <c r="BB135" s="327"/>
      <c r="BC135" s="327"/>
      <c r="BD135" s="895"/>
      <c r="BE135" s="327"/>
      <c r="BF135" s="327"/>
      <c r="BG135" s="327"/>
      <c r="BH135" s="327"/>
      <c r="BI135" s="327"/>
      <c r="BJ135" s="327"/>
      <c r="BK135" s="327"/>
      <c r="BL135" s="327"/>
      <c r="BM135" s="327"/>
      <c r="BN135" s="327"/>
      <c r="BO135" s="327"/>
      <c r="BP135" s="895"/>
      <c r="BQ135" s="327"/>
      <c r="BR135" s="327"/>
      <c r="BS135" s="327"/>
      <c r="BT135" s="327"/>
      <c r="BU135" s="327"/>
      <c r="BV135" s="327"/>
      <c r="BW135" s="327"/>
      <c r="BX135" s="327"/>
      <c r="BY135" s="327"/>
      <c r="BZ135" s="327"/>
      <c r="CA135" s="327"/>
      <c r="CB135" s="895"/>
      <c r="CC135" s="327"/>
      <c r="CD135" s="327"/>
      <c r="CE135" s="327"/>
      <c r="CF135" s="327"/>
      <c r="CG135" s="327"/>
      <c r="CH135" s="327"/>
      <c r="CI135" s="327"/>
      <c r="CJ135" s="327"/>
      <c r="CK135" s="327"/>
      <c r="CL135" s="327"/>
      <c r="CM135" s="327"/>
      <c r="CN135" s="895"/>
      <c r="CO135" s="327"/>
      <c r="CP135" s="327"/>
      <c r="CQ135" s="327"/>
      <c r="CR135" s="327"/>
      <c r="CS135" s="327"/>
      <c r="CT135" s="327"/>
      <c r="CU135" s="327"/>
      <c r="CV135" s="327"/>
      <c r="CW135" s="327"/>
      <c r="CX135" s="327"/>
      <c r="CY135" s="327"/>
      <c r="CZ135" s="895"/>
      <c r="DA135" s="327"/>
      <c r="DB135" s="327"/>
      <c r="DC135" s="327"/>
      <c r="DD135" s="327"/>
      <c r="DE135" s="327"/>
      <c r="DF135" s="327"/>
      <c r="DG135" s="327"/>
      <c r="DH135" s="327"/>
      <c r="DI135" s="327"/>
      <c r="DJ135" s="327"/>
      <c r="DK135" s="327"/>
      <c r="DL135" s="327"/>
      <c r="DM135" s="327"/>
      <c r="DN135" s="327"/>
      <c r="DO135" s="333"/>
    </row>
  </sheetData>
  <conditionalFormatting sqref="I25:DL25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2:DL3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2" right="0.2" top="0.75" bottom="0.75" header="0.3" footer="0.3"/>
  <pageSetup paperSize="5" scale="76" fitToWidth="2" fitToHeight="2" orientation="landscape" horizontalDpi="1200" verticalDpi="1200" r:id="rId1"/>
  <headerFooter>
    <oddHeader>&amp;C&amp;"Arial,Bold"&amp;12 2400 Enfield
Account Balances</oddHeader>
  </headerFooter>
  <rowBreaks count="1" manualBreakCount="1">
    <brk id="61" max="16383" man="1"/>
  </rowBreak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F30C2-FDE3-48BA-A423-7E7B00135EE1}">
  <dimension ref="C3:CJ15"/>
  <sheetViews>
    <sheetView workbookViewId="0">
      <selection activeCell="BX8" sqref="BX8"/>
    </sheetView>
  </sheetViews>
  <sheetFormatPr defaultColWidth="9.109375" defaultRowHeight="10.199999999999999" x14ac:dyDescent="0.2"/>
  <cols>
    <col min="1" max="1" width="1.77734375" style="750" customWidth="1"/>
    <col min="2" max="2" width="9.109375" style="750"/>
    <col min="3" max="3" width="9.109375" style="750" customWidth="1"/>
    <col min="4" max="4" width="11.21875" style="750" bestFit="1" customWidth="1"/>
    <col min="5" max="15" width="11.21875" style="750" hidden="1" customWidth="1"/>
    <col min="16" max="16" width="9.5546875" style="750" bestFit="1" customWidth="1"/>
    <col min="17" max="27" width="9.5546875" style="750" hidden="1" customWidth="1"/>
    <col min="28" max="28" width="9.5546875" style="750" bestFit="1" customWidth="1"/>
    <col min="29" max="39" width="9.5546875" style="750" hidden="1" customWidth="1"/>
    <col min="40" max="40" width="10.44140625" style="750" customWidth="1"/>
    <col min="41" max="51" width="10.44140625" style="750" hidden="1" customWidth="1"/>
    <col min="52" max="52" width="9.5546875" style="750" bestFit="1" customWidth="1"/>
    <col min="53" max="63" width="9.5546875" style="750" hidden="1" customWidth="1"/>
    <col min="64" max="64" width="9.5546875" style="750" bestFit="1" customWidth="1"/>
    <col min="65" max="75" width="9.5546875" style="750" hidden="1" customWidth="1"/>
    <col min="76" max="76" width="10.44140625" style="750" bestFit="1" customWidth="1"/>
    <col min="77" max="88" width="9.5546875" style="750" hidden="1" customWidth="1"/>
    <col min="89" max="16384" width="9.109375" style="750"/>
  </cols>
  <sheetData>
    <row r="3" spans="3:88" x14ac:dyDescent="0.2">
      <c r="D3" s="751" t="s">
        <v>274</v>
      </c>
      <c r="E3" s="751"/>
      <c r="F3" s="751"/>
      <c r="G3" s="751"/>
      <c r="H3" s="751"/>
      <c r="I3" s="751"/>
      <c r="J3" s="751"/>
      <c r="K3" s="751"/>
      <c r="L3" s="751"/>
      <c r="M3" s="751"/>
      <c r="N3" s="751"/>
      <c r="O3" s="751"/>
      <c r="P3" s="754">
        <f>'Table 3.0'!M28</f>
        <v>0.06</v>
      </c>
      <c r="Q3" s="754"/>
      <c r="R3" s="754"/>
      <c r="S3" s="754"/>
      <c r="T3" s="754"/>
      <c r="U3" s="754"/>
      <c r="V3" s="754"/>
      <c r="W3" s="754"/>
      <c r="X3" s="754"/>
      <c r="Y3" s="754"/>
      <c r="Z3" s="754"/>
      <c r="AA3" s="754"/>
      <c r="AB3" s="751" t="s">
        <v>734</v>
      </c>
      <c r="AC3" s="751"/>
      <c r="AD3" s="751"/>
      <c r="AE3" s="751"/>
      <c r="AF3" s="751"/>
      <c r="AG3" s="751"/>
      <c r="AH3" s="751"/>
      <c r="AI3" s="751"/>
      <c r="AJ3" s="751"/>
      <c r="AK3" s="751"/>
      <c r="AL3" s="751"/>
      <c r="AM3" s="751"/>
      <c r="AN3" s="751">
        <f>'Table 3.0'!O28</f>
        <v>30</v>
      </c>
      <c r="AO3" s="751"/>
      <c r="AP3" s="751"/>
      <c r="AQ3" s="751"/>
      <c r="AR3" s="751"/>
      <c r="AS3" s="751"/>
      <c r="AT3" s="751"/>
      <c r="AU3" s="751"/>
      <c r="AV3" s="751"/>
      <c r="AW3" s="751"/>
      <c r="AX3" s="751"/>
      <c r="AY3" s="751"/>
      <c r="AZ3" s="751" t="s">
        <v>719</v>
      </c>
      <c r="BA3" s="751"/>
      <c r="BB3" s="751"/>
      <c r="BC3" s="751"/>
      <c r="BD3" s="751"/>
      <c r="BE3" s="751"/>
      <c r="BF3" s="751"/>
      <c r="BG3" s="751"/>
      <c r="BH3" s="751"/>
      <c r="BI3" s="751"/>
      <c r="BJ3" s="751"/>
      <c r="BK3" s="751"/>
      <c r="BL3" s="756">
        <f>'Table 3.0'!L28</f>
        <v>1.25</v>
      </c>
      <c r="BM3" s="756"/>
      <c r="BN3" s="756"/>
      <c r="BO3" s="756"/>
      <c r="BP3" s="756"/>
      <c r="BQ3" s="756"/>
      <c r="BR3" s="756"/>
      <c r="BS3" s="756"/>
      <c r="BT3" s="756"/>
      <c r="BU3" s="756"/>
      <c r="BV3" s="756"/>
      <c r="BW3" s="756"/>
    </row>
    <row r="4" spans="3:88" ht="10.8" thickBot="1" x14ac:dyDescent="0.25"/>
    <row r="5" spans="3:88" ht="13.5" customHeight="1" thickBot="1" x14ac:dyDescent="0.25">
      <c r="D5" s="1025" t="s">
        <v>738</v>
      </c>
      <c r="E5" s="1026"/>
      <c r="F5" s="1026"/>
      <c r="G5" s="1026"/>
      <c r="H5" s="1026"/>
      <c r="I5" s="1026"/>
      <c r="J5" s="1026"/>
      <c r="K5" s="1026"/>
      <c r="L5" s="1026"/>
      <c r="M5" s="1026"/>
      <c r="N5" s="1026"/>
      <c r="O5" s="1026"/>
      <c r="P5" s="1026"/>
      <c r="Q5" s="1026"/>
      <c r="R5" s="1026"/>
      <c r="S5" s="1026"/>
      <c r="T5" s="1026"/>
      <c r="U5" s="1026"/>
      <c r="V5" s="1026"/>
      <c r="W5" s="1026"/>
      <c r="X5" s="1026"/>
      <c r="Y5" s="1026"/>
      <c r="Z5" s="1026"/>
      <c r="AA5" s="1026"/>
      <c r="AB5" s="1026"/>
      <c r="AC5" s="1026"/>
      <c r="AD5" s="1026"/>
      <c r="AE5" s="1026"/>
      <c r="AF5" s="1026"/>
      <c r="AG5" s="1026"/>
      <c r="AH5" s="1026"/>
      <c r="AI5" s="1026"/>
      <c r="AJ5" s="1026"/>
      <c r="AK5" s="1026"/>
      <c r="AL5" s="1026"/>
      <c r="AM5" s="1026"/>
      <c r="AN5" s="1026"/>
      <c r="AO5" s="1026"/>
      <c r="AP5" s="1026"/>
      <c r="AQ5" s="1026"/>
      <c r="AR5" s="1026"/>
      <c r="AS5" s="1026"/>
      <c r="AT5" s="1026"/>
      <c r="AU5" s="1026"/>
      <c r="AV5" s="1026"/>
      <c r="AW5" s="1026"/>
      <c r="AX5" s="1026"/>
      <c r="AY5" s="1026"/>
      <c r="AZ5" s="1026"/>
      <c r="BA5" s="1026"/>
      <c r="BB5" s="1026"/>
      <c r="BC5" s="1026"/>
      <c r="BD5" s="1026"/>
      <c r="BE5" s="1026"/>
      <c r="BF5" s="1026"/>
      <c r="BG5" s="1026"/>
      <c r="BH5" s="1026"/>
      <c r="BI5" s="1026"/>
      <c r="BJ5" s="1026"/>
      <c r="BK5" s="1026"/>
      <c r="BL5" s="1026"/>
      <c r="BM5" s="1026"/>
      <c r="BN5" s="1026"/>
      <c r="BO5" s="1026"/>
      <c r="BP5" s="1026"/>
      <c r="BQ5" s="1026"/>
      <c r="BR5" s="1026"/>
      <c r="BS5" s="1026"/>
      <c r="BT5" s="1026"/>
      <c r="BU5" s="1026"/>
      <c r="BV5" s="1026"/>
      <c r="BW5" s="1026"/>
      <c r="BX5" s="1026"/>
      <c r="BY5" s="1026"/>
      <c r="BZ5" s="1026"/>
      <c r="CA5" s="1026"/>
      <c r="CB5" s="1026"/>
      <c r="CC5" s="1026"/>
      <c r="CD5" s="1026"/>
      <c r="CE5" s="1026"/>
      <c r="CF5" s="1026"/>
      <c r="CG5" s="1026"/>
      <c r="CH5" s="1026"/>
      <c r="CI5" s="1026"/>
      <c r="CJ5" s="1027"/>
    </row>
    <row r="6" spans="3:88" ht="13.5" customHeight="1" thickBot="1" x14ac:dyDescent="0.35">
      <c r="D6" s="907">
        <f>Monthly!AH4</f>
        <v>46113</v>
      </c>
      <c r="E6" s="907">
        <f>Monthly!AI4</f>
        <v>46143</v>
      </c>
      <c r="F6" s="907">
        <f>Monthly!AJ4</f>
        <v>46174</v>
      </c>
      <c r="G6" s="907">
        <f>Monthly!AK4</f>
        <v>46204</v>
      </c>
      <c r="H6" s="907">
        <f>Monthly!AL4</f>
        <v>46235</v>
      </c>
      <c r="I6" s="907">
        <f>Monthly!AM4</f>
        <v>46266</v>
      </c>
      <c r="J6" s="907">
        <f>Monthly!AN4</f>
        <v>46296</v>
      </c>
      <c r="K6" s="907">
        <f>Monthly!AO4</f>
        <v>46327</v>
      </c>
      <c r="L6" s="907">
        <f>Monthly!AP4</f>
        <v>46357</v>
      </c>
      <c r="M6" s="907">
        <f>Monthly!AQ4</f>
        <v>46388</v>
      </c>
      <c r="N6" s="907">
        <f>Monthly!AR4</f>
        <v>46419</v>
      </c>
      <c r="O6" s="907">
        <f>Monthly!AS4</f>
        <v>46447</v>
      </c>
      <c r="P6" s="907">
        <f>Monthly!AT4</f>
        <v>46478</v>
      </c>
      <c r="Q6" s="907">
        <f>Monthly!AU4</f>
        <v>46508</v>
      </c>
      <c r="R6" s="907">
        <f>Monthly!AV4</f>
        <v>46539</v>
      </c>
      <c r="S6" s="907">
        <f>Monthly!AW4</f>
        <v>46569</v>
      </c>
      <c r="T6" s="907">
        <f>Monthly!AX4</f>
        <v>46600</v>
      </c>
      <c r="U6" s="907">
        <f>Monthly!AY4</f>
        <v>46631</v>
      </c>
      <c r="V6" s="907">
        <f>Monthly!AZ4</f>
        <v>46661</v>
      </c>
      <c r="W6" s="907">
        <f>Monthly!BA4</f>
        <v>46692</v>
      </c>
      <c r="X6" s="907">
        <f>Monthly!BB4</f>
        <v>46722</v>
      </c>
      <c r="Y6" s="907">
        <f>Monthly!BC4</f>
        <v>46753</v>
      </c>
      <c r="Z6" s="907">
        <f>Monthly!BD4</f>
        <v>46784</v>
      </c>
      <c r="AA6" s="907">
        <f>Monthly!BE4</f>
        <v>46813</v>
      </c>
      <c r="AB6" s="907">
        <f>Monthly!BF4</f>
        <v>46844</v>
      </c>
      <c r="AC6" s="907">
        <f>Monthly!BG4</f>
        <v>46874</v>
      </c>
      <c r="AD6" s="907">
        <f>Monthly!BH4</f>
        <v>46905</v>
      </c>
      <c r="AE6" s="907">
        <f>Monthly!BI4</f>
        <v>46935</v>
      </c>
      <c r="AF6" s="907">
        <f>Monthly!BJ4</f>
        <v>46966</v>
      </c>
      <c r="AG6" s="907">
        <f>Monthly!BK4</f>
        <v>46997</v>
      </c>
      <c r="AH6" s="907">
        <f>Monthly!BL4</f>
        <v>47027</v>
      </c>
      <c r="AI6" s="907">
        <f>Monthly!BM4</f>
        <v>47058</v>
      </c>
      <c r="AJ6" s="907">
        <f>Monthly!BN4</f>
        <v>47088</v>
      </c>
      <c r="AK6" s="907">
        <f>Monthly!BO4</f>
        <v>47119</v>
      </c>
      <c r="AL6" s="907">
        <f>Monthly!BP4</f>
        <v>47150</v>
      </c>
      <c r="AM6" s="907">
        <f>Monthly!BQ4</f>
        <v>47178</v>
      </c>
      <c r="AN6" s="907">
        <f>Monthly!BR4</f>
        <v>47209</v>
      </c>
      <c r="AO6" s="907">
        <f>Monthly!BS4</f>
        <v>47239</v>
      </c>
      <c r="AP6" s="907">
        <f>Monthly!BT4</f>
        <v>47270</v>
      </c>
      <c r="AQ6" s="907">
        <f>Monthly!BU4</f>
        <v>47300</v>
      </c>
      <c r="AR6" s="907">
        <f>Monthly!BV4</f>
        <v>47331</v>
      </c>
      <c r="AS6" s="907">
        <f>Monthly!BW4</f>
        <v>47362</v>
      </c>
      <c r="AT6" s="907">
        <f>Monthly!BX4</f>
        <v>47392</v>
      </c>
      <c r="AU6" s="907">
        <f>Monthly!BY4</f>
        <v>47423</v>
      </c>
      <c r="AV6" s="907">
        <f>Monthly!BZ4</f>
        <v>47453</v>
      </c>
      <c r="AW6" s="907">
        <f>Monthly!CA4</f>
        <v>47484</v>
      </c>
      <c r="AX6" s="907">
        <f>Monthly!CB4</f>
        <v>47515</v>
      </c>
      <c r="AY6" s="907">
        <f>Monthly!CC4</f>
        <v>47543</v>
      </c>
      <c r="AZ6" s="907">
        <f>Monthly!CD4</f>
        <v>47574</v>
      </c>
      <c r="BA6" s="907">
        <f>Monthly!CE4</f>
        <v>47604</v>
      </c>
      <c r="BB6" s="907">
        <f>Monthly!CF4</f>
        <v>47635</v>
      </c>
      <c r="BC6" s="907">
        <f>Monthly!CG4</f>
        <v>47665</v>
      </c>
      <c r="BD6" s="907">
        <f>Monthly!CH4</f>
        <v>47696</v>
      </c>
      <c r="BE6" s="907">
        <f>Monthly!CI4</f>
        <v>47727</v>
      </c>
      <c r="BF6" s="907">
        <f>Monthly!CJ4</f>
        <v>47757</v>
      </c>
      <c r="BG6" s="907">
        <f>Monthly!CK4</f>
        <v>47788</v>
      </c>
      <c r="BH6" s="907">
        <f>Monthly!CL4</f>
        <v>47818</v>
      </c>
      <c r="BI6" s="907">
        <f>Monthly!CM4</f>
        <v>47849</v>
      </c>
      <c r="BJ6" s="907">
        <f>Monthly!CN4</f>
        <v>47880</v>
      </c>
      <c r="BK6" s="907">
        <f>Monthly!CO4</f>
        <v>47908</v>
      </c>
      <c r="BL6" s="907">
        <f>Monthly!CP4</f>
        <v>47939</v>
      </c>
      <c r="BM6" s="907">
        <f>Monthly!CQ4</f>
        <v>47969</v>
      </c>
      <c r="BN6" s="907">
        <f>Monthly!CR4</f>
        <v>48000</v>
      </c>
      <c r="BO6" s="907">
        <f>Monthly!CS4</f>
        <v>48030</v>
      </c>
      <c r="BP6" s="907">
        <f>Monthly!CT4</f>
        <v>48061</v>
      </c>
      <c r="BQ6" s="907">
        <f>Monthly!CU4</f>
        <v>48092</v>
      </c>
      <c r="BR6" s="907">
        <f>Monthly!CV4</f>
        <v>48122</v>
      </c>
      <c r="BS6" s="907">
        <f>Monthly!CW4</f>
        <v>48153</v>
      </c>
      <c r="BT6" s="907">
        <f>Monthly!CX4</f>
        <v>48183</v>
      </c>
      <c r="BU6" s="907">
        <f>Monthly!CY4</f>
        <v>48214</v>
      </c>
      <c r="BV6" s="907">
        <f>Monthly!CZ4</f>
        <v>48245</v>
      </c>
      <c r="BW6" s="907">
        <f>Monthly!DA4</f>
        <v>48274</v>
      </c>
      <c r="BX6" s="907">
        <f>Monthly!DB4</f>
        <v>48305</v>
      </c>
      <c r="BY6" s="907">
        <f>Monthly!DC4</f>
        <v>48335</v>
      </c>
      <c r="BZ6" s="907">
        <f>Monthly!DD4</f>
        <v>48366</v>
      </c>
      <c r="CA6" s="907">
        <f>Monthly!DE4</f>
        <v>48396</v>
      </c>
      <c r="CB6" s="907">
        <f>Monthly!DF4</f>
        <v>48427</v>
      </c>
      <c r="CC6" s="907">
        <f>Monthly!DG4</f>
        <v>48458</v>
      </c>
      <c r="CD6" s="907">
        <f>Monthly!DH4</f>
        <v>48488</v>
      </c>
      <c r="CE6" s="907">
        <f>Monthly!DI4</f>
        <v>48519</v>
      </c>
      <c r="CF6" s="907">
        <f>Monthly!DJ4</f>
        <v>48549</v>
      </c>
      <c r="CG6" s="907">
        <f>Monthly!DK4</f>
        <v>48580</v>
      </c>
      <c r="CH6" s="907">
        <f>Monthly!DL4</f>
        <v>48611</v>
      </c>
      <c r="CI6" s="907">
        <f>Monthly!DM4</f>
        <v>48639</v>
      </c>
      <c r="CJ6" s="907">
        <f>Monthly!DN4</f>
        <v>48670</v>
      </c>
    </row>
    <row r="7" spans="3:88" x14ac:dyDescent="0.2">
      <c r="C7" s="755" t="s">
        <v>733</v>
      </c>
      <c r="D7" s="751">
        <f>Monthly!AH5</f>
        <v>24</v>
      </c>
      <c r="E7" s="751">
        <f>Monthly!AI5</f>
        <v>25</v>
      </c>
      <c r="F7" s="751">
        <f>Monthly!AJ5</f>
        <v>26</v>
      </c>
      <c r="G7" s="751">
        <f>Monthly!AK5</f>
        <v>27</v>
      </c>
      <c r="H7" s="751">
        <f>Monthly!AL5</f>
        <v>28</v>
      </c>
      <c r="I7" s="751">
        <f>Monthly!AM5</f>
        <v>29</v>
      </c>
      <c r="J7" s="751">
        <f>Monthly!AN5</f>
        <v>30</v>
      </c>
      <c r="K7" s="751">
        <f>Monthly!AO5</f>
        <v>31</v>
      </c>
      <c r="L7" s="751">
        <f>Monthly!AP5</f>
        <v>32</v>
      </c>
      <c r="M7" s="751">
        <f>Monthly!AQ5</f>
        <v>33</v>
      </c>
      <c r="N7" s="751">
        <f>Monthly!AR5</f>
        <v>34</v>
      </c>
      <c r="O7" s="751">
        <f>Monthly!AS5</f>
        <v>35</v>
      </c>
      <c r="P7" s="751">
        <f>Monthly!AT5</f>
        <v>36</v>
      </c>
      <c r="Q7" s="751">
        <f>Monthly!AU5</f>
        <v>37</v>
      </c>
      <c r="R7" s="751">
        <f>Monthly!AV5</f>
        <v>38</v>
      </c>
      <c r="S7" s="751">
        <f>Monthly!AW5</f>
        <v>39</v>
      </c>
      <c r="T7" s="751">
        <f>Monthly!AX5</f>
        <v>40</v>
      </c>
      <c r="U7" s="751">
        <f>Monthly!AY5</f>
        <v>41</v>
      </c>
      <c r="V7" s="751">
        <f>Monthly!AZ5</f>
        <v>42</v>
      </c>
      <c r="W7" s="751">
        <f>Monthly!BA5</f>
        <v>43</v>
      </c>
      <c r="X7" s="751">
        <f>Monthly!BB5</f>
        <v>44</v>
      </c>
      <c r="Y7" s="751">
        <f>Monthly!BC5</f>
        <v>45</v>
      </c>
      <c r="Z7" s="751">
        <f>Monthly!BD5</f>
        <v>46</v>
      </c>
      <c r="AA7" s="751">
        <f>Monthly!BE5</f>
        <v>47</v>
      </c>
      <c r="AB7" s="751">
        <f>Monthly!BF5</f>
        <v>48</v>
      </c>
      <c r="AC7" s="751">
        <f>Monthly!BG5</f>
        <v>49</v>
      </c>
      <c r="AD7" s="751">
        <f>Monthly!BH5</f>
        <v>50</v>
      </c>
      <c r="AE7" s="751">
        <f>Monthly!BI5</f>
        <v>51</v>
      </c>
      <c r="AF7" s="751">
        <f>Monthly!BJ5</f>
        <v>52</v>
      </c>
      <c r="AG7" s="751">
        <f>Monthly!BK5</f>
        <v>53</v>
      </c>
      <c r="AH7" s="751">
        <f>Monthly!BL5</f>
        <v>54</v>
      </c>
      <c r="AI7" s="751">
        <f>Monthly!BM5</f>
        <v>55</v>
      </c>
      <c r="AJ7" s="751">
        <f>Monthly!BN5</f>
        <v>56</v>
      </c>
      <c r="AK7" s="751">
        <f>Monthly!BO5</f>
        <v>57</v>
      </c>
      <c r="AL7" s="751">
        <f>Monthly!BP5</f>
        <v>58</v>
      </c>
      <c r="AM7" s="751">
        <f>Monthly!BQ5</f>
        <v>59</v>
      </c>
      <c r="AN7" s="751">
        <f>Monthly!BR5</f>
        <v>60</v>
      </c>
      <c r="AO7" s="751">
        <f>Monthly!BS5</f>
        <v>61</v>
      </c>
      <c r="AP7" s="751">
        <f>Monthly!BT5</f>
        <v>62</v>
      </c>
      <c r="AQ7" s="751">
        <f>Monthly!BU5</f>
        <v>63</v>
      </c>
      <c r="AR7" s="751">
        <f>Monthly!BV5</f>
        <v>64</v>
      </c>
      <c r="AS7" s="751">
        <f>Monthly!BW5</f>
        <v>65</v>
      </c>
      <c r="AT7" s="751">
        <f>Monthly!BX5</f>
        <v>66</v>
      </c>
      <c r="AU7" s="751">
        <f>Monthly!BY5</f>
        <v>67</v>
      </c>
      <c r="AV7" s="751">
        <f>Monthly!BZ5</f>
        <v>68</v>
      </c>
      <c r="AW7" s="751">
        <f>Monthly!CA5</f>
        <v>69</v>
      </c>
      <c r="AX7" s="751">
        <f>Monthly!CB5</f>
        <v>70</v>
      </c>
      <c r="AY7" s="751">
        <f>Monthly!CC5</f>
        <v>71</v>
      </c>
      <c r="AZ7" s="751">
        <f>Monthly!CD5</f>
        <v>72</v>
      </c>
      <c r="BA7" s="751">
        <f>Monthly!CE5</f>
        <v>73</v>
      </c>
      <c r="BB7" s="751">
        <f>Monthly!CF5</f>
        <v>74</v>
      </c>
      <c r="BC7" s="751">
        <f>Monthly!CG5</f>
        <v>75</v>
      </c>
      <c r="BD7" s="751">
        <f>Monthly!CH5</f>
        <v>76</v>
      </c>
      <c r="BE7" s="751">
        <f>Monthly!CI5</f>
        <v>77</v>
      </c>
      <c r="BF7" s="751">
        <f>Monthly!CJ5</f>
        <v>78</v>
      </c>
      <c r="BG7" s="751">
        <f>Monthly!CK5</f>
        <v>79</v>
      </c>
      <c r="BH7" s="751">
        <f>Monthly!CL5</f>
        <v>80</v>
      </c>
      <c r="BI7" s="751">
        <f>Monthly!CM5</f>
        <v>81</v>
      </c>
      <c r="BJ7" s="751">
        <f>Monthly!CN5</f>
        <v>82</v>
      </c>
      <c r="BK7" s="751">
        <f>Monthly!CO5</f>
        <v>83</v>
      </c>
      <c r="BL7" s="751">
        <f>Monthly!CP5</f>
        <v>84</v>
      </c>
      <c r="BM7" s="751">
        <f>Monthly!CQ5</f>
        <v>85</v>
      </c>
      <c r="BN7" s="751">
        <f>Monthly!CR5</f>
        <v>86</v>
      </c>
      <c r="BO7" s="751">
        <f>Monthly!CS5</f>
        <v>87</v>
      </c>
      <c r="BP7" s="751">
        <f>Monthly!CT5</f>
        <v>88</v>
      </c>
      <c r="BQ7" s="751">
        <f>Monthly!CU5</f>
        <v>89</v>
      </c>
      <c r="BR7" s="751">
        <f>Monthly!CV5</f>
        <v>90</v>
      </c>
      <c r="BS7" s="751">
        <f>Monthly!CW5</f>
        <v>91</v>
      </c>
      <c r="BT7" s="751">
        <f>Monthly!CX5</f>
        <v>92</v>
      </c>
      <c r="BU7" s="751">
        <f>Monthly!CY5</f>
        <v>93</v>
      </c>
      <c r="BV7" s="751">
        <f>Monthly!CZ5</f>
        <v>94</v>
      </c>
      <c r="BW7" s="751">
        <f>Monthly!DA5</f>
        <v>95</v>
      </c>
      <c r="BX7" s="751">
        <f>Monthly!DB5</f>
        <v>96</v>
      </c>
      <c r="BY7" s="751">
        <f>Monthly!DC5</f>
        <v>97</v>
      </c>
      <c r="BZ7" s="751">
        <f>Monthly!DD5</f>
        <v>98</v>
      </c>
      <c r="CA7" s="751">
        <f>Monthly!DE5</f>
        <v>99</v>
      </c>
      <c r="CB7" s="751">
        <f>Monthly!DF5</f>
        <v>100</v>
      </c>
      <c r="CC7" s="751">
        <f>Monthly!DG5</f>
        <v>101</v>
      </c>
      <c r="CD7" s="751">
        <f>Monthly!DH5</f>
        <v>102</v>
      </c>
      <c r="CE7" s="751">
        <f>Monthly!DI5</f>
        <v>103</v>
      </c>
      <c r="CF7" s="751">
        <f>Monthly!DJ5</f>
        <v>104</v>
      </c>
      <c r="CG7" s="751">
        <f>Monthly!DK5</f>
        <v>105</v>
      </c>
      <c r="CH7" s="751">
        <f>Monthly!DL5</f>
        <v>106</v>
      </c>
      <c r="CI7" s="751">
        <f>Monthly!DM5</f>
        <v>107</v>
      </c>
      <c r="CJ7" s="751">
        <f>Monthly!DN5</f>
        <v>108</v>
      </c>
    </row>
    <row r="8" spans="3:88" x14ac:dyDescent="0.2">
      <c r="C8" s="755" t="s">
        <v>739</v>
      </c>
      <c r="D8" s="752">
        <f>SUM(Monthly!AI79:AT79)</f>
        <v>215651.98999999987</v>
      </c>
      <c r="E8" s="752"/>
      <c r="F8" s="752"/>
      <c r="G8" s="752"/>
      <c r="H8" s="752"/>
      <c r="I8" s="752"/>
      <c r="J8" s="752"/>
      <c r="K8" s="752"/>
      <c r="L8" s="752"/>
      <c r="M8" s="752"/>
      <c r="N8" s="752"/>
      <c r="O8" s="752"/>
      <c r="P8" s="752">
        <f>SUM(Monthly!AU79:BF79)</f>
        <v>217342.44799999995</v>
      </c>
      <c r="Q8" s="752"/>
      <c r="R8" s="752"/>
      <c r="S8" s="752"/>
      <c r="T8" s="752"/>
      <c r="U8" s="752"/>
      <c r="V8" s="752"/>
      <c r="W8" s="752"/>
      <c r="X8" s="752"/>
      <c r="Y8" s="752"/>
      <c r="Z8" s="752"/>
      <c r="AA8" s="752"/>
      <c r="AB8" s="752">
        <f>SUM(Monthly!BG79:BR79)</f>
        <v>216751.5166399999</v>
      </c>
      <c r="AC8" s="752"/>
      <c r="AD8" s="752"/>
      <c r="AE8" s="752"/>
      <c r="AF8" s="752"/>
      <c r="AG8" s="752"/>
      <c r="AH8" s="752"/>
      <c r="AI8" s="752"/>
      <c r="AJ8" s="752"/>
      <c r="AK8" s="752"/>
      <c r="AL8" s="752"/>
      <c r="AM8" s="752"/>
      <c r="AN8" s="752">
        <f>SUM(Monthly!BS79:CD79)</f>
        <v>215403.42904320004</v>
      </c>
      <c r="AO8" s="752"/>
      <c r="AP8" s="752"/>
      <c r="AQ8" s="752"/>
      <c r="AR8" s="752"/>
      <c r="AS8" s="752"/>
      <c r="AT8" s="752"/>
      <c r="AU8" s="752"/>
      <c r="AV8" s="752"/>
      <c r="AW8" s="752"/>
      <c r="AX8" s="752"/>
      <c r="AY8" s="752"/>
      <c r="AZ8" s="752">
        <f>SUM(Monthly!CE79:CP79)</f>
        <v>212638.20504497594</v>
      </c>
      <c r="BA8" s="752"/>
      <c r="BB8" s="752"/>
      <c r="BC8" s="752"/>
      <c r="BD8" s="752"/>
      <c r="BE8" s="752"/>
      <c r="BF8" s="752"/>
      <c r="BG8" s="752"/>
      <c r="BH8" s="752"/>
      <c r="BI8" s="752"/>
      <c r="BJ8" s="752"/>
      <c r="BK8" s="752"/>
      <c r="BL8" s="752">
        <f>SUM(Monthly!CQ79:DB79)</f>
        <v>208326.32749866284</v>
      </c>
      <c r="BM8" s="752"/>
      <c r="BN8" s="752"/>
      <c r="BO8" s="752"/>
      <c r="BP8" s="752"/>
      <c r="BQ8" s="752"/>
      <c r="BR8" s="752"/>
      <c r="BS8" s="752"/>
      <c r="BT8" s="752"/>
      <c r="BU8" s="752"/>
      <c r="BV8" s="752"/>
      <c r="BW8" s="752"/>
      <c r="BX8" s="752">
        <f>SUM(Monthly!DC79:DN79)</f>
        <v>202324.0620128607</v>
      </c>
    </row>
    <row r="9" spans="3:88" x14ac:dyDescent="0.2">
      <c r="C9" s="755" t="s">
        <v>720</v>
      </c>
      <c r="D9" s="753">
        <f>D8/$BL$3</f>
        <v>172521.59199999989</v>
      </c>
      <c r="E9" s="753"/>
      <c r="F9" s="753"/>
      <c r="G9" s="753"/>
      <c r="H9" s="753"/>
      <c r="I9" s="753"/>
      <c r="J9" s="753"/>
      <c r="K9" s="753"/>
      <c r="L9" s="753"/>
      <c r="M9" s="753"/>
      <c r="N9" s="753"/>
      <c r="O9" s="753"/>
      <c r="P9" s="753">
        <f>P8/$BL$3</f>
        <v>173873.95839999994</v>
      </c>
      <c r="Q9" s="753"/>
      <c r="R9" s="753"/>
      <c r="S9" s="753"/>
      <c r="T9" s="753"/>
      <c r="U9" s="753"/>
      <c r="V9" s="753"/>
      <c r="W9" s="753"/>
      <c r="X9" s="753"/>
      <c r="Y9" s="753"/>
      <c r="Z9" s="753"/>
      <c r="AA9" s="753"/>
      <c r="AB9" s="753">
        <f>AB8/$BL$3</f>
        <v>173401.21331199992</v>
      </c>
      <c r="AC9" s="753"/>
      <c r="AD9" s="753"/>
      <c r="AE9" s="753"/>
      <c r="AF9" s="753"/>
      <c r="AG9" s="753"/>
      <c r="AH9" s="753"/>
      <c r="AI9" s="753"/>
      <c r="AJ9" s="753"/>
      <c r="AK9" s="753"/>
      <c r="AL9" s="753"/>
      <c r="AM9" s="753"/>
      <c r="AN9" s="753">
        <f>AN8/$BL$3</f>
        <v>172322.74323456004</v>
      </c>
      <c r="AO9" s="753"/>
      <c r="AP9" s="753"/>
      <c r="AQ9" s="753"/>
      <c r="AR9" s="753"/>
      <c r="AS9" s="753"/>
      <c r="AT9" s="753"/>
      <c r="AU9" s="753"/>
      <c r="AV9" s="753"/>
      <c r="AW9" s="753"/>
      <c r="AX9" s="753"/>
      <c r="AY9" s="753"/>
      <c r="AZ9" s="753">
        <f>AZ8/$BL$3</f>
        <v>170110.56403598076</v>
      </c>
      <c r="BA9" s="753"/>
      <c r="BB9" s="753"/>
      <c r="BC9" s="753"/>
      <c r="BD9" s="753"/>
      <c r="BE9" s="753"/>
      <c r="BF9" s="753"/>
      <c r="BG9" s="753"/>
      <c r="BH9" s="753"/>
      <c r="BI9" s="753"/>
      <c r="BJ9" s="753"/>
      <c r="BK9" s="753"/>
      <c r="BL9" s="753">
        <f>BL8/$BL$3</f>
        <v>166661.06199893026</v>
      </c>
      <c r="BM9" s="753"/>
      <c r="BN9" s="753"/>
      <c r="BO9" s="753"/>
      <c r="BP9" s="753"/>
      <c r="BQ9" s="753"/>
      <c r="BR9" s="753"/>
      <c r="BS9" s="753"/>
      <c r="BT9" s="753"/>
      <c r="BU9" s="753"/>
      <c r="BV9" s="753"/>
      <c r="BW9" s="753"/>
      <c r="BX9" s="753">
        <f>BX8/$BL$3</f>
        <v>161859.24961028856</v>
      </c>
    </row>
    <row r="10" spans="3:88" x14ac:dyDescent="0.2">
      <c r="C10" s="755" t="s">
        <v>731</v>
      </c>
      <c r="D10" s="753">
        <f>-PV('Table 3.0'!$M$28,'Table 3.0'!$O$28,D9)</f>
        <v>2374730.5838661483</v>
      </c>
      <c r="E10" s="753"/>
      <c r="F10" s="753"/>
      <c r="G10" s="753"/>
      <c r="H10" s="753"/>
      <c r="I10" s="753"/>
      <c r="J10" s="753"/>
      <c r="K10" s="753"/>
      <c r="L10" s="753"/>
      <c r="M10" s="753"/>
      <c r="N10" s="753"/>
      <c r="O10" s="753"/>
      <c r="P10" s="753">
        <f>-PV('Table 3.0'!$M$28,'Table 3.0'!$O$28,P9)</f>
        <v>2393345.6790170968</v>
      </c>
      <c r="Q10" s="753"/>
      <c r="R10" s="753"/>
      <c r="S10" s="753"/>
      <c r="T10" s="753"/>
      <c r="U10" s="753"/>
      <c r="V10" s="753"/>
      <c r="W10" s="753"/>
      <c r="X10" s="753"/>
      <c r="Y10" s="753"/>
      <c r="Z10" s="753"/>
      <c r="AA10" s="753"/>
      <c r="AB10" s="753">
        <f>-PV('Table 3.0'!$M$28,'Table 3.0'!$O$28,AB9)</f>
        <v>2386838.4227030803</v>
      </c>
      <c r="AC10" s="753"/>
      <c r="AD10" s="753"/>
      <c r="AE10" s="753"/>
      <c r="AF10" s="753"/>
      <c r="AG10" s="753"/>
      <c r="AH10" s="753"/>
      <c r="AI10" s="753"/>
      <c r="AJ10" s="753"/>
      <c r="AK10" s="753"/>
      <c r="AL10" s="753"/>
      <c r="AM10" s="753"/>
      <c r="AN10" s="753">
        <f>-PV('Table 3.0'!$M$28,'Table 3.0'!$O$28,AN9)</f>
        <v>2371993.4641851862</v>
      </c>
      <c r="AO10" s="753"/>
      <c r="AP10" s="753"/>
      <c r="AQ10" s="753"/>
      <c r="AR10" s="753"/>
      <c r="AS10" s="753"/>
      <c r="AT10" s="753"/>
      <c r="AU10" s="753"/>
      <c r="AV10" s="753"/>
      <c r="AW10" s="753"/>
      <c r="AX10" s="753"/>
      <c r="AY10" s="753"/>
      <c r="AZ10" s="753">
        <f>-PV('Table 3.0'!$M$28,'Table 3.0'!$O$28,AZ9)</f>
        <v>2341543.1910399054</v>
      </c>
      <c r="BA10" s="753"/>
      <c r="BB10" s="753"/>
      <c r="BC10" s="753"/>
      <c r="BD10" s="753"/>
      <c r="BE10" s="753"/>
      <c r="BF10" s="753"/>
      <c r="BG10" s="753"/>
      <c r="BH10" s="753"/>
      <c r="BI10" s="753"/>
      <c r="BJ10" s="753"/>
      <c r="BK10" s="753"/>
      <c r="BL10" s="753">
        <f>-PV('Table 3.0'!$M$28,'Table 3.0'!$O$28,BL9)</f>
        <v>2294061.3779431866</v>
      </c>
      <c r="BM10" s="753"/>
      <c r="BN10" s="753"/>
      <c r="BO10" s="753"/>
      <c r="BP10" s="753"/>
      <c r="BQ10" s="753"/>
      <c r="BR10" s="753"/>
      <c r="BS10" s="753"/>
      <c r="BT10" s="753"/>
      <c r="BU10" s="753"/>
      <c r="BV10" s="753"/>
      <c r="BW10" s="753"/>
      <c r="BX10" s="753">
        <f>-PV('Table 3.0'!$M$28,'Table 3.0'!$O$28,BX9)</f>
        <v>2227965.2411924032</v>
      </c>
    </row>
    <row r="11" spans="3:88" x14ac:dyDescent="0.2">
      <c r="C11" s="755" t="s">
        <v>478</v>
      </c>
      <c r="D11" s="753">
        <f>ROUND(D10,-4)</f>
        <v>2370000</v>
      </c>
      <c r="E11" s="753"/>
      <c r="F11" s="753"/>
      <c r="G11" s="753"/>
      <c r="H11" s="753"/>
      <c r="I11" s="753"/>
      <c r="J11" s="753"/>
      <c r="K11" s="753"/>
      <c r="L11" s="753"/>
      <c r="M11" s="753"/>
      <c r="N11" s="753"/>
      <c r="O11" s="753"/>
      <c r="P11" s="753">
        <f t="shared" ref="P11:BX11" si="0">ROUND(P10,-4)</f>
        <v>2390000</v>
      </c>
      <c r="Q11" s="753"/>
      <c r="R11" s="753"/>
      <c r="S11" s="753"/>
      <c r="T11" s="753"/>
      <c r="U11" s="753"/>
      <c r="V11" s="753"/>
      <c r="W11" s="753"/>
      <c r="X11" s="753"/>
      <c r="Y11" s="753"/>
      <c r="Z11" s="753"/>
      <c r="AA11" s="753"/>
      <c r="AB11" s="753">
        <f t="shared" si="0"/>
        <v>2390000</v>
      </c>
      <c r="AC11" s="753"/>
      <c r="AD11" s="753"/>
      <c r="AE11" s="753"/>
      <c r="AF11" s="753"/>
      <c r="AG11" s="753"/>
      <c r="AH11" s="753"/>
      <c r="AI11" s="753"/>
      <c r="AJ11" s="753"/>
      <c r="AK11" s="753"/>
      <c r="AL11" s="753"/>
      <c r="AM11" s="753"/>
      <c r="AN11" s="753">
        <f t="shared" si="0"/>
        <v>2370000</v>
      </c>
      <c r="AO11" s="753"/>
      <c r="AP11" s="753"/>
      <c r="AQ11" s="753"/>
      <c r="AR11" s="753"/>
      <c r="AS11" s="753"/>
      <c r="AT11" s="753"/>
      <c r="AU11" s="753"/>
      <c r="AV11" s="753"/>
      <c r="AW11" s="753"/>
      <c r="AX11" s="753"/>
      <c r="AY11" s="753"/>
      <c r="AZ11" s="753">
        <f t="shared" si="0"/>
        <v>2340000</v>
      </c>
      <c r="BA11" s="753"/>
      <c r="BB11" s="753"/>
      <c r="BC11" s="753"/>
      <c r="BD11" s="753"/>
      <c r="BE11" s="753"/>
      <c r="BF11" s="753"/>
      <c r="BG11" s="753"/>
      <c r="BH11" s="753"/>
      <c r="BI11" s="753"/>
      <c r="BJ11" s="753"/>
      <c r="BK11" s="753"/>
      <c r="BL11" s="753">
        <f t="shared" si="0"/>
        <v>2290000</v>
      </c>
      <c r="BM11" s="753"/>
      <c r="BN11" s="753"/>
      <c r="BO11" s="753"/>
      <c r="BP11" s="753"/>
      <c r="BQ11" s="753"/>
      <c r="BR11" s="753"/>
      <c r="BS11" s="753"/>
      <c r="BT11" s="753"/>
      <c r="BU11" s="753"/>
      <c r="BV11" s="753"/>
      <c r="BW11" s="753"/>
      <c r="BX11" s="753">
        <f t="shared" si="0"/>
        <v>2230000</v>
      </c>
    </row>
    <row r="12" spans="3:88" x14ac:dyDescent="0.2">
      <c r="C12" s="755" t="s">
        <v>735</v>
      </c>
      <c r="D12" s="753">
        <f>D11</f>
        <v>2370000</v>
      </c>
      <c r="E12" s="753">
        <f>D12</f>
        <v>2370000</v>
      </c>
      <c r="F12" s="753">
        <f t="shared" ref="F12:O12" si="1">E12</f>
        <v>2370000</v>
      </c>
      <c r="G12" s="753">
        <f t="shared" si="1"/>
        <v>2370000</v>
      </c>
      <c r="H12" s="753">
        <f t="shared" si="1"/>
        <v>2370000</v>
      </c>
      <c r="I12" s="753">
        <f t="shared" si="1"/>
        <v>2370000</v>
      </c>
      <c r="J12" s="753">
        <f t="shared" si="1"/>
        <v>2370000</v>
      </c>
      <c r="K12" s="753">
        <f t="shared" si="1"/>
        <v>2370000</v>
      </c>
      <c r="L12" s="753">
        <f t="shared" si="1"/>
        <v>2370000</v>
      </c>
      <c r="M12" s="753">
        <f t="shared" si="1"/>
        <v>2370000</v>
      </c>
      <c r="N12" s="753">
        <f t="shared" si="1"/>
        <v>2370000</v>
      </c>
      <c r="O12" s="753">
        <f t="shared" si="1"/>
        <v>2370000</v>
      </c>
      <c r="P12" s="753">
        <f>P11</f>
        <v>2390000</v>
      </c>
      <c r="Q12" s="753">
        <f>P12</f>
        <v>2390000</v>
      </c>
      <c r="R12" s="753">
        <f t="shared" ref="R12:AA12" si="2">Q12</f>
        <v>2390000</v>
      </c>
      <c r="S12" s="753">
        <f t="shared" si="2"/>
        <v>2390000</v>
      </c>
      <c r="T12" s="753">
        <f t="shared" si="2"/>
        <v>2390000</v>
      </c>
      <c r="U12" s="753">
        <f t="shared" si="2"/>
        <v>2390000</v>
      </c>
      <c r="V12" s="753">
        <f t="shared" si="2"/>
        <v>2390000</v>
      </c>
      <c r="W12" s="753">
        <f t="shared" si="2"/>
        <v>2390000</v>
      </c>
      <c r="X12" s="753">
        <f t="shared" si="2"/>
        <v>2390000</v>
      </c>
      <c r="Y12" s="753">
        <f t="shared" si="2"/>
        <v>2390000</v>
      </c>
      <c r="Z12" s="753">
        <f t="shared" si="2"/>
        <v>2390000</v>
      </c>
      <c r="AA12" s="753">
        <f t="shared" si="2"/>
        <v>2390000</v>
      </c>
      <c r="AB12" s="753">
        <f t="shared" ref="AB12:BX12" si="3">AB11</f>
        <v>2390000</v>
      </c>
      <c r="AC12" s="753">
        <f>AB12</f>
        <v>2390000</v>
      </c>
      <c r="AD12" s="753">
        <f t="shared" ref="AD12:AM12" si="4">AC12</f>
        <v>2390000</v>
      </c>
      <c r="AE12" s="753">
        <f t="shared" si="4"/>
        <v>2390000</v>
      </c>
      <c r="AF12" s="753">
        <f t="shared" si="4"/>
        <v>2390000</v>
      </c>
      <c r="AG12" s="753">
        <f t="shared" si="4"/>
        <v>2390000</v>
      </c>
      <c r="AH12" s="753">
        <f t="shared" si="4"/>
        <v>2390000</v>
      </c>
      <c r="AI12" s="753">
        <f t="shared" si="4"/>
        <v>2390000</v>
      </c>
      <c r="AJ12" s="753">
        <f t="shared" si="4"/>
        <v>2390000</v>
      </c>
      <c r="AK12" s="753">
        <f t="shared" si="4"/>
        <v>2390000</v>
      </c>
      <c r="AL12" s="753">
        <f t="shared" si="4"/>
        <v>2390000</v>
      </c>
      <c r="AM12" s="753">
        <f t="shared" si="4"/>
        <v>2390000</v>
      </c>
      <c r="AN12" s="753">
        <f t="shared" si="3"/>
        <v>2370000</v>
      </c>
      <c r="AO12" s="753">
        <f>AN12</f>
        <v>2370000</v>
      </c>
      <c r="AP12" s="753">
        <f t="shared" ref="AP12:AY12" si="5">AO12</f>
        <v>2370000</v>
      </c>
      <c r="AQ12" s="753">
        <f t="shared" si="5"/>
        <v>2370000</v>
      </c>
      <c r="AR12" s="753">
        <f t="shared" si="5"/>
        <v>2370000</v>
      </c>
      <c r="AS12" s="753">
        <f t="shared" si="5"/>
        <v>2370000</v>
      </c>
      <c r="AT12" s="753">
        <f t="shared" si="5"/>
        <v>2370000</v>
      </c>
      <c r="AU12" s="753">
        <f t="shared" si="5"/>
        <v>2370000</v>
      </c>
      <c r="AV12" s="753">
        <f t="shared" si="5"/>
        <v>2370000</v>
      </c>
      <c r="AW12" s="753">
        <f t="shared" si="5"/>
        <v>2370000</v>
      </c>
      <c r="AX12" s="753">
        <f t="shared" si="5"/>
        <v>2370000</v>
      </c>
      <c r="AY12" s="753">
        <f t="shared" si="5"/>
        <v>2370000</v>
      </c>
      <c r="AZ12" s="753">
        <f t="shared" si="3"/>
        <v>2340000</v>
      </c>
      <c r="BA12" s="753">
        <f>AZ12</f>
        <v>2340000</v>
      </c>
      <c r="BB12" s="753">
        <f t="shared" ref="BB12:BK12" si="6">BA12</f>
        <v>2340000</v>
      </c>
      <c r="BC12" s="753">
        <f t="shared" si="6"/>
        <v>2340000</v>
      </c>
      <c r="BD12" s="753">
        <f t="shared" si="6"/>
        <v>2340000</v>
      </c>
      <c r="BE12" s="753">
        <f t="shared" si="6"/>
        <v>2340000</v>
      </c>
      <c r="BF12" s="753">
        <f t="shared" si="6"/>
        <v>2340000</v>
      </c>
      <c r="BG12" s="753">
        <f t="shared" si="6"/>
        <v>2340000</v>
      </c>
      <c r="BH12" s="753">
        <f t="shared" si="6"/>
        <v>2340000</v>
      </c>
      <c r="BI12" s="753">
        <f t="shared" si="6"/>
        <v>2340000</v>
      </c>
      <c r="BJ12" s="753">
        <f t="shared" si="6"/>
        <v>2340000</v>
      </c>
      <c r="BK12" s="753">
        <f t="shared" si="6"/>
        <v>2340000</v>
      </c>
      <c r="BL12" s="753">
        <f t="shared" si="3"/>
        <v>2290000</v>
      </c>
      <c r="BM12" s="753">
        <f>BL12</f>
        <v>2290000</v>
      </c>
      <c r="BN12" s="753">
        <f t="shared" ref="BN12:BW12" si="7">BM12</f>
        <v>2290000</v>
      </c>
      <c r="BO12" s="753">
        <f t="shared" si="7"/>
        <v>2290000</v>
      </c>
      <c r="BP12" s="753">
        <f t="shared" si="7"/>
        <v>2290000</v>
      </c>
      <c r="BQ12" s="753">
        <f t="shared" si="7"/>
        <v>2290000</v>
      </c>
      <c r="BR12" s="753">
        <f t="shared" si="7"/>
        <v>2290000</v>
      </c>
      <c r="BS12" s="753">
        <f t="shared" si="7"/>
        <v>2290000</v>
      </c>
      <c r="BT12" s="753">
        <f t="shared" si="7"/>
        <v>2290000</v>
      </c>
      <c r="BU12" s="753">
        <f t="shared" si="7"/>
        <v>2290000</v>
      </c>
      <c r="BV12" s="753">
        <f t="shared" si="7"/>
        <v>2290000</v>
      </c>
      <c r="BW12" s="753">
        <f t="shared" si="7"/>
        <v>2290000</v>
      </c>
      <c r="BX12" s="753">
        <f t="shared" si="3"/>
        <v>2230000</v>
      </c>
      <c r="BY12" s="753">
        <f>BX12</f>
        <v>2230000</v>
      </c>
      <c r="BZ12" s="753">
        <f t="shared" ref="BZ12:CI12" si="8">BY12</f>
        <v>2230000</v>
      </c>
      <c r="CA12" s="753">
        <f t="shared" si="8"/>
        <v>2230000</v>
      </c>
      <c r="CB12" s="753">
        <f t="shared" si="8"/>
        <v>2230000</v>
      </c>
      <c r="CC12" s="753">
        <f t="shared" si="8"/>
        <v>2230000</v>
      </c>
      <c r="CD12" s="753">
        <f t="shared" si="8"/>
        <v>2230000</v>
      </c>
      <c r="CE12" s="753">
        <f t="shared" si="8"/>
        <v>2230000</v>
      </c>
      <c r="CF12" s="753">
        <f t="shared" si="8"/>
        <v>2230000</v>
      </c>
      <c r="CG12" s="753">
        <f t="shared" si="8"/>
        <v>2230000</v>
      </c>
      <c r="CH12" s="753">
        <f t="shared" si="8"/>
        <v>2230000</v>
      </c>
      <c r="CI12" s="753">
        <f t="shared" si="8"/>
        <v>2230000</v>
      </c>
      <c r="CJ12" s="753">
        <f t="shared" ref="CJ12" si="9">CI12</f>
        <v>2230000</v>
      </c>
    </row>
    <row r="13" spans="3:88" x14ac:dyDescent="0.2">
      <c r="C13" s="755" t="s">
        <v>742</v>
      </c>
      <c r="D13" s="759">
        <f>D12</f>
        <v>2370000</v>
      </c>
      <c r="E13" s="759"/>
      <c r="F13" s="759"/>
      <c r="G13" s="759"/>
      <c r="H13" s="759"/>
      <c r="I13" s="759"/>
      <c r="J13" s="759"/>
      <c r="K13" s="759"/>
      <c r="L13" s="759"/>
      <c r="M13" s="759"/>
      <c r="N13" s="759"/>
      <c r="O13" s="759"/>
      <c r="P13" s="759">
        <f>P12-D13</f>
        <v>20000</v>
      </c>
      <c r="Q13" s="759"/>
      <c r="R13" s="759"/>
      <c r="S13" s="759"/>
      <c r="T13" s="759"/>
      <c r="U13" s="759"/>
      <c r="V13" s="759"/>
      <c r="W13" s="759"/>
      <c r="X13" s="759"/>
      <c r="Y13" s="759"/>
      <c r="Z13" s="759"/>
      <c r="AA13" s="759"/>
      <c r="AB13" s="759">
        <f>AB12-P12</f>
        <v>0</v>
      </c>
      <c r="AC13" s="759"/>
      <c r="AD13" s="759"/>
      <c r="AE13" s="759"/>
      <c r="AF13" s="759"/>
      <c r="AG13" s="759"/>
      <c r="AH13" s="759"/>
      <c r="AI13" s="759"/>
      <c r="AJ13" s="759"/>
      <c r="AK13" s="759"/>
      <c r="AL13" s="759"/>
      <c r="AM13" s="759"/>
      <c r="AN13" s="759">
        <f>AN12-AB12</f>
        <v>-20000</v>
      </c>
      <c r="AO13" s="759"/>
      <c r="AP13" s="759"/>
      <c r="AQ13" s="759"/>
      <c r="AR13" s="759"/>
      <c r="AS13" s="759"/>
      <c r="AT13" s="759"/>
      <c r="AU13" s="759"/>
      <c r="AV13" s="759"/>
      <c r="AW13" s="759"/>
      <c r="AX13" s="759"/>
      <c r="AY13" s="759"/>
      <c r="AZ13" s="759">
        <f>AZ12-AN12</f>
        <v>-30000</v>
      </c>
      <c r="BA13" s="759"/>
      <c r="BB13" s="759"/>
      <c r="BC13" s="759"/>
      <c r="BD13" s="759"/>
      <c r="BE13" s="759"/>
      <c r="BF13" s="759"/>
      <c r="BG13" s="759"/>
      <c r="BH13" s="759"/>
      <c r="BI13" s="759"/>
      <c r="BJ13" s="759"/>
      <c r="BK13" s="759"/>
      <c r="BL13" s="759">
        <f>BL12-AZ12</f>
        <v>-50000</v>
      </c>
      <c r="BM13" s="759"/>
      <c r="BN13" s="759"/>
      <c r="BO13" s="759"/>
      <c r="BP13" s="759"/>
      <c r="BQ13" s="759"/>
      <c r="BR13" s="759"/>
      <c r="BS13" s="759"/>
      <c r="BT13" s="759"/>
      <c r="BU13" s="759"/>
      <c r="BV13" s="759"/>
      <c r="BW13" s="759"/>
      <c r="BX13" s="759">
        <f>BX12-BL12</f>
        <v>-60000</v>
      </c>
      <c r="BY13" s="753"/>
      <c r="BZ13" s="753"/>
      <c r="CA13" s="753"/>
      <c r="CB13" s="753"/>
      <c r="CC13" s="753"/>
      <c r="CD13" s="753"/>
      <c r="CE13" s="753"/>
      <c r="CF13" s="753"/>
      <c r="CG13" s="753"/>
      <c r="CH13" s="753"/>
      <c r="CI13" s="753"/>
      <c r="CJ13" s="753"/>
    </row>
    <row r="14" spans="3:88" x14ac:dyDescent="0.2">
      <c r="C14" s="755" t="s">
        <v>736</v>
      </c>
      <c r="D14" s="751">
        <v>0</v>
      </c>
      <c r="E14" s="751">
        <v>1</v>
      </c>
      <c r="F14" s="751">
        <f t="shared" ref="F14:CI14" si="10">E14+1</f>
        <v>2</v>
      </c>
      <c r="G14" s="751">
        <f t="shared" si="10"/>
        <v>3</v>
      </c>
      <c r="H14" s="751">
        <f t="shared" si="10"/>
        <v>4</v>
      </c>
      <c r="I14" s="751">
        <f t="shared" si="10"/>
        <v>5</v>
      </c>
      <c r="J14" s="751">
        <f t="shared" si="10"/>
        <v>6</v>
      </c>
      <c r="K14" s="751">
        <f t="shared" si="10"/>
        <v>7</v>
      </c>
      <c r="L14" s="751">
        <f t="shared" si="10"/>
        <v>8</v>
      </c>
      <c r="M14" s="751">
        <f t="shared" si="10"/>
        <v>9</v>
      </c>
      <c r="N14" s="751">
        <f t="shared" si="10"/>
        <v>10</v>
      </c>
      <c r="O14" s="751">
        <f t="shared" si="10"/>
        <v>11</v>
      </c>
      <c r="P14" s="751">
        <f t="shared" si="10"/>
        <v>12</v>
      </c>
      <c r="Q14" s="751">
        <f t="shared" si="10"/>
        <v>13</v>
      </c>
      <c r="R14" s="751">
        <f t="shared" si="10"/>
        <v>14</v>
      </c>
      <c r="S14" s="751">
        <f t="shared" si="10"/>
        <v>15</v>
      </c>
      <c r="T14" s="751">
        <f t="shared" si="10"/>
        <v>16</v>
      </c>
      <c r="U14" s="751">
        <f t="shared" si="10"/>
        <v>17</v>
      </c>
      <c r="V14" s="751">
        <f t="shared" si="10"/>
        <v>18</v>
      </c>
      <c r="W14" s="751">
        <f t="shared" si="10"/>
        <v>19</v>
      </c>
      <c r="X14" s="751">
        <f t="shared" si="10"/>
        <v>20</v>
      </c>
      <c r="Y14" s="751">
        <f t="shared" si="10"/>
        <v>21</v>
      </c>
      <c r="Z14" s="751">
        <f t="shared" si="10"/>
        <v>22</v>
      </c>
      <c r="AA14" s="751">
        <f t="shared" si="10"/>
        <v>23</v>
      </c>
      <c r="AB14" s="751">
        <f t="shared" si="10"/>
        <v>24</v>
      </c>
      <c r="AC14" s="751">
        <f t="shared" si="10"/>
        <v>25</v>
      </c>
      <c r="AD14" s="751">
        <f t="shared" si="10"/>
        <v>26</v>
      </c>
      <c r="AE14" s="751">
        <f t="shared" si="10"/>
        <v>27</v>
      </c>
      <c r="AF14" s="751">
        <f t="shared" si="10"/>
        <v>28</v>
      </c>
      <c r="AG14" s="751">
        <f t="shared" si="10"/>
        <v>29</v>
      </c>
      <c r="AH14" s="751">
        <f t="shared" si="10"/>
        <v>30</v>
      </c>
      <c r="AI14" s="751">
        <f t="shared" si="10"/>
        <v>31</v>
      </c>
      <c r="AJ14" s="751">
        <f t="shared" si="10"/>
        <v>32</v>
      </c>
      <c r="AK14" s="751">
        <f t="shared" si="10"/>
        <v>33</v>
      </c>
      <c r="AL14" s="751">
        <f t="shared" si="10"/>
        <v>34</v>
      </c>
      <c r="AM14" s="751">
        <f t="shared" si="10"/>
        <v>35</v>
      </c>
      <c r="AN14" s="751">
        <f t="shared" si="10"/>
        <v>36</v>
      </c>
      <c r="AO14" s="751">
        <f t="shared" si="10"/>
        <v>37</v>
      </c>
      <c r="AP14" s="751">
        <f t="shared" si="10"/>
        <v>38</v>
      </c>
      <c r="AQ14" s="751">
        <f t="shared" si="10"/>
        <v>39</v>
      </c>
      <c r="AR14" s="751">
        <f t="shared" si="10"/>
        <v>40</v>
      </c>
      <c r="AS14" s="751">
        <f t="shared" si="10"/>
        <v>41</v>
      </c>
      <c r="AT14" s="751">
        <f t="shared" si="10"/>
        <v>42</v>
      </c>
      <c r="AU14" s="751">
        <f t="shared" si="10"/>
        <v>43</v>
      </c>
      <c r="AV14" s="751">
        <f t="shared" si="10"/>
        <v>44</v>
      </c>
      <c r="AW14" s="751">
        <f t="shared" si="10"/>
        <v>45</v>
      </c>
      <c r="AX14" s="751">
        <f t="shared" si="10"/>
        <v>46</v>
      </c>
      <c r="AY14" s="751">
        <f t="shared" si="10"/>
        <v>47</v>
      </c>
      <c r="AZ14" s="751">
        <f t="shared" si="10"/>
        <v>48</v>
      </c>
      <c r="BA14" s="751">
        <f t="shared" si="10"/>
        <v>49</v>
      </c>
      <c r="BB14" s="751">
        <f t="shared" si="10"/>
        <v>50</v>
      </c>
      <c r="BC14" s="751">
        <f t="shared" si="10"/>
        <v>51</v>
      </c>
      <c r="BD14" s="751">
        <f t="shared" si="10"/>
        <v>52</v>
      </c>
      <c r="BE14" s="751">
        <f t="shared" si="10"/>
        <v>53</v>
      </c>
      <c r="BF14" s="751">
        <f t="shared" si="10"/>
        <v>54</v>
      </c>
      <c r="BG14" s="751">
        <f t="shared" si="10"/>
        <v>55</v>
      </c>
      <c r="BH14" s="751">
        <f t="shared" si="10"/>
        <v>56</v>
      </c>
      <c r="BI14" s="751">
        <f t="shared" si="10"/>
        <v>57</v>
      </c>
      <c r="BJ14" s="751">
        <f t="shared" si="10"/>
        <v>58</v>
      </c>
      <c r="BK14" s="751">
        <f t="shared" si="10"/>
        <v>59</v>
      </c>
      <c r="BL14" s="751">
        <f t="shared" si="10"/>
        <v>60</v>
      </c>
      <c r="BM14" s="751">
        <f t="shared" si="10"/>
        <v>61</v>
      </c>
      <c r="BN14" s="751">
        <f t="shared" si="10"/>
        <v>62</v>
      </c>
      <c r="BO14" s="751">
        <f t="shared" si="10"/>
        <v>63</v>
      </c>
      <c r="BP14" s="751">
        <f t="shared" si="10"/>
        <v>64</v>
      </c>
      <c r="BQ14" s="751">
        <f t="shared" si="10"/>
        <v>65</v>
      </c>
      <c r="BR14" s="751">
        <f t="shared" si="10"/>
        <v>66</v>
      </c>
      <c r="BS14" s="751">
        <f t="shared" si="10"/>
        <v>67</v>
      </c>
      <c r="BT14" s="751">
        <f t="shared" si="10"/>
        <v>68</v>
      </c>
      <c r="BU14" s="751">
        <f t="shared" si="10"/>
        <v>69</v>
      </c>
      <c r="BV14" s="751">
        <f t="shared" si="10"/>
        <v>70</v>
      </c>
      <c r="BW14" s="751">
        <f t="shared" si="10"/>
        <v>71</v>
      </c>
      <c r="BX14" s="751">
        <f t="shared" si="10"/>
        <v>72</v>
      </c>
      <c r="BY14" s="751">
        <f t="shared" si="10"/>
        <v>73</v>
      </c>
      <c r="BZ14" s="751">
        <f t="shared" si="10"/>
        <v>74</v>
      </c>
      <c r="CA14" s="751">
        <f t="shared" si="10"/>
        <v>75</v>
      </c>
      <c r="CB14" s="751">
        <f t="shared" si="10"/>
        <v>76</v>
      </c>
      <c r="CC14" s="751">
        <f t="shared" si="10"/>
        <v>77</v>
      </c>
      <c r="CD14" s="751">
        <f t="shared" si="10"/>
        <v>78</v>
      </c>
      <c r="CE14" s="751">
        <f t="shared" si="10"/>
        <v>79</v>
      </c>
      <c r="CF14" s="751">
        <f t="shared" si="10"/>
        <v>80</v>
      </c>
      <c r="CG14" s="751">
        <f t="shared" si="10"/>
        <v>81</v>
      </c>
      <c r="CH14" s="751">
        <f t="shared" si="10"/>
        <v>82</v>
      </c>
      <c r="CI14" s="751">
        <f t="shared" si="10"/>
        <v>83</v>
      </c>
      <c r="CJ14" s="751">
        <f t="shared" ref="CJ14" si="11">CI14+1</f>
        <v>84</v>
      </c>
    </row>
    <row r="15" spans="3:88" x14ac:dyDescent="0.2">
      <c r="C15" s="755" t="s">
        <v>732</v>
      </c>
      <c r="D15" s="757">
        <v>0</v>
      </c>
      <c r="E15" s="753">
        <f>-PPMT('Table 3.0'!$M$28/12,E14,'Table 3.0'!$P$28,E12)</f>
        <v>2359.3474461202309</v>
      </c>
      <c r="F15" s="753">
        <f>-PPMT('Table 3.0'!$M$28/12,F14,'Table 3.0'!$P$28,F12)</f>
        <v>2371.144183350832</v>
      </c>
      <c r="G15" s="753">
        <f>-PPMT('Table 3.0'!$M$28/12,G14,'Table 3.0'!$P$28,G12)</f>
        <v>2382.9999042675859</v>
      </c>
      <c r="H15" s="753">
        <f>-PPMT('Table 3.0'!$M$28/12,H14,'Table 3.0'!$P$28,H12)</f>
        <v>2394.9149037889242</v>
      </c>
      <c r="I15" s="753">
        <f>-PPMT('Table 3.0'!$M$28/12,I14,'Table 3.0'!$P$28,I12)</f>
        <v>2406.8894783078686</v>
      </c>
      <c r="J15" s="753">
        <f>-PPMT('Table 3.0'!$M$28/12,J14,'Table 3.0'!$P$28,J12)</f>
        <v>2418.9239256994078</v>
      </c>
      <c r="K15" s="753">
        <f>-PPMT('Table 3.0'!$M$28/12,K14,'Table 3.0'!$P$28,K12)</f>
        <v>2431.018545327905</v>
      </c>
      <c r="L15" s="753">
        <f>-PPMT('Table 3.0'!$M$28/12,L14,'Table 3.0'!$P$28,L12)</f>
        <v>2443.1736380545444</v>
      </c>
      <c r="M15" s="753">
        <f>-PPMT('Table 3.0'!$M$28/12,M14,'Table 3.0'!$P$28,M12)</f>
        <v>2455.3895062448173</v>
      </c>
      <c r="N15" s="753">
        <f>-PPMT('Table 3.0'!$M$28/12,N14,'Table 3.0'!$P$28,N12)</f>
        <v>2467.6664537760416</v>
      </c>
      <c r="O15" s="753">
        <f>-PPMT('Table 3.0'!$M$28/12,O14,'Table 3.0'!$P$28,O12)</f>
        <v>2480.0047860449217</v>
      </c>
      <c r="P15" s="753">
        <f>-PPMT('Table 3.0'!$M$28/12,P14,'Table 3.0'!$P$28,P12)</f>
        <v>2513.4377619580587</v>
      </c>
      <c r="Q15" s="753">
        <f>-PPMT('Table 3.0'!$M$28/12,Q14,'Table 3.0'!$P$28,Q12)</f>
        <v>2526.0049507678491</v>
      </c>
      <c r="R15" s="753">
        <f>-PPMT('Table 3.0'!$M$28/12,R14,'Table 3.0'!$P$28,R12)</f>
        <v>2538.6349755216879</v>
      </c>
      <c r="S15" s="753">
        <f>-PPMT('Table 3.0'!$M$28/12,S14,'Table 3.0'!$P$28,S12)</f>
        <v>2551.3281503992966</v>
      </c>
      <c r="T15" s="753">
        <f>-PPMT('Table 3.0'!$M$28/12,T14,'Table 3.0'!$P$28,T12)</f>
        <v>2564.0847911512928</v>
      </c>
      <c r="U15" s="753">
        <f>-PPMT('Table 3.0'!$M$28/12,U14,'Table 3.0'!$P$28,U12)</f>
        <v>2576.9052151070496</v>
      </c>
      <c r="V15" s="753">
        <f>-PPMT('Table 3.0'!$M$28/12,V14,'Table 3.0'!$P$28,V12)</f>
        <v>2589.7897411825847</v>
      </c>
      <c r="W15" s="753">
        <f>-PPMT('Table 3.0'!$M$28/12,W14,'Table 3.0'!$P$28,W12)</f>
        <v>2602.7386898884979</v>
      </c>
      <c r="X15" s="753">
        <f>-PPMT('Table 3.0'!$M$28/12,X14,'Table 3.0'!$P$28,X12)</f>
        <v>2615.7523833379405</v>
      </c>
      <c r="Y15" s="753">
        <f>-PPMT('Table 3.0'!$M$28/12,Y14,'Table 3.0'!$P$28,Y12)</f>
        <v>2628.8311452546304</v>
      </c>
      <c r="Z15" s="753">
        <f>-PPMT('Table 3.0'!$M$28/12,Z14,'Table 3.0'!$P$28,Z12)</f>
        <v>2641.9753009809028</v>
      </c>
      <c r="AA15" s="753">
        <f>-PPMT('Table 3.0'!$M$28/12,AA14,'Table 3.0'!$P$28,AA12)</f>
        <v>2655.1851774858078</v>
      </c>
      <c r="AB15" s="753">
        <f>-PPMT('Table 3.0'!$M$28/12,AB14,'Table 3.0'!$P$28,AB12)</f>
        <v>2668.4611033732367</v>
      </c>
      <c r="AC15" s="753">
        <f>-PPMT('Table 3.0'!$M$28/12,AC14,'Table 3.0'!$P$28,AC12)</f>
        <v>2681.8034088901031</v>
      </c>
      <c r="AD15" s="753">
        <f>-PPMT('Table 3.0'!$M$28/12,AD14,'Table 3.0'!$P$28,AD12)</f>
        <v>2695.2124259345537</v>
      </c>
      <c r="AE15" s="753">
        <f>-PPMT('Table 3.0'!$M$28/12,AE14,'Table 3.0'!$P$28,AE12)</f>
        <v>2708.688488064226</v>
      </c>
      <c r="AF15" s="753">
        <f>-PPMT('Table 3.0'!$M$28/12,AF14,'Table 3.0'!$P$28,AF12)</f>
        <v>2722.2319305045471</v>
      </c>
      <c r="AG15" s="753">
        <f>-PPMT('Table 3.0'!$M$28/12,AG14,'Table 3.0'!$P$28,AG12)</f>
        <v>2735.84309015707</v>
      </c>
      <c r="AH15" s="753">
        <f>-PPMT('Table 3.0'!$M$28/12,AH14,'Table 3.0'!$P$28,AH12)</f>
        <v>2749.5223056078557</v>
      </c>
      <c r="AI15" s="753">
        <f>-PPMT('Table 3.0'!$M$28/12,AI14,'Table 3.0'!$P$28,AI12)</f>
        <v>2763.2699171358945</v>
      </c>
      <c r="AJ15" s="753">
        <f>-PPMT('Table 3.0'!$M$28/12,AJ14,'Table 3.0'!$P$28,AJ12)</f>
        <v>2777.0862667215742</v>
      </c>
      <c r="AK15" s="753">
        <f>-PPMT('Table 3.0'!$M$28/12,AK14,'Table 3.0'!$P$28,AK12)</f>
        <v>2790.9716980551816</v>
      </c>
      <c r="AL15" s="753">
        <f>-PPMT('Table 3.0'!$M$28/12,AL14,'Table 3.0'!$P$28,AL12)</f>
        <v>2804.9265565454584</v>
      </c>
      <c r="AM15" s="753">
        <f>-PPMT('Table 3.0'!$M$28/12,AM14,'Table 3.0'!$P$28,AM12)</f>
        <v>2818.9511893281851</v>
      </c>
      <c r="AN15" s="753">
        <f>-PPMT('Table 3.0'!$M$28/12,AN14,'Table 3.0'!$P$28,AN12)</f>
        <v>2809.3384478248272</v>
      </c>
      <c r="AO15" s="753">
        <f>-PPMT('Table 3.0'!$M$28/12,AO14,'Table 3.0'!$P$28,AO12)</f>
        <v>2823.3851400639519</v>
      </c>
      <c r="AP15" s="753">
        <f>-PPMT('Table 3.0'!$M$28/12,AP14,'Table 3.0'!$P$28,AP12)</f>
        <v>2837.5020657642708</v>
      </c>
      <c r="AQ15" s="753">
        <f>-PPMT('Table 3.0'!$M$28/12,AQ14,'Table 3.0'!$P$28,AQ12)</f>
        <v>2851.6895760930929</v>
      </c>
      <c r="AR15" s="753">
        <f>-PPMT('Table 3.0'!$M$28/12,AR14,'Table 3.0'!$P$28,AR12)</f>
        <v>2865.9480239735581</v>
      </c>
      <c r="AS15" s="753">
        <f>-PPMT('Table 3.0'!$M$28/12,AS14,'Table 3.0'!$P$28,AS12)</f>
        <v>2880.277764093426</v>
      </c>
      <c r="AT15" s="753">
        <f>-PPMT('Table 3.0'!$M$28/12,AT14,'Table 3.0'!$P$28,AT12)</f>
        <v>2894.6791529138932</v>
      </c>
      <c r="AU15" s="753">
        <f>-PPMT('Table 3.0'!$M$28/12,AU14,'Table 3.0'!$P$28,AU12)</f>
        <v>2909.1525486784626</v>
      </c>
      <c r="AV15" s="753">
        <f>-PPMT('Table 3.0'!$M$28/12,AV14,'Table 3.0'!$P$28,AV12)</f>
        <v>2923.6983114218551</v>
      </c>
      <c r="AW15" s="753">
        <f>-PPMT('Table 3.0'!$M$28/12,AW14,'Table 3.0'!$P$28,AW12)</f>
        <v>2938.3168029789649</v>
      </c>
      <c r="AX15" s="753">
        <f>-PPMT('Table 3.0'!$M$28/12,AX14,'Table 3.0'!$P$28,AX12)</f>
        <v>2953.0083869938594</v>
      </c>
      <c r="AY15" s="753">
        <f>-PPMT('Table 3.0'!$M$28/12,AY14,'Table 3.0'!$P$28,AY12)</f>
        <v>2967.7734289288283</v>
      </c>
      <c r="AZ15" s="753">
        <f>-PPMT('Table 3.0'!$M$28/12,AZ14,'Table 3.0'!$P$28,AZ12)</f>
        <v>2944.8577100472262</v>
      </c>
      <c r="BA15" s="753">
        <f>-PPMT('Table 3.0'!$M$28/12,BA14,'Table 3.0'!$P$28,BA12)</f>
        <v>2959.5819985974622</v>
      </c>
      <c r="BB15" s="753">
        <f>-PPMT('Table 3.0'!$M$28/12,BB14,'Table 3.0'!$P$28,BB12)</f>
        <v>2974.3799085904498</v>
      </c>
      <c r="BC15" s="753">
        <f>-PPMT('Table 3.0'!$M$28/12,BC14,'Table 3.0'!$P$28,BC12)</f>
        <v>2989.2518081334015</v>
      </c>
      <c r="BD15" s="753">
        <f>-PPMT('Table 3.0'!$M$28/12,BD14,'Table 3.0'!$P$28,BD12)</f>
        <v>3004.1980671740689</v>
      </c>
      <c r="BE15" s="753">
        <f>-PPMT('Table 3.0'!$M$28/12,BE14,'Table 3.0'!$P$28,BE12)</f>
        <v>3019.2190575099389</v>
      </c>
      <c r="BF15" s="753">
        <f>-PPMT('Table 3.0'!$M$28/12,BF14,'Table 3.0'!$P$28,BF12)</f>
        <v>3034.3151527974896</v>
      </c>
      <c r="BG15" s="753">
        <f>-PPMT('Table 3.0'!$M$28/12,BG14,'Table 3.0'!$P$28,BG12)</f>
        <v>3049.4867285614764</v>
      </c>
      <c r="BH15" s="753">
        <f>-PPMT('Table 3.0'!$M$28/12,BH14,'Table 3.0'!$P$28,BH12)</f>
        <v>3064.7341622042836</v>
      </c>
      <c r="BI15" s="753">
        <f>-PPMT('Table 3.0'!$M$28/12,BI14,'Table 3.0'!$P$28,BI12)</f>
        <v>3080.0578330153048</v>
      </c>
      <c r="BJ15" s="753">
        <f>-PPMT('Table 3.0'!$M$28/12,BJ14,'Table 3.0'!$P$28,BJ12)</f>
        <v>3095.4581221803819</v>
      </c>
      <c r="BK15" s="753">
        <f>-PPMT('Table 3.0'!$M$28/12,BK14,'Table 3.0'!$P$28,BK12)</f>
        <v>3110.9354127912834</v>
      </c>
      <c r="BL15" s="753">
        <f>-PPMT('Table 3.0'!$M$28/12,BL14,'Table 3.0'!$P$28,BL12)</f>
        <v>3059.6847460549138</v>
      </c>
      <c r="BM15" s="753">
        <f>-PPMT('Table 3.0'!$M$28/12,BM14,'Table 3.0'!$P$28,BM12)</f>
        <v>3074.9831697851887</v>
      </c>
      <c r="BN15" s="753">
        <f>-PPMT('Table 3.0'!$M$28/12,BN14,'Table 3.0'!$P$28,BN12)</f>
        <v>3090.3580856341146</v>
      </c>
      <c r="BO15" s="753">
        <f>-PPMT('Table 3.0'!$M$28/12,BO14,'Table 3.0'!$P$28,BO12)</f>
        <v>3105.8098760622856</v>
      </c>
      <c r="BP15" s="753">
        <f>-PPMT('Table 3.0'!$M$28/12,BP14,'Table 3.0'!$P$28,BP12)</f>
        <v>3121.3389254425965</v>
      </c>
      <c r="BQ15" s="753">
        <f>-PPMT('Table 3.0'!$M$28/12,BQ14,'Table 3.0'!$P$28,BQ12)</f>
        <v>3136.94562006981</v>
      </c>
      <c r="BR15" s="753">
        <f>-PPMT('Table 3.0'!$M$28/12,BR14,'Table 3.0'!$P$28,BR12)</f>
        <v>3152.6303481701589</v>
      </c>
      <c r="BS15" s="753">
        <f>-PPMT('Table 3.0'!$M$28/12,BS14,'Table 3.0'!$P$28,BS12)</f>
        <v>3168.3934999110097</v>
      </c>
      <c r="BT15" s="753">
        <f>-PPMT('Table 3.0'!$M$28/12,BT14,'Table 3.0'!$P$28,BT12)</f>
        <v>3184.2354674105645</v>
      </c>
      <c r="BU15" s="753">
        <f>-PPMT('Table 3.0'!$M$28/12,BU14,'Table 3.0'!$P$28,BU12)</f>
        <v>3200.1566447476175</v>
      </c>
      <c r="BV15" s="753">
        <f>-PPMT('Table 3.0'!$M$28/12,BV14,'Table 3.0'!$P$28,BV12)</f>
        <v>3216.1574279713554</v>
      </c>
      <c r="BW15" s="753">
        <f>-PPMT('Table 3.0'!$M$28/12,BW14,'Table 3.0'!$P$28,BW12)</f>
        <v>3232.238215111212</v>
      </c>
      <c r="BX15" s="753">
        <f>-PPMT('Table 3.0'!$M$28/12,BX14,'Table 3.0'!$P$28,BX12)</f>
        <v>3163.288504714626</v>
      </c>
      <c r="BY15" s="753">
        <f>-PPMT('Table 3.0'!$M$28/12,BY14,'Table 3.0'!$P$28,BY12)</f>
        <v>3179.1049472381992</v>
      </c>
      <c r="BZ15" s="753">
        <f>-PPMT('Table 3.0'!$M$28/12,BZ14,'Table 3.0'!$P$28,BZ12)</f>
        <v>3195.0004719743902</v>
      </c>
      <c r="CA15" s="753">
        <f>-PPMT('Table 3.0'!$M$28/12,CA14,'Table 3.0'!$P$28,CA12)</f>
        <v>3210.9754743342614</v>
      </c>
      <c r="CB15" s="753">
        <f>-PPMT('Table 3.0'!$M$28/12,CB14,'Table 3.0'!$P$28,CB12)</f>
        <v>3227.0303517059338</v>
      </c>
      <c r="CC15" s="753">
        <f>-PPMT('Table 3.0'!$M$28/12,CC14,'Table 3.0'!$P$28,CC12)</f>
        <v>3243.1655034644627</v>
      </c>
      <c r="CD15" s="753">
        <f>-PPMT('Table 3.0'!$M$28/12,CD14,'Table 3.0'!$P$28,CD12)</f>
        <v>3259.3813309817856</v>
      </c>
      <c r="CE15" s="753">
        <f>-PPMT('Table 3.0'!$M$28/12,CE14,'Table 3.0'!$P$28,CE12)</f>
        <v>3275.6782376366941</v>
      </c>
      <c r="CF15" s="753">
        <f>-PPMT('Table 3.0'!$M$28/12,CF14,'Table 3.0'!$P$28,CF12)</f>
        <v>3292.0566288248783</v>
      </c>
      <c r="CG15" s="753">
        <f>-PPMT('Table 3.0'!$M$28/12,CG14,'Table 3.0'!$P$28,CG12)</f>
        <v>3308.5169119690022</v>
      </c>
      <c r="CH15" s="753">
        <f>-PPMT('Table 3.0'!$M$28/12,CH14,'Table 3.0'!$P$28,CH12)</f>
        <v>3325.0594965288465</v>
      </c>
      <c r="CI15" s="753">
        <f>-PPMT('Table 3.0'!$M$28/12,CI14,'Table 3.0'!$P$28,CI12)</f>
        <v>3341.6847940114917</v>
      </c>
      <c r="CJ15" s="753">
        <f>-PPMT('Table 3.0'!$M$28/12,CJ14,'Table 3.0'!$P$28,CJ12)</f>
        <v>3358.3932179815488</v>
      </c>
    </row>
  </sheetData>
  <mergeCells count="1">
    <mergeCell ref="D5:CJ5"/>
  </mergeCells>
  <pageMargins left="0.7" right="0.7" top="0.75" bottom="0.75" header="0.3" footer="0.3"/>
  <ignoredErrors>
    <ignoredError sqref="P12:BX12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C1:P42"/>
  <sheetViews>
    <sheetView topLeftCell="A8" workbookViewId="0">
      <selection activeCell="U23" sqref="U23"/>
    </sheetView>
  </sheetViews>
  <sheetFormatPr defaultColWidth="9.109375" defaultRowHeight="13.8" x14ac:dyDescent="0.3"/>
  <cols>
    <col min="1" max="2" width="1.77734375" style="323" customWidth="1"/>
    <col min="3" max="4" width="1.77734375" style="375" customWidth="1"/>
    <col min="5" max="5" width="2.77734375" style="375" customWidth="1"/>
    <col min="6" max="6" width="22.77734375" style="323" bestFit="1" customWidth="1"/>
    <col min="7" max="7" width="11.109375" style="323" bestFit="1" customWidth="1"/>
    <col min="8" max="8" width="12.44140625" style="323" bestFit="1" customWidth="1"/>
    <col min="9" max="9" width="12.77734375" style="323" bestFit="1" customWidth="1"/>
    <col min="10" max="10" width="1.77734375" style="323" customWidth="1"/>
    <col min="11" max="12" width="12.77734375" style="323" customWidth="1"/>
    <col min="13" max="13" width="1.77734375" style="323" customWidth="1"/>
    <col min="14" max="14" width="12" style="323" bestFit="1" customWidth="1"/>
    <col min="15" max="15" width="12.77734375" style="323" bestFit="1" customWidth="1"/>
    <col min="16" max="16" width="10.77734375" style="323" customWidth="1"/>
    <col min="17" max="17" width="1.77734375" style="323" customWidth="1"/>
    <col min="18" max="16384" width="9.109375" style="323"/>
  </cols>
  <sheetData>
    <row r="1" spans="3:16" ht="14.4" thickBot="1" x14ac:dyDescent="0.35"/>
    <row r="2" spans="3:16" ht="14.4" thickBot="1" x14ac:dyDescent="0.35">
      <c r="G2" s="1030" t="s">
        <v>376</v>
      </c>
      <c r="H2" s="1031"/>
      <c r="I2" s="1032"/>
      <c r="J2" s="345"/>
      <c r="K2" s="1009" t="s">
        <v>377</v>
      </c>
      <c r="L2" s="1011"/>
      <c r="N2" s="1009" t="s">
        <v>375</v>
      </c>
      <c r="O2" s="1010"/>
      <c r="P2" s="1011"/>
    </row>
    <row r="3" spans="3:16" ht="28.2" thickBot="1" x14ac:dyDescent="0.35">
      <c r="C3" s="373"/>
      <c r="D3" s="373"/>
      <c r="E3" s="373"/>
      <c r="F3" s="373"/>
      <c r="G3" s="1028" t="s">
        <v>252</v>
      </c>
      <c r="H3" s="1029"/>
      <c r="I3" s="390" t="s">
        <v>117</v>
      </c>
      <c r="J3" s="374"/>
      <c r="K3" s="393" t="s">
        <v>339</v>
      </c>
      <c r="L3" s="394" t="s">
        <v>341</v>
      </c>
      <c r="M3" s="388"/>
      <c r="N3" s="393" t="s">
        <v>369</v>
      </c>
      <c r="O3" s="373" t="s">
        <v>364</v>
      </c>
      <c r="P3" s="400" t="s">
        <v>368</v>
      </c>
    </row>
    <row r="4" spans="3:16" x14ac:dyDescent="0.3">
      <c r="C4" s="375" t="s">
        <v>336</v>
      </c>
      <c r="G4" s="531" t="s">
        <v>528</v>
      </c>
      <c r="H4" s="530"/>
      <c r="I4" s="380">
        <f>SUM(H5:H12)</f>
        <v>327416.21999999997</v>
      </c>
      <c r="J4" s="345"/>
      <c r="K4" s="502">
        <v>0.08</v>
      </c>
      <c r="L4" s="503">
        <v>0.1</v>
      </c>
      <c r="N4" s="391">
        <f>Balances!G85</f>
        <v>-281774.21999999997</v>
      </c>
      <c r="O4" s="528" t="e">
        <f>Balances!G84</f>
        <v>#NUM!</v>
      </c>
      <c r="P4" s="529">
        <f>Balances!G86</f>
        <v>0</v>
      </c>
    </row>
    <row r="5" spans="3:16" x14ac:dyDescent="0.3">
      <c r="D5" s="375" t="s">
        <v>337</v>
      </c>
      <c r="G5" s="391"/>
      <c r="H5" s="345"/>
      <c r="I5" s="380"/>
      <c r="J5" s="345"/>
      <c r="K5" s="395"/>
      <c r="L5" s="396"/>
      <c r="N5" s="329"/>
      <c r="P5" s="330"/>
    </row>
    <row r="6" spans="3:16" x14ac:dyDescent="0.3">
      <c r="E6" s="375" t="s">
        <v>499</v>
      </c>
      <c r="G6" s="391"/>
      <c r="H6" s="345">
        <f>SUM(G7:G8)</f>
        <v>327416.21999999997</v>
      </c>
      <c r="I6" s="380"/>
      <c r="J6" s="345"/>
      <c r="K6" s="395"/>
      <c r="L6" s="396"/>
      <c r="N6" s="329"/>
      <c r="P6" s="330"/>
    </row>
    <row r="7" spans="3:16" x14ac:dyDescent="0.3">
      <c r="F7" s="323" t="s">
        <v>342</v>
      </c>
      <c r="G7" s="501">
        <v>45642</v>
      </c>
      <c r="H7" s="345"/>
      <c r="I7" s="380"/>
      <c r="J7" s="345"/>
      <c r="K7" s="395"/>
      <c r="L7" s="396"/>
      <c r="N7" s="329"/>
      <c r="P7" s="330"/>
    </row>
    <row r="8" spans="3:16" x14ac:dyDescent="0.3">
      <c r="F8" s="323" t="s">
        <v>500</v>
      </c>
      <c r="G8" s="501">
        <v>281774.21999999997</v>
      </c>
      <c r="H8" s="345"/>
      <c r="I8" s="380"/>
      <c r="J8" s="345"/>
      <c r="K8" s="395"/>
      <c r="L8" s="396"/>
      <c r="N8" s="329"/>
      <c r="P8" s="330"/>
    </row>
    <row r="9" spans="3:16" x14ac:dyDescent="0.3">
      <c r="G9" s="391"/>
      <c r="H9" s="345"/>
      <c r="I9" s="380"/>
      <c r="J9" s="345"/>
      <c r="K9" s="395"/>
      <c r="L9" s="396"/>
      <c r="N9" s="329"/>
      <c r="P9" s="330"/>
    </row>
    <row r="10" spans="3:16" x14ac:dyDescent="0.3">
      <c r="E10" s="375" t="s">
        <v>499</v>
      </c>
      <c r="G10" s="391"/>
      <c r="H10" s="331">
        <f>SUM(G11:G12)</f>
        <v>0</v>
      </c>
      <c r="I10" s="380"/>
      <c r="J10" s="345"/>
      <c r="K10" s="395"/>
      <c r="L10" s="396"/>
      <c r="N10" s="329"/>
      <c r="P10" s="330"/>
    </row>
    <row r="11" spans="3:16" x14ac:dyDescent="0.3">
      <c r="F11" s="323" t="s">
        <v>342</v>
      </c>
      <c r="G11" s="499">
        <f>'Table 3.0'!G11</f>
        <v>0</v>
      </c>
      <c r="H11" s="345"/>
      <c r="I11" s="380"/>
      <c r="J11" s="345"/>
      <c r="K11" s="395"/>
      <c r="L11" s="396"/>
      <c r="N11" s="329"/>
      <c r="P11" s="330"/>
    </row>
    <row r="12" spans="3:16" x14ac:dyDescent="0.3">
      <c r="G12" s="501"/>
      <c r="H12" s="345"/>
      <c r="I12" s="380"/>
      <c r="J12" s="345"/>
      <c r="K12" s="395"/>
      <c r="L12" s="396"/>
      <c r="N12" s="329"/>
      <c r="P12" s="330"/>
    </row>
    <row r="13" spans="3:16" x14ac:dyDescent="0.3">
      <c r="G13" s="391"/>
      <c r="H13" s="345"/>
      <c r="I13" s="380"/>
      <c r="J13" s="345"/>
      <c r="K13" s="395"/>
      <c r="L13" s="396"/>
      <c r="N13" s="329"/>
      <c r="P13" s="330"/>
    </row>
    <row r="14" spans="3:16" x14ac:dyDescent="0.3">
      <c r="C14" s="375" t="s">
        <v>344</v>
      </c>
      <c r="G14" s="391"/>
      <c r="H14" s="345"/>
      <c r="I14" s="945">
        <f>H15+H19</f>
        <v>1127750.06</v>
      </c>
      <c r="J14" s="345"/>
      <c r="K14" s="502">
        <v>0.08</v>
      </c>
      <c r="L14" s="503">
        <v>0.65</v>
      </c>
      <c r="N14" s="391">
        <f>Balances!G107</f>
        <v>-1127750.06</v>
      </c>
      <c r="O14" s="528" t="e">
        <f>Balances!G106</f>
        <v>#NUM!</v>
      </c>
      <c r="P14" s="529">
        <f>Balances!G108</f>
        <v>0</v>
      </c>
    </row>
    <row r="15" spans="3:16" x14ac:dyDescent="0.3">
      <c r="E15" s="375" t="s">
        <v>914</v>
      </c>
      <c r="G15" s="391"/>
      <c r="H15" s="331">
        <f>SUM(G16:G18)</f>
        <v>1101000</v>
      </c>
      <c r="I15" s="380"/>
      <c r="J15" s="345"/>
      <c r="K15" s="502"/>
      <c r="L15" s="503"/>
      <c r="N15" s="391"/>
      <c r="O15" s="379"/>
      <c r="P15" s="397"/>
    </row>
    <row r="16" spans="3:16" x14ac:dyDescent="0.3">
      <c r="F16" s="323" t="s">
        <v>504</v>
      </c>
      <c r="G16" s="501">
        <v>25000</v>
      </c>
      <c r="H16" s="345"/>
      <c r="I16" s="380"/>
      <c r="J16" s="345"/>
      <c r="K16" s="502"/>
      <c r="L16" s="503"/>
      <c r="N16" s="391"/>
      <c r="O16" s="379"/>
      <c r="P16" s="397"/>
    </row>
    <row r="17" spans="3:16" x14ac:dyDescent="0.3">
      <c r="F17" s="323" t="s">
        <v>505</v>
      </c>
      <c r="G17" s="501">
        <v>1000000</v>
      </c>
      <c r="H17" s="345"/>
      <c r="I17" s="380"/>
      <c r="J17" s="345"/>
      <c r="K17" s="502"/>
      <c r="L17" s="503"/>
      <c r="N17" s="391"/>
      <c r="O17" s="379"/>
      <c r="P17" s="397"/>
    </row>
    <row r="18" spans="3:16" x14ac:dyDescent="0.3">
      <c r="F18" s="323" t="s">
        <v>506</v>
      </c>
      <c r="G18" s="927">
        <v>76000</v>
      </c>
      <c r="H18" s="345"/>
      <c r="I18" s="380"/>
      <c r="J18" s="345"/>
      <c r="K18" s="502"/>
      <c r="L18" s="503"/>
      <c r="N18" s="391"/>
      <c r="O18" s="379"/>
      <c r="P18" s="397"/>
    </row>
    <row r="19" spans="3:16" x14ac:dyDescent="0.3">
      <c r="G19" s="927"/>
      <c r="H19" s="345">
        <f>SUM(G20:G21)</f>
        <v>26750.060000000056</v>
      </c>
      <c r="I19" s="380"/>
      <c r="J19" s="345"/>
      <c r="K19" s="502"/>
      <c r="L19" s="503"/>
      <c r="N19" s="391"/>
      <c r="O19" s="379"/>
      <c r="P19" s="397"/>
    </row>
    <row r="20" spans="3:16" x14ac:dyDescent="0.3">
      <c r="F20" s="323" t="s">
        <v>903</v>
      </c>
      <c r="G20" s="391">
        <f>'Table 3.0'!G18</f>
        <v>26750.060000000056</v>
      </c>
      <c r="H20" s="345"/>
      <c r="I20" s="380"/>
      <c r="J20" s="345"/>
      <c r="K20" s="502"/>
      <c r="L20" s="503"/>
      <c r="N20" s="391"/>
      <c r="O20" s="379"/>
      <c r="P20" s="397"/>
    </row>
    <row r="21" spans="3:16" x14ac:dyDescent="0.3">
      <c r="G21" s="391"/>
      <c r="H21" s="345"/>
      <c r="I21" s="380"/>
      <c r="J21" s="345"/>
      <c r="K21" s="502"/>
      <c r="L21" s="503"/>
      <c r="N21" s="391"/>
      <c r="O21" s="379"/>
      <c r="P21" s="397"/>
    </row>
    <row r="22" spans="3:16" x14ac:dyDescent="0.3">
      <c r="C22" s="489" t="s">
        <v>502</v>
      </c>
      <c r="D22" s="489"/>
      <c r="E22" s="489"/>
      <c r="F22" s="483"/>
      <c r="G22" s="519"/>
      <c r="H22" s="520">
        <f>SUM(G23:G24)</f>
        <v>99625.77</v>
      </c>
      <c r="I22" s="521"/>
      <c r="J22" s="522"/>
      <c r="K22" s="523"/>
      <c r="L22" s="524">
        <v>0.1</v>
      </c>
      <c r="M22" s="483"/>
      <c r="N22" s="525">
        <f>Balances!G120</f>
        <v>20374.229999999996</v>
      </c>
      <c r="O22" s="526">
        <f>Balances!G119</f>
        <v>0.42220063686370846</v>
      </c>
      <c r="P22" s="527">
        <f>Balances!G121</f>
        <v>1.204507628899631</v>
      </c>
    </row>
    <row r="23" spans="3:16" x14ac:dyDescent="0.3">
      <c r="C23" s="489"/>
      <c r="D23" s="489"/>
      <c r="E23" s="489"/>
      <c r="F23" s="483" t="s">
        <v>494</v>
      </c>
      <c r="G23" s="924">
        <v>99625.77</v>
      </c>
      <c r="H23" s="522"/>
      <c r="I23" s="521"/>
      <c r="J23" s="522"/>
      <c r="K23" s="523"/>
      <c r="L23" s="524"/>
      <c r="M23" s="483"/>
      <c r="N23" s="525"/>
      <c r="O23" s="526"/>
      <c r="P23" s="527"/>
    </row>
    <row r="24" spans="3:16" x14ac:dyDescent="0.3">
      <c r="C24" s="489"/>
      <c r="D24" s="489"/>
      <c r="E24" s="489"/>
      <c r="F24" s="483"/>
      <c r="G24" s="525"/>
      <c r="H24" s="522"/>
      <c r="I24" s="521"/>
      <c r="J24" s="522"/>
      <c r="K24" s="523"/>
      <c r="L24" s="524"/>
      <c r="M24" s="483"/>
      <c r="N24" s="525"/>
      <c r="O24" s="526"/>
      <c r="P24" s="527"/>
    </row>
    <row r="25" spans="3:16" x14ac:dyDescent="0.3">
      <c r="G25" s="391"/>
      <c r="H25" s="331"/>
      <c r="I25" s="380"/>
      <c r="J25" s="345"/>
      <c r="K25" s="395"/>
      <c r="L25" s="503"/>
      <c r="N25" s="499"/>
      <c r="O25" s="528"/>
      <c r="P25" s="529"/>
    </row>
    <row r="26" spans="3:16" x14ac:dyDescent="0.3">
      <c r="C26" s="375" t="s">
        <v>340</v>
      </c>
      <c r="G26" s="391"/>
      <c r="H26" s="345"/>
      <c r="I26" s="380"/>
      <c r="J26" s="345"/>
      <c r="K26" s="395"/>
      <c r="L26" s="397">
        <f>1-SUM(L4:L22)</f>
        <v>0.15000000000000002</v>
      </c>
      <c r="N26" s="499">
        <f>Balances!G133-Balances!H131</f>
        <v>0</v>
      </c>
      <c r="O26" s="528" t="e">
        <f>Balances!G132</f>
        <v>#NUM!</v>
      </c>
      <c r="P26" s="529">
        <f>Balances!G134</f>
        <v>0</v>
      </c>
    </row>
    <row r="27" spans="3:16" ht="14.4" thickBot="1" x14ac:dyDescent="0.35">
      <c r="C27" s="325"/>
      <c r="D27" s="325"/>
      <c r="E27" s="325"/>
      <c r="F27" s="327"/>
      <c r="G27" s="392"/>
      <c r="H27" s="349"/>
      <c r="I27" s="386"/>
      <c r="J27" s="349"/>
      <c r="K27" s="398"/>
      <c r="L27" s="333"/>
      <c r="M27" s="327"/>
      <c r="N27" s="332"/>
      <c r="O27" s="327"/>
      <c r="P27" s="333"/>
    </row>
    <row r="28" spans="3:16" x14ac:dyDescent="0.3">
      <c r="C28" s="375" t="s">
        <v>62</v>
      </c>
      <c r="G28" s="391"/>
      <c r="H28" s="345"/>
      <c r="I28" s="380">
        <f>SUM(I4:I27)</f>
        <v>1455166.28</v>
      </c>
      <c r="J28" s="345"/>
      <c r="K28" s="395"/>
      <c r="L28" s="399">
        <f>SUM(L4:L27)</f>
        <v>1</v>
      </c>
      <c r="N28" s="391">
        <f>SUM(N4:N27)</f>
        <v>-1389150.05</v>
      </c>
      <c r="P28" s="330"/>
    </row>
    <row r="29" spans="3:16" ht="14.4" thickBot="1" x14ac:dyDescent="0.35">
      <c r="G29" s="392"/>
      <c r="H29" s="349"/>
      <c r="I29" s="386"/>
      <c r="J29" s="345"/>
      <c r="K29" s="398"/>
      <c r="L29" s="333"/>
      <c r="N29" s="332"/>
      <c r="O29" s="327"/>
      <c r="P29" s="333"/>
    </row>
    <row r="30" spans="3:16" x14ac:dyDescent="0.3">
      <c r="G30" s="345"/>
      <c r="H30" s="345"/>
      <c r="I30" s="345"/>
      <c r="J30" s="345"/>
      <c r="K30" s="372"/>
    </row>
    <row r="31" spans="3:16" x14ac:dyDescent="0.3">
      <c r="G31" s="345"/>
      <c r="H31" s="345"/>
      <c r="I31" s="345"/>
      <c r="J31" s="345"/>
      <c r="K31" s="372"/>
    </row>
    <row r="32" spans="3:16" x14ac:dyDescent="0.3">
      <c r="G32" s="345"/>
      <c r="H32" s="345"/>
      <c r="I32" s="345"/>
      <c r="J32" s="345"/>
    </row>
    <row r="33" spans="3:10" x14ac:dyDescent="0.3">
      <c r="C33" s="389" t="s">
        <v>378</v>
      </c>
      <c r="G33" s="345"/>
      <c r="H33" s="345"/>
      <c r="I33" s="345"/>
      <c r="J33" s="345"/>
    </row>
    <row r="34" spans="3:10" x14ac:dyDescent="0.3">
      <c r="D34" s="375" t="s">
        <v>338</v>
      </c>
      <c r="F34" s="323" t="s">
        <v>343</v>
      </c>
      <c r="G34" s="345"/>
      <c r="H34" s="345"/>
      <c r="I34" s="345"/>
      <c r="J34" s="345"/>
    </row>
    <row r="35" spans="3:10" x14ac:dyDescent="0.3">
      <c r="D35" s="375" t="s">
        <v>345</v>
      </c>
      <c r="F35" s="323" t="s">
        <v>346</v>
      </c>
      <c r="G35" s="345"/>
      <c r="H35" s="345"/>
      <c r="I35" s="345"/>
      <c r="J35" s="345"/>
    </row>
    <row r="36" spans="3:10" x14ac:dyDescent="0.3">
      <c r="D36" s="375" t="s">
        <v>347</v>
      </c>
      <c r="F36" s="323" t="s">
        <v>348</v>
      </c>
      <c r="G36" s="345"/>
      <c r="H36" s="345"/>
      <c r="I36" s="345"/>
      <c r="J36" s="345"/>
    </row>
    <row r="37" spans="3:10" x14ac:dyDescent="0.3">
      <c r="D37" s="375" t="s">
        <v>349</v>
      </c>
      <c r="F37" s="323" t="s">
        <v>350</v>
      </c>
      <c r="G37" s="345"/>
      <c r="H37" s="345"/>
      <c r="I37" s="345"/>
      <c r="J37" s="345"/>
    </row>
    <row r="38" spans="3:10" x14ac:dyDescent="0.3">
      <c r="D38" s="375" t="s">
        <v>351</v>
      </c>
      <c r="F38" s="323" t="s">
        <v>352</v>
      </c>
      <c r="G38" s="345"/>
      <c r="H38" s="345"/>
      <c r="I38" s="345"/>
      <c r="J38" s="345"/>
    </row>
    <row r="39" spans="3:10" x14ac:dyDescent="0.3">
      <c r="G39" s="345"/>
      <c r="H39" s="345"/>
      <c r="I39" s="345"/>
      <c r="J39" s="345"/>
    </row>
    <row r="40" spans="3:10" x14ac:dyDescent="0.3">
      <c r="G40" s="345"/>
      <c r="H40" s="345"/>
      <c r="I40" s="345"/>
      <c r="J40" s="345"/>
    </row>
    <row r="41" spans="3:10" x14ac:dyDescent="0.3">
      <c r="D41" s="532" t="s">
        <v>462</v>
      </c>
      <c r="G41" s="345"/>
      <c r="H41" s="345"/>
      <c r="I41" s="345"/>
      <c r="J41" s="345"/>
    </row>
    <row r="42" spans="3:10" x14ac:dyDescent="0.3">
      <c r="E42" s="389" t="s">
        <v>528</v>
      </c>
      <c r="F42" s="323" t="s">
        <v>529</v>
      </c>
    </row>
  </sheetData>
  <mergeCells count="4">
    <mergeCell ref="G3:H3"/>
    <mergeCell ref="N2:P2"/>
    <mergeCell ref="K2:L2"/>
    <mergeCell ref="G2:I2"/>
  </mergeCells>
  <pageMargins left="0.45" right="0.45" top="0.75" bottom="0.75" header="0.3" footer="0.3"/>
  <pageSetup scale="87" orientation="landscape" r:id="rId1"/>
  <headerFooter>
    <oddHeader>&amp;C&amp;"Arial,Bold"&amp;12 2400 Enfield
Member Capital Accounts</oddHeader>
  </headerFooter>
  <ignoredErrors>
    <ignoredError sqref="H15" formulaRange="1"/>
  </ignoredError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E8F5E-1EC4-48DA-8B85-8650FBA07E3A}">
  <dimension ref="B2:O5"/>
  <sheetViews>
    <sheetView workbookViewId="0"/>
  </sheetViews>
  <sheetFormatPr defaultColWidth="9.109375" defaultRowHeight="13.8" x14ac:dyDescent="0.3"/>
  <cols>
    <col min="1" max="1" width="1.77734375" style="543" customWidth="1"/>
    <col min="2" max="2" width="11" style="543" bestFit="1" customWidth="1"/>
    <col min="3" max="3" width="17.44140625" style="543" bestFit="1" customWidth="1"/>
    <col min="4" max="4" width="12" style="543" bestFit="1" customWidth="1"/>
    <col min="5" max="5" width="7.5546875" style="543" bestFit="1" customWidth="1"/>
    <col min="6" max="6" width="14" style="543" bestFit="1" customWidth="1"/>
    <col min="7" max="7" width="15.5546875" style="543" bestFit="1" customWidth="1"/>
    <col min="8" max="8" width="13.109375" style="543" bestFit="1" customWidth="1"/>
    <col min="9" max="9" width="12.21875" style="543" bestFit="1" customWidth="1"/>
    <col min="10" max="10" width="1.77734375" style="543" customWidth="1"/>
    <col min="11" max="11" width="18.109375" style="543" customWidth="1"/>
    <col min="12" max="12" width="13" style="543" customWidth="1"/>
    <col min="13" max="13" width="18.5546875" style="543" customWidth="1"/>
    <col min="14" max="14" width="1.77734375" style="543" customWidth="1"/>
    <col min="15" max="15" width="18" style="543" customWidth="1"/>
    <col min="16" max="16384" width="9.109375" style="543"/>
  </cols>
  <sheetData>
    <row r="2" spans="2:15" ht="14.4" thickBot="1" x14ac:dyDescent="0.35">
      <c r="B2" s="884" t="s">
        <v>490</v>
      </c>
      <c r="C2" s="885">
        <v>45315</v>
      </c>
      <c r="D2" s="878"/>
    </row>
    <row r="3" spans="2:15" ht="14.4" thickBot="1" x14ac:dyDescent="0.35">
      <c r="D3" s="1012" t="s">
        <v>492</v>
      </c>
      <c r="E3" s="1013"/>
      <c r="F3" s="1013"/>
      <c r="G3" s="1013"/>
      <c r="H3" s="1013"/>
      <c r="I3" s="1015"/>
      <c r="K3" s="1012" t="s">
        <v>880</v>
      </c>
      <c r="L3" s="1013"/>
      <c r="M3" s="1015"/>
      <c r="O3" s="888" t="s">
        <v>539</v>
      </c>
    </row>
    <row r="4" spans="2:15" ht="42" thickBot="1" x14ac:dyDescent="0.35">
      <c r="B4" s="883" t="s">
        <v>484</v>
      </c>
      <c r="C4" s="883" t="s">
        <v>877</v>
      </c>
      <c r="D4" s="883" t="s">
        <v>486</v>
      </c>
      <c r="E4" s="883" t="s">
        <v>274</v>
      </c>
      <c r="F4" s="883" t="s">
        <v>485</v>
      </c>
      <c r="G4" s="883" t="s">
        <v>487</v>
      </c>
      <c r="H4" s="883" t="s">
        <v>488</v>
      </c>
      <c r="I4" s="883" t="s">
        <v>489</v>
      </c>
      <c r="J4" s="879"/>
      <c r="K4" s="887" t="s">
        <v>495</v>
      </c>
      <c r="L4" s="887" t="s">
        <v>491</v>
      </c>
      <c r="M4" s="887" t="s">
        <v>881</v>
      </c>
      <c r="O4" s="887" t="s">
        <v>496</v>
      </c>
    </row>
    <row r="5" spans="2:15" x14ac:dyDescent="0.3">
      <c r="B5" s="880" t="s">
        <v>878</v>
      </c>
      <c r="C5" s="543" t="s">
        <v>879</v>
      </c>
      <c r="D5" s="881">
        <v>46054</v>
      </c>
      <c r="E5" s="734">
        <v>9.5000000000000001E-2</v>
      </c>
      <c r="F5" s="674">
        <v>1333752.28</v>
      </c>
      <c r="G5" s="674">
        <v>0</v>
      </c>
      <c r="H5" s="674">
        <v>535</v>
      </c>
      <c r="I5" s="546">
        <f>SUM(F5:H5)</f>
        <v>1334287.28</v>
      </c>
      <c r="K5" s="546">
        <f>I5</f>
        <v>1334287.28</v>
      </c>
      <c r="L5" s="886">
        <f>'Table 3.0'!Q7+'Table 3.0'!Q8+'Table 3.0'!Q9+'Table 3.0'!Q10+'Table 3.0'!Q11+'Table 3.0'!Q14</f>
        <v>3043706</v>
      </c>
      <c r="M5" s="886">
        <f>L5+K5</f>
        <v>4377993.28</v>
      </c>
      <c r="O5" s="546">
        <f>K5</f>
        <v>1334287.28</v>
      </c>
    </row>
  </sheetData>
  <mergeCells count="2">
    <mergeCell ref="D3:I3"/>
    <mergeCell ref="K3:M3"/>
  </mergeCells>
  <pageMargins left="0.7" right="0.7" top="0.75" bottom="0.75" header="0.3" footer="0.3"/>
  <ignoredErrors>
    <ignoredError sqref="I5" formulaRange="1"/>
    <ignoredError sqref="B5" numberStoredAsText="1"/>
  </ignoredError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9E618-3ACA-49B0-B4FC-4D4B05459125}">
  <dimension ref="B1:DJ44"/>
  <sheetViews>
    <sheetView workbookViewId="0"/>
  </sheetViews>
  <sheetFormatPr defaultColWidth="9.109375" defaultRowHeight="13.8" x14ac:dyDescent="0.3"/>
  <cols>
    <col min="1" max="1" width="1.77734375" style="323" customWidth="1"/>
    <col min="2" max="2" width="1.77734375" style="375" customWidth="1"/>
    <col min="3" max="3" width="42.44140625" style="375" customWidth="1"/>
    <col min="4" max="4" width="12.77734375" style="323" bestFit="1" customWidth="1"/>
    <col min="5" max="99" width="12.77734375" style="323" customWidth="1"/>
    <col min="100" max="100" width="13.5546875" style="323" bestFit="1" customWidth="1"/>
    <col min="101" max="112" width="13.5546875" style="323" customWidth="1"/>
    <col min="113" max="113" width="1.77734375" style="323" customWidth="1"/>
    <col min="114" max="114" width="13.77734375" style="323" bestFit="1" customWidth="1"/>
    <col min="115" max="16384" width="9.109375" style="323"/>
  </cols>
  <sheetData>
    <row r="1" spans="2:114" ht="14.4" thickBot="1" x14ac:dyDescent="0.35"/>
    <row r="2" spans="2:114" ht="14.4" thickBot="1" x14ac:dyDescent="0.35">
      <c r="E2" s="1009" t="str">
        <f>Monthly!K3</f>
        <v>Year 1</v>
      </c>
      <c r="F2" s="1010"/>
      <c r="G2" s="1010"/>
      <c r="H2" s="1010"/>
      <c r="I2" s="1010"/>
      <c r="J2" s="1010"/>
      <c r="K2" s="1010"/>
      <c r="L2" s="1010"/>
      <c r="M2" s="1010"/>
      <c r="N2" s="1010"/>
      <c r="O2" s="1010"/>
      <c r="P2" s="1011"/>
      <c r="Q2" s="1009" t="str">
        <f>Monthly!W3</f>
        <v>Year 2</v>
      </c>
      <c r="R2" s="1010"/>
      <c r="S2" s="1010"/>
      <c r="T2" s="1010"/>
      <c r="U2" s="1010"/>
      <c r="V2" s="1010"/>
      <c r="W2" s="1010"/>
      <c r="X2" s="1010"/>
      <c r="Y2" s="1010"/>
      <c r="Z2" s="1010"/>
      <c r="AA2" s="1010"/>
      <c r="AB2" s="1011"/>
      <c r="AC2" s="1009" t="str">
        <f>Monthly!AI3</f>
        <v>Year 3</v>
      </c>
      <c r="AD2" s="1010"/>
      <c r="AE2" s="1010"/>
      <c r="AF2" s="1010"/>
      <c r="AG2" s="1010"/>
      <c r="AH2" s="1010"/>
      <c r="AI2" s="1010"/>
      <c r="AJ2" s="1010"/>
      <c r="AK2" s="1010"/>
      <c r="AL2" s="1010"/>
      <c r="AM2" s="1010"/>
      <c r="AN2" s="1011"/>
      <c r="AO2" s="1009" t="str">
        <f>Monthly!AU3</f>
        <v>Year 4</v>
      </c>
      <c r="AP2" s="1010"/>
      <c r="AQ2" s="1010"/>
      <c r="AR2" s="1010"/>
      <c r="AS2" s="1010"/>
      <c r="AT2" s="1010"/>
      <c r="AU2" s="1010"/>
      <c r="AV2" s="1010"/>
      <c r="AW2" s="1010"/>
      <c r="AX2" s="1010"/>
      <c r="AY2" s="1010"/>
      <c r="AZ2" s="1011"/>
      <c r="BA2" s="1009" t="str">
        <f>Monthly!BG3</f>
        <v>Year 5</v>
      </c>
      <c r="BB2" s="1010"/>
      <c r="BC2" s="1010"/>
      <c r="BD2" s="1010"/>
      <c r="BE2" s="1010"/>
      <c r="BF2" s="1010"/>
      <c r="BG2" s="1010"/>
      <c r="BH2" s="1010"/>
      <c r="BI2" s="1010"/>
      <c r="BJ2" s="1010"/>
      <c r="BK2" s="1010"/>
      <c r="BL2" s="1011"/>
      <c r="BM2" s="1009" t="str">
        <f>Monthly!BS3</f>
        <v>Year 6</v>
      </c>
      <c r="BN2" s="1010"/>
      <c r="BO2" s="1010"/>
      <c r="BP2" s="1010"/>
      <c r="BQ2" s="1010"/>
      <c r="BR2" s="1010"/>
      <c r="BS2" s="1010"/>
      <c r="BT2" s="1010"/>
      <c r="BU2" s="1010"/>
      <c r="BV2" s="1010"/>
      <c r="BW2" s="1010"/>
      <c r="BX2" s="1011"/>
      <c r="BY2" s="1009" t="str">
        <f>Monthly!CE3</f>
        <v>Year 7</v>
      </c>
      <c r="BZ2" s="1010"/>
      <c r="CA2" s="1010"/>
      <c r="CB2" s="1010"/>
      <c r="CC2" s="1010"/>
      <c r="CD2" s="1010"/>
      <c r="CE2" s="1010"/>
      <c r="CF2" s="1010"/>
      <c r="CG2" s="1010"/>
      <c r="CH2" s="1010"/>
      <c r="CI2" s="1010"/>
      <c r="CJ2" s="1011"/>
      <c r="CK2" s="1009" t="str">
        <f>Monthly!CQ3</f>
        <v>Year 8</v>
      </c>
      <c r="CL2" s="1010"/>
      <c r="CM2" s="1010"/>
      <c r="CN2" s="1010"/>
      <c r="CO2" s="1010"/>
      <c r="CP2" s="1010"/>
      <c r="CQ2" s="1010"/>
      <c r="CR2" s="1010"/>
      <c r="CS2" s="1010"/>
      <c r="CT2" s="1010"/>
      <c r="CU2" s="1010"/>
      <c r="CV2" s="1011"/>
      <c r="CW2" s="1009" t="str">
        <f>Monthly!DC3</f>
        <v>Year 9</v>
      </c>
      <c r="CX2" s="1010"/>
      <c r="CY2" s="1010"/>
      <c r="CZ2" s="1010"/>
      <c r="DA2" s="1010"/>
      <c r="DB2" s="1010"/>
      <c r="DC2" s="1010"/>
      <c r="DD2" s="1010"/>
      <c r="DE2" s="1010"/>
      <c r="DF2" s="1010"/>
      <c r="DG2" s="1010"/>
      <c r="DH2" s="1011"/>
    </row>
    <row r="3" spans="2:114" ht="14.4" thickBot="1" x14ac:dyDescent="0.35">
      <c r="B3" s="325"/>
      <c r="C3" s="325"/>
      <c r="D3" s="327"/>
      <c r="E3" s="890">
        <f>Monthly!K4</f>
        <v>45413</v>
      </c>
      <c r="F3" s="890">
        <f>Monthly!L4</f>
        <v>45444</v>
      </c>
      <c r="G3" s="890">
        <f>Monthly!M4</f>
        <v>45474</v>
      </c>
      <c r="H3" s="890">
        <f>Monthly!N4</f>
        <v>45505</v>
      </c>
      <c r="I3" s="890">
        <f>Monthly!O4</f>
        <v>45536</v>
      </c>
      <c r="J3" s="890">
        <f>Monthly!P4</f>
        <v>45566</v>
      </c>
      <c r="K3" s="890">
        <f>Monthly!Q4</f>
        <v>45597</v>
      </c>
      <c r="L3" s="890">
        <f>Monthly!R4</f>
        <v>45627</v>
      </c>
      <c r="M3" s="890">
        <f>Monthly!S4</f>
        <v>45658</v>
      </c>
      <c r="N3" s="890">
        <f>Monthly!T4</f>
        <v>45689</v>
      </c>
      <c r="O3" s="890">
        <f>Monthly!U4</f>
        <v>45717</v>
      </c>
      <c r="P3" s="890">
        <f>Monthly!V4</f>
        <v>45748</v>
      </c>
      <c r="Q3" s="890">
        <f>Monthly!W4</f>
        <v>45778</v>
      </c>
      <c r="R3" s="890">
        <f>Monthly!X4</f>
        <v>45809</v>
      </c>
      <c r="S3" s="890">
        <f>Monthly!Y4</f>
        <v>45839</v>
      </c>
      <c r="T3" s="890">
        <f>Monthly!Z4</f>
        <v>45870</v>
      </c>
      <c r="U3" s="890">
        <f>Monthly!AA4</f>
        <v>45901</v>
      </c>
      <c r="V3" s="890">
        <f>Monthly!AB4</f>
        <v>45931</v>
      </c>
      <c r="W3" s="890">
        <f>Monthly!AC4</f>
        <v>45962</v>
      </c>
      <c r="X3" s="890">
        <f>Monthly!AD4</f>
        <v>45992</v>
      </c>
      <c r="Y3" s="890">
        <f>Monthly!AE4</f>
        <v>46023</v>
      </c>
      <c r="Z3" s="890">
        <f>Monthly!AF4</f>
        <v>46054</v>
      </c>
      <c r="AA3" s="890">
        <f>Monthly!AG4</f>
        <v>46082</v>
      </c>
      <c r="AB3" s="890">
        <f>Monthly!AH4</f>
        <v>46113</v>
      </c>
      <c r="AC3" s="890">
        <f>Monthly!AI4</f>
        <v>46143</v>
      </c>
      <c r="AD3" s="890">
        <f>Monthly!AJ4</f>
        <v>46174</v>
      </c>
      <c r="AE3" s="890">
        <f>Monthly!AK4</f>
        <v>46204</v>
      </c>
      <c r="AF3" s="890">
        <f>Monthly!AL4</f>
        <v>46235</v>
      </c>
      <c r="AG3" s="890">
        <f>Monthly!AM4</f>
        <v>46266</v>
      </c>
      <c r="AH3" s="890">
        <f>Monthly!AN4</f>
        <v>46296</v>
      </c>
      <c r="AI3" s="890">
        <f>Monthly!AO4</f>
        <v>46327</v>
      </c>
      <c r="AJ3" s="890">
        <f>Monthly!AP4</f>
        <v>46357</v>
      </c>
      <c r="AK3" s="890">
        <f>Monthly!AQ4</f>
        <v>46388</v>
      </c>
      <c r="AL3" s="890">
        <f>Monthly!AR4</f>
        <v>46419</v>
      </c>
      <c r="AM3" s="890">
        <f>Monthly!AS4</f>
        <v>46447</v>
      </c>
      <c r="AN3" s="890">
        <f>Monthly!AT4</f>
        <v>46478</v>
      </c>
      <c r="AO3" s="890">
        <f>Monthly!AU4</f>
        <v>46508</v>
      </c>
      <c r="AP3" s="890">
        <f>Monthly!AV4</f>
        <v>46539</v>
      </c>
      <c r="AQ3" s="890">
        <f>Monthly!AW4</f>
        <v>46569</v>
      </c>
      <c r="AR3" s="890">
        <f>Monthly!AX4</f>
        <v>46600</v>
      </c>
      <c r="AS3" s="890">
        <f>Monthly!AY4</f>
        <v>46631</v>
      </c>
      <c r="AT3" s="890">
        <f>Monthly!AZ4</f>
        <v>46661</v>
      </c>
      <c r="AU3" s="890">
        <f>Monthly!BA4</f>
        <v>46692</v>
      </c>
      <c r="AV3" s="890">
        <f>Monthly!BB4</f>
        <v>46722</v>
      </c>
      <c r="AW3" s="890">
        <f>Monthly!BC4</f>
        <v>46753</v>
      </c>
      <c r="AX3" s="890">
        <f>Monthly!BD4</f>
        <v>46784</v>
      </c>
      <c r="AY3" s="890">
        <f>Monthly!BE4</f>
        <v>46813</v>
      </c>
      <c r="AZ3" s="890">
        <f>Monthly!BF4</f>
        <v>46844</v>
      </c>
      <c r="BA3" s="890">
        <f>Monthly!BG4</f>
        <v>46874</v>
      </c>
      <c r="BB3" s="890">
        <f>Monthly!BH4</f>
        <v>46905</v>
      </c>
      <c r="BC3" s="890">
        <f>Monthly!BI4</f>
        <v>46935</v>
      </c>
      <c r="BD3" s="890">
        <f>Monthly!BJ4</f>
        <v>46966</v>
      </c>
      <c r="BE3" s="890">
        <f>Monthly!BK4</f>
        <v>46997</v>
      </c>
      <c r="BF3" s="890">
        <f>Monthly!BL4</f>
        <v>47027</v>
      </c>
      <c r="BG3" s="890">
        <f>Monthly!BM4</f>
        <v>47058</v>
      </c>
      <c r="BH3" s="890">
        <f>Monthly!BN4</f>
        <v>47088</v>
      </c>
      <c r="BI3" s="890">
        <f>Monthly!BO4</f>
        <v>47119</v>
      </c>
      <c r="BJ3" s="890">
        <f>Monthly!BP4</f>
        <v>47150</v>
      </c>
      <c r="BK3" s="890">
        <f>Monthly!BQ4</f>
        <v>47178</v>
      </c>
      <c r="BL3" s="890">
        <f>Monthly!BR4</f>
        <v>47209</v>
      </c>
      <c r="BM3" s="890">
        <f>Monthly!BS4</f>
        <v>47239</v>
      </c>
      <c r="BN3" s="890">
        <f>Monthly!BT4</f>
        <v>47270</v>
      </c>
      <c r="BO3" s="890">
        <f>Monthly!BU4</f>
        <v>47300</v>
      </c>
      <c r="BP3" s="890">
        <f>Monthly!BV4</f>
        <v>47331</v>
      </c>
      <c r="BQ3" s="890">
        <f>Monthly!BW4</f>
        <v>47362</v>
      </c>
      <c r="BR3" s="890">
        <f>Monthly!BX4</f>
        <v>47392</v>
      </c>
      <c r="BS3" s="890">
        <f>Monthly!BY4</f>
        <v>47423</v>
      </c>
      <c r="BT3" s="890">
        <f>Monthly!BZ4</f>
        <v>47453</v>
      </c>
      <c r="BU3" s="890">
        <f>Monthly!CA4</f>
        <v>47484</v>
      </c>
      <c r="BV3" s="890">
        <f>Monthly!CB4</f>
        <v>47515</v>
      </c>
      <c r="BW3" s="890">
        <f>Monthly!CC4</f>
        <v>47543</v>
      </c>
      <c r="BX3" s="890">
        <f>Monthly!CD4</f>
        <v>47574</v>
      </c>
      <c r="BY3" s="890">
        <f>Monthly!CE4</f>
        <v>47604</v>
      </c>
      <c r="BZ3" s="890">
        <f>Monthly!CF4</f>
        <v>47635</v>
      </c>
      <c r="CA3" s="890">
        <f>Monthly!CG4</f>
        <v>47665</v>
      </c>
      <c r="CB3" s="890">
        <f>Monthly!CH4</f>
        <v>47696</v>
      </c>
      <c r="CC3" s="890">
        <f>Monthly!CI4</f>
        <v>47727</v>
      </c>
      <c r="CD3" s="890">
        <f>Monthly!CJ4</f>
        <v>47757</v>
      </c>
      <c r="CE3" s="890">
        <f>Monthly!CK4</f>
        <v>47788</v>
      </c>
      <c r="CF3" s="890">
        <f>Monthly!CL4</f>
        <v>47818</v>
      </c>
      <c r="CG3" s="890">
        <f>Monthly!CM4</f>
        <v>47849</v>
      </c>
      <c r="CH3" s="890">
        <f>Monthly!CN4</f>
        <v>47880</v>
      </c>
      <c r="CI3" s="890">
        <f>Monthly!CO4</f>
        <v>47908</v>
      </c>
      <c r="CJ3" s="890">
        <f>Monthly!CP4</f>
        <v>47939</v>
      </c>
      <c r="CK3" s="890">
        <f>Monthly!CQ4</f>
        <v>47969</v>
      </c>
      <c r="CL3" s="890">
        <f>Monthly!CR4</f>
        <v>48000</v>
      </c>
      <c r="CM3" s="890">
        <f>Monthly!CS4</f>
        <v>48030</v>
      </c>
      <c r="CN3" s="890">
        <f>Monthly!CT4</f>
        <v>48061</v>
      </c>
      <c r="CO3" s="890">
        <f>Monthly!CU4</f>
        <v>48092</v>
      </c>
      <c r="CP3" s="890">
        <f>Monthly!CV4</f>
        <v>48122</v>
      </c>
      <c r="CQ3" s="890">
        <f>Monthly!CW4</f>
        <v>48153</v>
      </c>
      <c r="CR3" s="890">
        <f>Monthly!CX4</f>
        <v>48183</v>
      </c>
      <c r="CS3" s="890">
        <f>Monthly!CY4</f>
        <v>48214</v>
      </c>
      <c r="CT3" s="890">
        <f>Monthly!CZ4</f>
        <v>48245</v>
      </c>
      <c r="CU3" s="890">
        <f>Monthly!DA4</f>
        <v>48274</v>
      </c>
      <c r="CV3" s="890">
        <f>Monthly!DB4</f>
        <v>48305</v>
      </c>
      <c r="CW3" s="890">
        <f>Monthly!DC4</f>
        <v>48335</v>
      </c>
      <c r="CX3" s="890">
        <f>Monthly!DD4</f>
        <v>48366</v>
      </c>
      <c r="CY3" s="890">
        <f>Monthly!DE4</f>
        <v>48396</v>
      </c>
      <c r="CZ3" s="890">
        <f>Monthly!DF4</f>
        <v>48427</v>
      </c>
      <c r="DA3" s="890">
        <f>Monthly!DG4</f>
        <v>48458</v>
      </c>
      <c r="DB3" s="890">
        <f>Monthly!DH4</f>
        <v>48488</v>
      </c>
      <c r="DC3" s="890">
        <f>Monthly!DI4</f>
        <v>48519</v>
      </c>
      <c r="DD3" s="890">
        <f>Monthly!DJ4</f>
        <v>48549</v>
      </c>
      <c r="DE3" s="890">
        <f>Monthly!DK4</f>
        <v>48580</v>
      </c>
      <c r="DF3" s="890">
        <f>Monthly!DL4</f>
        <v>48611</v>
      </c>
      <c r="DG3" s="890">
        <f>Monthly!DM4</f>
        <v>48639</v>
      </c>
      <c r="DH3" s="890">
        <f>Monthly!DN4</f>
        <v>48670</v>
      </c>
      <c r="DI3" s="327"/>
      <c r="DJ3" s="326" t="s">
        <v>117</v>
      </c>
    </row>
    <row r="5" spans="2:114" x14ac:dyDescent="0.3">
      <c r="B5" s="375" t="s">
        <v>391</v>
      </c>
      <c r="E5" s="340">
        <f>Monthly!K122</f>
        <v>0</v>
      </c>
      <c r="F5" s="340">
        <f>Monthly!L122</f>
        <v>0</v>
      </c>
      <c r="G5" s="340">
        <f>Monthly!M122</f>
        <v>0</v>
      </c>
      <c r="H5" s="340">
        <f>Monthly!N122</f>
        <v>0</v>
      </c>
      <c r="I5" s="340">
        <f>Monthly!O122</f>
        <v>0</v>
      </c>
      <c r="J5" s="340">
        <f>Monthly!P122</f>
        <v>0</v>
      </c>
      <c r="K5" s="340">
        <f>Monthly!Q122</f>
        <v>0</v>
      </c>
      <c r="L5" s="340">
        <f>Monthly!R122</f>
        <v>0</v>
      </c>
      <c r="M5" s="340">
        <f>Monthly!S122</f>
        <v>0</v>
      </c>
      <c r="N5" s="340">
        <f>Monthly!T122</f>
        <v>0</v>
      </c>
      <c r="O5" s="340">
        <f>Monthly!U122</f>
        <v>0</v>
      </c>
      <c r="P5" s="340">
        <f>Monthly!V122</f>
        <v>0</v>
      </c>
      <c r="Q5" s="340">
        <f>Monthly!W122</f>
        <v>0</v>
      </c>
      <c r="R5" s="340">
        <f>Monthly!X122</f>
        <v>0</v>
      </c>
      <c r="S5" s="340">
        <f>Monthly!Y122</f>
        <v>2364.1738528049827</v>
      </c>
      <c r="T5" s="340">
        <f>Monthly!Z122</f>
        <v>2382.890229139688</v>
      </c>
      <c r="U5" s="340">
        <f>Monthly!AA122</f>
        <v>423.92477678705109</v>
      </c>
      <c r="V5" s="340">
        <f>Monthly!AB122</f>
        <v>0</v>
      </c>
      <c r="W5" s="340">
        <f>Monthly!AC122</f>
        <v>0</v>
      </c>
      <c r="X5" s="340">
        <f>Monthly!AD122</f>
        <v>0</v>
      </c>
      <c r="Y5" s="340">
        <f>Monthly!AE122</f>
        <v>0</v>
      </c>
      <c r="Z5" s="340">
        <f>Monthly!AF122</f>
        <v>0</v>
      </c>
      <c r="AA5" s="340">
        <f>Monthly!AG122</f>
        <v>0</v>
      </c>
      <c r="AB5" s="340">
        <f>Monthly!AH122</f>
        <v>2370000</v>
      </c>
      <c r="AC5" s="340">
        <f>Monthly!AI122</f>
        <v>902.56575361384284</v>
      </c>
      <c r="AD5" s="340">
        <f>Monthly!AJ122</f>
        <v>3320.1610658299473</v>
      </c>
      <c r="AE5" s="340">
        <f>Monthly!AK122</f>
        <v>6843.2956742677652</v>
      </c>
      <c r="AF5" s="340">
        <f>Monthly!AL122</f>
        <v>6897.4717650223847</v>
      </c>
      <c r="AG5" s="340">
        <f>Monthly!AM122</f>
        <v>4932.0517498288136</v>
      </c>
      <c r="AH5" s="340">
        <f>Monthly!AN122</f>
        <v>4037.4721595149567</v>
      </c>
      <c r="AI5" s="340">
        <f>Monthly!AO122</f>
        <v>572.58548077778278</v>
      </c>
      <c r="AJ5" s="340">
        <f>Monthly!AP122</f>
        <v>0</v>
      </c>
      <c r="AK5" s="340">
        <f>Monthly!AQ122</f>
        <v>0</v>
      </c>
      <c r="AL5" s="340">
        <f>Monthly!AR122</f>
        <v>0</v>
      </c>
      <c r="AM5" s="340">
        <f>Monthly!AS122</f>
        <v>0</v>
      </c>
      <c r="AN5" s="340">
        <f>Monthly!AT122</f>
        <v>20000</v>
      </c>
      <c r="AO5" s="340">
        <f>Monthly!AU122</f>
        <v>1174.0407277629852</v>
      </c>
      <c r="AP5" s="340">
        <f>Monthly!AV122</f>
        <v>3678.1752168577796</v>
      </c>
      <c r="AQ5" s="340">
        <f>Monthly!AW122</f>
        <v>7288.5341039912364</v>
      </c>
      <c r="AR5" s="340">
        <f>Monthly!AX122</f>
        <v>7346.2349989811673</v>
      </c>
      <c r="AS5" s="340">
        <f>Monthly!AY122</f>
        <v>5342.1726927230993</v>
      </c>
      <c r="AT5" s="340">
        <f>Monthly!AZ122</f>
        <v>4408.6448932071562</v>
      </c>
      <c r="AU5" s="340">
        <f>Monthly!BA122</f>
        <v>862.30666527838184</v>
      </c>
      <c r="AV5" s="340">
        <f>Monthly!BB122</f>
        <v>0</v>
      </c>
      <c r="AW5" s="340">
        <f>Monthly!BC122</f>
        <v>0</v>
      </c>
      <c r="AX5" s="340">
        <f>Monthly!BD122</f>
        <v>0</v>
      </c>
      <c r="AY5" s="340">
        <f>Monthly!BE122</f>
        <v>0</v>
      </c>
      <c r="AZ5" s="340">
        <f>Monthly!BF122</f>
        <v>0</v>
      </c>
      <c r="BA5" s="340">
        <f>Monthly!BG122</f>
        <v>1393.9024021255909</v>
      </c>
      <c r="BB5" s="340">
        <f>Monthly!BH122</f>
        <v>3984.1674628090886</v>
      </c>
      <c r="BC5" s="340">
        <f>Monthly!BI122</f>
        <v>7681.3387885563261</v>
      </c>
      <c r="BD5" s="340">
        <f>Monthly!BJ122</f>
        <v>7742.1493872990595</v>
      </c>
      <c r="BE5" s="340">
        <f>Monthly!BK122</f>
        <v>5699.0264032818432</v>
      </c>
      <c r="BF5" s="340">
        <f>Monthly!BL122</f>
        <v>4726.1286956411623</v>
      </c>
      <c r="BG5" s="340">
        <f>Monthly!BM122</f>
        <v>1097.9138811483208</v>
      </c>
      <c r="BH5" s="340">
        <f>Monthly!BN122</f>
        <v>0</v>
      </c>
      <c r="BI5" s="340">
        <f>Monthly!BO122</f>
        <v>0</v>
      </c>
      <c r="BJ5" s="340">
        <f>Monthly!BP122</f>
        <v>0</v>
      </c>
      <c r="BK5" s="340">
        <f>Monthly!BQ122</f>
        <v>0</v>
      </c>
      <c r="BL5" s="340">
        <f>Monthly!BR122</f>
        <v>-20000</v>
      </c>
      <c r="BM5" s="340">
        <f>Monthly!BS122</f>
        <v>1660.5972951850767</v>
      </c>
      <c r="BN5" s="340">
        <f>Monthly!BT122</f>
        <v>4337.3636904386221</v>
      </c>
      <c r="BO5" s="340">
        <f>Monthly!BU122</f>
        <v>8121.7211529879351</v>
      </c>
      <c r="BP5" s="340">
        <f>Monthly!BV122</f>
        <v>8186.018112115753</v>
      </c>
      <c r="BQ5" s="340">
        <f>Monthly!BW122</f>
        <v>6104.2140888366703</v>
      </c>
      <c r="BR5" s="340">
        <f>Monthly!BX122</f>
        <v>5092.3291170399534</v>
      </c>
      <c r="BS5" s="340">
        <f>Monthly!BY122</f>
        <v>1382.6233892165224</v>
      </c>
      <c r="BT5" s="340">
        <f>Monthly!BZ122</f>
        <v>0</v>
      </c>
      <c r="BU5" s="340">
        <f>Monthly!CA122</f>
        <v>0</v>
      </c>
      <c r="BV5" s="340">
        <f>Monthly!CB122</f>
        <v>0</v>
      </c>
      <c r="BW5" s="340">
        <f>Monthly!CC122</f>
        <v>0</v>
      </c>
      <c r="BX5" s="340">
        <f>Monthly!CD122</f>
        <v>-30000</v>
      </c>
      <c r="BY5" s="340">
        <f>Monthly!CE122</f>
        <v>1751.8151139560223</v>
      </c>
      <c r="BZ5" s="340">
        <f>Monthly!CF122</f>
        <v>4513.6936502748322</v>
      </c>
      <c r="CA5" s="340">
        <f>Monthly!CG122</f>
        <v>8383.8370583395154</v>
      </c>
      <c r="CB5" s="340">
        <f>Monthly!CH122</f>
        <v>8450.2091017180337</v>
      </c>
      <c r="CC5" s="340">
        <f>Monthly!CI122</f>
        <v>6328.3015904399708</v>
      </c>
      <c r="CD5" s="340">
        <f>Monthly!CJ122</f>
        <v>5275.995644697623</v>
      </c>
      <c r="CE5" s="340">
        <f>Monthly!CK122</f>
        <v>1483.353943551474</v>
      </c>
      <c r="CF5" s="340">
        <f>Monthly!CL122</f>
        <v>0</v>
      </c>
      <c r="CG5" s="340">
        <f>Monthly!CM122</f>
        <v>0</v>
      </c>
      <c r="CH5" s="340">
        <f>Monthly!CN122</f>
        <v>0</v>
      </c>
      <c r="CI5" s="340">
        <f>Monthly!CO122</f>
        <v>0</v>
      </c>
      <c r="CJ5" s="340">
        <f>Monthly!CP122</f>
        <v>-50000</v>
      </c>
      <c r="CK5" s="340">
        <f>Monthly!CQ122</f>
        <v>1787.9071588706674</v>
      </c>
      <c r="CL5" s="340">
        <f>Monthly!CR122</f>
        <v>4634.4614238783906</v>
      </c>
      <c r="CM5" s="340">
        <f>Monthly!CS122</f>
        <v>8589.950910150761</v>
      </c>
      <c r="CN5" s="340">
        <f>Monthly!CT122</f>
        <v>8657.954688189453</v>
      </c>
      <c r="CO5" s="340">
        <f>Monthly!CU122</f>
        <v>6495.4968294709561</v>
      </c>
      <c r="CP5" s="340">
        <f>Monthly!CV122</f>
        <v>5402.3195127042591</v>
      </c>
      <c r="CQ5" s="340">
        <f>Monthly!CW122</f>
        <v>1526.2878755131751</v>
      </c>
      <c r="CR5" s="340">
        <f>Monthly!CX122</f>
        <v>0</v>
      </c>
      <c r="CS5" s="340">
        <f>Monthly!CY122</f>
        <v>0</v>
      </c>
      <c r="CT5" s="340">
        <f>Monthly!CZ122</f>
        <v>0</v>
      </c>
      <c r="CU5" s="340">
        <f>Monthly!DA122</f>
        <v>0</v>
      </c>
      <c r="CV5" s="340">
        <f>Monthly!DB122</f>
        <v>-60000</v>
      </c>
      <c r="CW5" s="340">
        <f>Monthly!DC122</f>
        <v>1610.8324819075069</v>
      </c>
      <c r="CX5" s="340">
        <f>Monthly!DD122</f>
        <v>4540.3749057226069</v>
      </c>
      <c r="CY5" s="340">
        <f>Monthly!DE122</f>
        <v>8579.5095403929099</v>
      </c>
      <c r="CZ5" s="340">
        <f>Monthly!DF122</f>
        <v>8647.4306575876872</v>
      </c>
      <c r="DA5" s="340">
        <f>Monthly!DG122</f>
        <v>6442.6944836269304</v>
      </c>
      <c r="DB5" s="340">
        <f>Monthly!DH122</f>
        <v>5306.9041482889734</v>
      </c>
      <c r="DC5" s="340">
        <f>Monthly!DI122</f>
        <v>1345.7271394629311</v>
      </c>
      <c r="DD5" s="340">
        <f>Monthly!DJ122</f>
        <v>0</v>
      </c>
      <c r="DE5" s="340">
        <f>Monthly!DK122</f>
        <v>0</v>
      </c>
      <c r="DF5" s="340">
        <f>Monthly!DL122</f>
        <v>14214.195483275587</v>
      </c>
      <c r="DG5" s="340">
        <f>Monthly!DM122</f>
        <v>19287.160185792938</v>
      </c>
      <c r="DH5" s="340">
        <f>Monthly!DN122</f>
        <v>20457.246761822887</v>
      </c>
    </row>
    <row r="6" spans="2:114" x14ac:dyDescent="0.3">
      <c r="B6" s="384"/>
      <c r="C6" s="384" t="s">
        <v>392</v>
      </c>
      <c r="D6" s="342"/>
      <c r="E6" s="344">
        <f>Monthly!K125</f>
        <v>0</v>
      </c>
      <c r="F6" s="344">
        <f>Monthly!L125</f>
        <v>0</v>
      </c>
      <c r="G6" s="344">
        <f>Monthly!M125</f>
        <v>0</v>
      </c>
      <c r="H6" s="344">
        <f>Monthly!N125</f>
        <v>0</v>
      </c>
      <c r="I6" s="344">
        <f>Monthly!O125</f>
        <v>0</v>
      </c>
      <c r="J6" s="344">
        <f>Monthly!P125</f>
        <v>0</v>
      </c>
      <c r="K6" s="344">
        <f>Monthly!Q125</f>
        <v>0</v>
      </c>
      <c r="L6" s="344">
        <f>Monthly!R125</f>
        <v>0</v>
      </c>
      <c r="M6" s="344">
        <f>Monthly!S125</f>
        <v>0</v>
      </c>
      <c r="N6" s="344">
        <f>Monthly!T125</f>
        <v>0</v>
      </c>
      <c r="O6" s="344">
        <f>Monthly!U125</f>
        <v>0</v>
      </c>
      <c r="P6" s="344">
        <f>Monthly!V125</f>
        <v>0</v>
      </c>
      <c r="Q6" s="344">
        <f>Monthly!W125</f>
        <v>0</v>
      </c>
      <c r="R6" s="344">
        <f>Monthly!X125</f>
        <v>0</v>
      </c>
      <c r="S6" s="344">
        <f>Monthly!Y125</f>
        <v>2364.1738528049827</v>
      </c>
      <c r="T6" s="344">
        <f>Monthly!Z125</f>
        <v>2382.890229139688</v>
      </c>
      <c r="U6" s="344">
        <f>Monthly!AA125</f>
        <v>423.92477678705109</v>
      </c>
      <c r="V6" s="344">
        <f>Monthly!AB125</f>
        <v>0</v>
      </c>
      <c r="W6" s="344">
        <f>Monthly!AC125</f>
        <v>0</v>
      </c>
      <c r="X6" s="344">
        <f>Monthly!AD125</f>
        <v>0</v>
      </c>
      <c r="Y6" s="344">
        <f>Monthly!AE125</f>
        <v>0</v>
      </c>
      <c r="Z6" s="344">
        <f>Monthly!AF125</f>
        <v>0</v>
      </c>
      <c r="AA6" s="344">
        <f>Monthly!AG125</f>
        <v>0</v>
      </c>
      <c r="AB6" s="344">
        <f>Monthly!AH125</f>
        <v>2160755.5958230644</v>
      </c>
      <c r="AC6" s="344">
        <f>Monthly!AI125</f>
        <v>0</v>
      </c>
      <c r="AD6" s="344">
        <f>Monthly!AJ125</f>
        <v>0</v>
      </c>
      <c r="AE6" s="344">
        <f>Monthly!AK125</f>
        <v>0</v>
      </c>
      <c r="AF6" s="344">
        <f>Monthly!AL125</f>
        <v>0</v>
      </c>
      <c r="AG6" s="344">
        <f>Monthly!AM125</f>
        <v>0</v>
      </c>
      <c r="AH6" s="344">
        <f>Monthly!AN125</f>
        <v>0</v>
      </c>
      <c r="AI6" s="344">
        <f>Monthly!AO125</f>
        <v>0</v>
      </c>
      <c r="AJ6" s="344">
        <f>Monthly!AP125</f>
        <v>0</v>
      </c>
      <c r="AK6" s="344">
        <f>Monthly!AQ125</f>
        <v>0</v>
      </c>
      <c r="AL6" s="344">
        <f>Monthly!AR125</f>
        <v>0</v>
      </c>
      <c r="AM6" s="344">
        <f>Monthly!AS125</f>
        <v>0</v>
      </c>
      <c r="AN6" s="344">
        <f>Monthly!AT125</f>
        <v>20000</v>
      </c>
      <c r="AO6" s="344">
        <f>Monthly!AU125</f>
        <v>1174.0407277629852</v>
      </c>
      <c r="AP6" s="344">
        <f>Monthly!AV125</f>
        <v>3678.1752168577796</v>
      </c>
      <c r="AQ6" s="344">
        <f>Monthly!AW125</f>
        <v>7288.5341039912364</v>
      </c>
      <c r="AR6" s="344">
        <f>Monthly!AX125</f>
        <v>7346.2349989811673</v>
      </c>
      <c r="AS6" s="344">
        <f>Monthly!AY125</f>
        <v>5342.1726927230993</v>
      </c>
      <c r="AT6" s="344">
        <f>Monthly!AZ125</f>
        <v>4408.6448932071562</v>
      </c>
      <c r="AU6" s="344">
        <f>Monthly!BA125</f>
        <v>862.30666527838184</v>
      </c>
      <c r="AV6" s="344">
        <f>Monthly!BB125</f>
        <v>0</v>
      </c>
      <c r="AW6" s="344">
        <f>Monthly!BC125</f>
        <v>0</v>
      </c>
      <c r="AX6" s="344">
        <f>Monthly!BD125</f>
        <v>0</v>
      </c>
      <c r="AY6" s="344">
        <f>Monthly!BE125</f>
        <v>0</v>
      </c>
      <c r="AZ6" s="344">
        <f>Monthly!BF125</f>
        <v>0</v>
      </c>
      <c r="BA6" s="344">
        <f>Monthly!BG125</f>
        <v>1393.9024021255909</v>
      </c>
      <c r="BB6" s="344">
        <f>Monthly!BH125</f>
        <v>3984.1674628090886</v>
      </c>
      <c r="BC6" s="344">
        <f>Monthly!BI125</f>
        <v>7681.3387885563261</v>
      </c>
      <c r="BD6" s="344">
        <f>Monthly!BJ125</f>
        <v>7742.1493872990595</v>
      </c>
      <c r="BE6" s="344">
        <f>Monthly!BK125</f>
        <v>5699.0264032818432</v>
      </c>
      <c r="BF6" s="344">
        <f>Monthly!BL125</f>
        <v>4726.1286956411623</v>
      </c>
      <c r="BG6" s="344">
        <f>Monthly!BM125</f>
        <v>1097.9138811483208</v>
      </c>
      <c r="BH6" s="344">
        <f>Monthly!BN125</f>
        <v>0</v>
      </c>
      <c r="BI6" s="344">
        <f>Monthly!BO125</f>
        <v>0</v>
      </c>
      <c r="BJ6" s="344">
        <f>Monthly!BP125</f>
        <v>0</v>
      </c>
      <c r="BK6" s="344">
        <f>Monthly!BQ125</f>
        <v>0</v>
      </c>
      <c r="BL6" s="344">
        <f>Monthly!BR125</f>
        <v>0</v>
      </c>
      <c r="BM6" s="344">
        <f>Monthly!BS125</f>
        <v>1660.5972951850767</v>
      </c>
      <c r="BN6" s="344">
        <f>Monthly!BT125</f>
        <v>4337.3636904386221</v>
      </c>
      <c r="BO6" s="344">
        <f>Monthly!BU125</f>
        <v>8121.7211529879351</v>
      </c>
      <c r="BP6" s="344">
        <f>Monthly!BV125</f>
        <v>8186.018112115753</v>
      </c>
      <c r="BQ6" s="344">
        <f>Monthly!BW125</f>
        <v>6104.2140888366703</v>
      </c>
      <c r="BR6" s="344">
        <f>Monthly!BX125</f>
        <v>5092.3291170399534</v>
      </c>
      <c r="BS6" s="344">
        <f>Monthly!BY125</f>
        <v>1382.6233892165224</v>
      </c>
      <c r="BT6" s="344">
        <f>Monthly!BZ125</f>
        <v>0</v>
      </c>
      <c r="BU6" s="344">
        <f>Monthly!CA125</f>
        <v>0</v>
      </c>
      <c r="BV6" s="344">
        <f>Monthly!CB125</f>
        <v>0</v>
      </c>
      <c r="BW6" s="344">
        <f>Monthly!CC125</f>
        <v>0</v>
      </c>
      <c r="BX6" s="344">
        <f>Monthly!CD125</f>
        <v>0</v>
      </c>
      <c r="BY6" s="344">
        <f>Monthly!CE125</f>
        <v>1751.8151139560223</v>
      </c>
      <c r="BZ6" s="344">
        <f>Monthly!CF125</f>
        <v>4513.6936502748322</v>
      </c>
      <c r="CA6" s="344">
        <f>Monthly!CG125</f>
        <v>8383.8370583395154</v>
      </c>
      <c r="CB6" s="344">
        <f>Monthly!CH125</f>
        <v>8450.2091017180337</v>
      </c>
      <c r="CC6" s="344">
        <f>Monthly!CI125</f>
        <v>6328.3015904399708</v>
      </c>
      <c r="CD6" s="344">
        <f>Monthly!CJ125</f>
        <v>5275.995644697623</v>
      </c>
      <c r="CE6" s="344">
        <f>Monthly!CK125</f>
        <v>1483.353943551474</v>
      </c>
      <c r="CF6" s="344">
        <f>Monthly!CL125</f>
        <v>0</v>
      </c>
      <c r="CG6" s="344">
        <f>Monthly!CM125</f>
        <v>0</v>
      </c>
      <c r="CH6" s="344">
        <f>Monthly!CN125</f>
        <v>0</v>
      </c>
      <c r="CI6" s="344">
        <f>Monthly!CO125</f>
        <v>0</v>
      </c>
      <c r="CJ6" s="344">
        <f>Monthly!CP125</f>
        <v>0</v>
      </c>
      <c r="CK6" s="344">
        <f>Monthly!CQ125</f>
        <v>1787.9071588706674</v>
      </c>
      <c r="CL6" s="344">
        <f>Monthly!CR125</f>
        <v>4634.4614238783906</v>
      </c>
      <c r="CM6" s="344">
        <f>Monthly!CS125</f>
        <v>8589.950910150761</v>
      </c>
      <c r="CN6" s="344">
        <f>Monthly!CT125</f>
        <v>8657.954688189453</v>
      </c>
      <c r="CO6" s="344">
        <f>Monthly!CU125</f>
        <v>6495.4968294709561</v>
      </c>
      <c r="CP6" s="344">
        <f>Monthly!CV125</f>
        <v>5402.3195127042591</v>
      </c>
      <c r="CQ6" s="344">
        <f>Monthly!CW125</f>
        <v>1526.2878755131751</v>
      </c>
      <c r="CR6" s="344">
        <f>Monthly!CX125</f>
        <v>0</v>
      </c>
      <c r="CS6" s="344">
        <f>Monthly!CY125</f>
        <v>0</v>
      </c>
      <c r="CT6" s="344">
        <f>Monthly!CZ125</f>
        <v>0</v>
      </c>
      <c r="CU6" s="344">
        <f>Monthly!DA125</f>
        <v>0</v>
      </c>
      <c r="CV6" s="344">
        <f>Monthly!DB125</f>
        <v>0</v>
      </c>
      <c r="CW6" s="344">
        <f>Monthly!DC125</f>
        <v>1610.8324819075069</v>
      </c>
      <c r="CX6" s="344">
        <f>Monthly!DD125</f>
        <v>4540.3749057226069</v>
      </c>
      <c r="CY6" s="344">
        <f>Monthly!DE125</f>
        <v>8579.5095403929099</v>
      </c>
      <c r="CZ6" s="344">
        <f>Monthly!DF125</f>
        <v>8647.4306575876872</v>
      </c>
      <c r="DA6" s="344">
        <f>Monthly!DG125</f>
        <v>6442.6944836269304</v>
      </c>
      <c r="DB6" s="344">
        <f>Monthly!DH125</f>
        <v>5306.9041482889734</v>
      </c>
      <c r="DC6" s="344">
        <f>Monthly!DI125</f>
        <v>1345.7271394629311</v>
      </c>
      <c r="DD6" s="344">
        <f>Monthly!DJ125</f>
        <v>0</v>
      </c>
      <c r="DE6" s="344">
        <f>Monthly!DK125</f>
        <v>0</v>
      </c>
      <c r="DF6" s="344">
        <f>Monthly!DL125</f>
        <v>14214.195483275587</v>
      </c>
      <c r="DG6" s="344">
        <f>Monthly!DM125</f>
        <v>19287.160185792938</v>
      </c>
      <c r="DH6" s="344">
        <f>Monthly!DN125</f>
        <v>20457.246761822887</v>
      </c>
      <c r="DI6" s="342"/>
      <c r="DJ6" s="344">
        <f>SUM(E6:AN6)</f>
        <v>2185926.5846817964</v>
      </c>
    </row>
    <row r="7" spans="2:114" x14ac:dyDescent="0.3">
      <c r="B7" s="375" t="s">
        <v>393</v>
      </c>
      <c r="E7" s="340">
        <f>E5-E6</f>
        <v>0</v>
      </c>
      <c r="F7" s="340">
        <f t="shared" ref="F7:BQ7" si="0">F5-F6</f>
        <v>0</v>
      </c>
      <c r="G7" s="340">
        <f t="shared" si="0"/>
        <v>0</v>
      </c>
      <c r="H7" s="340">
        <f t="shared" si="0"/>
        <v>0</v>
      </c>
      <c r="I7" s="340">
        <f t="shared" si="0"/>
        <v>0</v>
      </c>
      <c r="J7" s="340">
        <f t="shared" si="0"/>
        <v>0</v>
      </c>
      <c r="K7" s="340">
        <f t="shared" si="0"/>
        <v>0</v>
      </c>
      <c r="L7" s="340">
        <f t="shared" si="0"/>
        <v>0</v>
      </c>
      <c r="M7" s="340">
        <f t="shared" si="0"/>
        <v>0</v>
      </c>
      <c r="N7" s="340">
        <f t="shared" si="0"/>
        <v>0</v>
      </c>
      <c r="O7" s="340">
        <f t="shared" si="0"/>
        <v>0</v>
      </c>
      <c r="P7" s="340">
        <f t="shared" si="0"/>
        <v>0</v>
      </c>
      <c r="Q7" s="340">
        <f t="shared" si="0"/>
        <v>0</v>
      </c>
      <c r="R7" s="340">
        <f t="shared" si="0"/>
        <v>0</v>
      </c>
      <c r="S7" s="340">
        <f t="shared" si="0"/>
        <v>0</v>
      </c>
      <c r="T7" s="340">
        <f t="shared" si="0"/>
        <v>0</v>
      </c>
      <c r="U7" s="340">
        <f t="shared" si="0"/>
        <v>0</v>
      </c>
      <c r="V7" s="340">
        <f t="shared" si="0"/>
        <v>0</v>
      </c>
      <c r="W7" s="340">
        <f t="shared" si="0"/>
        <v>0</v>
      </c>
      <c r="X7" s="340">
        <f t="shared" si="0"/>
        <v>0</v>
      </c>
      <c r="Y7" s="340">
        <f t="shared" si="0"/>
        <v>0</v>
      </c>
      <c r="Z7" s="340">
        <f t="shared" si="0"/>
        <v>0</v>
      </c>
      <c r="AA7" s="340">
        <f t="shared" si="0"/>
        <v>0</v>
      </c>
      <c r="AB7" s="340">
        <f t="shared" si="0"/>
        <v>209244.40417693555</v>
      </c>
      <c r="AC7" s="340">
        <f t="shared" si="0"/>
        <v>902.56575361384284</v>
      </c>
      <c r="AD7" s="340">
        <f t="shared" si="0"/>
        <v>3320.1610658299473</v>
      </c>
      <c r="AE7" s="340">
        <f t="shared" si="0"/>
        <v>6843.2956742677652</v>
      </c>
      <c r="AF7" s="340">
        <f t="shared" si="0"/>
        <v>6897.4717650223847</v>
      </c>
      <c r="AG7" s="340">
        <f t="shared" si="0"/>
        <v>4932.0517498288136</v>
      </c>
      <c r="AH7" s="340">
        <f t="shared" si="0"/>
        <v>4037.4721595149567</v>
      </c>
      <c r="AI7" s="340">
        <f t="shared" si="0"/>
        <v>572.58548077778278</v>
      </c>
      <c r="AJ7" s="340">
        <f t="shared" si="0"/>
        <v>0</v>
      </c>
      <c r="AK7" s="340">
        <f t="shared" si="0"/>
        <v>0</v>
      </c>
      <c r="AL7" s="340">
        <f t="shared" si="0"/>
        <v>0</v>
      </c>
      <c r="AM7" s="340">
        <f t="shared" si="0"/>
        <v>0</v>
      </c>
      <c r="AN7" s="340">
        <f t="shared" si="0"/>
        <v>0</v>
      </c>
      <c r="AO7" s="340">
        <f t="shared" si="0"/>
        <v>0</v>
      </c>
      <c r="AP7" s="340">
        <f t="shared" si="0"/>
        <v>0</v>
      </c>
      <c r="AQ7" s="340">
        <f t="shared" si="0"/>
        <v>0</v>
      </c>
      <c r="AR7" s="340">
        <f t="shared" si="0"/>
        <v>0</v>
      </c>
      <c r="AS7" s="340">
        <f t="shared" si="0"/>
        <v>0</v>
      </c>
      <c r="AT7" s="340">
        <f t="shared" si="0"/>
        <v>0</v>
      </c>
      <c r="AU7" s="340">
        <f t="shared" si="0"/>
        <v>0</v>
      </c>
      <c r="AV7" s="340">
        <f t="shared" si="0"/>
        <v>0</v>
      </c>
      <c r="AW7" s="340">
        <f t="shared" si="0"/>
        <v>0</v>
      </c>
      <c r="AX7" s="340">
        <f t="shared" si="0"/>
        <v>0</v>
      </c>
      <c r="AY7" s="340">
        <f t="shared" si="0"/>
        <v>0</v>
      </c>
      <c r="AZ7" s="340">
        <f t="shared" si="0"/>
        <v>0</v>
      </c>
      <c r="BA7" s="340">
        <f t="shared" si="0"/>
        <v>0</v>
      </c>
      <c r="BB7" s="340">
        <f t="shared" si="0"/>
        <v>0</v>
      </c>
      <c r="BC7" s="340">
        <f t="shared" si="0"/>
        <v>0</v>
      </c>
      <c r="BD7" s="340">
        <f t="shared" si="0"/>
        <v>0</v>
      </c>
      <c r="BE7" s="340">
        <f t="shared" si="0"/>
        <v>0</v>
      </c>
      <c r="BF7" s="340">
        <f t="shared" si="0"/>
        <v>0</v>
      </c>
      <c r="BG7" s="340">
        <f t="shared" si="0"/>
        <v>0</v>
      </c>
      <c r="BH7" s="340">
        <f t="shared" si="0"/>
        <v>0</v>
      </c>
      <c r="BI7" s="340">
        <f t="shared" si="0"/>
        <v>0</v>
      </c>
      <c r="BJ7" s="340">
        <f t="shared" si="0"/>
        <v>0</v>
      </c>
      <c r="BK7" s="340">
        <f t="shared" si="0"/>
        <v>0</v>
      </c>
      <c r="BL7" s="340">
        <f t="shared" si="0"/>
        <v>-20000</v>
      </c>
      <c r="BM7" s="340">
        <f t="shared" si="0"/>
        <v>0</v>
      </c>
      <c r="BN7" s="340">
        <f t="shared" si="0"/>
        <v>0</v>
      </c>
      <c r="BO7" s="340">
        <f t="shared" si="0"/>
        <v>0</v>
      </c>
      <c r="BP7" s="340">
        <f t="shared" si="0"/>
        <v>0</v>
      </c>
      <c r="BQ7" s="340">
        <f t="shared" si="0"/>
        <v>0</v>
      </c>
      <c r="BR7" s="340">
        <f t="shared" ref="BR7:CV7" si="1">BR5-BR6</f>
        <v>0</v>
      </c>
      <c r="BS7" s="340">
        <f t="shared" si="1"/>
        <v>0</v>
      </c>
      <c r="BT7" s="340">
        <f t="shared" si="1"/>
        <v>0</v>
      </c>
      <c r="BU7" s="340">
        <f t="shared" si="1"/>
        <v>0</v>
      </c>
      <c r="BV7" s="340">
        <f t="shared" si="1"/>
        <v>0</v>
      </c>
      <c r="BW7" s="340">
        <f t="shared" si="1"/>
        <v>0</v>
      </c>
      <c r="BX7" s="340">
        <f t="shared" si="1"/>
        <v>-30000</v>
      </c>
      <c r="BY7" s="340">
        <f t="shared" si="1"/>
        <v>0</v>
      </c>
      <c r="BZ7" s="340">
        <f t="shared" si="1"/>
        <v>0</v>
      </c>
      <c r="CA7" s="340">
        <f t="shared" si="1"/>
        <v>0</v>
      </c>
      <c r="CB7" s="340">
        <f t="shared" si="1"/>
        <v>0</v>
      </c>
      <c r="CC7" s="340">
        <f t="shared" si="1"/>
        <v>0</v>
      </c>
      <c r="CD7" s="340">
        <f t="shared" si="1"/>
        <v>0</v>
      </c>
      <c r="CE7" s="340">
        <f t="shared" si="1"/>
        <v>0</v>
      </c>
      <c r="CF7" s="340">
        <f t="shared" si="1"/>
        <v>0</v>
      </c>
      <c r="CG7" s="340">
        <f t="shared" si="1"/>
        <v>0</v>
      </c>
      <c r="CH7" s="340">
        <f t="shared" si="1"/>
        <v>0</v>
      </c>
      <c r="CI7" s="340">
        <f t="shared" si="1"/>
        <v>0</v>
      </c>
      <c r="CJ7" s="340">
        <f t="shared" si="1"/>
        <v>-50000</v>
      </c>
      <c r="CK7" s="340">
        <f t="shared" si="1"/>
        <v>0</v>
      </c>
      <c r="CL7" s="340">
        <f t="shared" si="1"/>
        <v>0</v>
      </c>
      <c r="CM7" s="340">
        <f t="shared" si="1"/>
        <v>0</v>
      </c>
      <c r="CN7" s="340">
        <f t="shared" si="1"/>
        <v>0</v>
      </c>
      <c r="CO7" s="340">
        <f t="shared" si="1"/>
        <v>0</v>
      </c>
      <c r="CP7" s="340">
        <f t="shared" si="1"/>
        <v>0</v>
      </c>
      <c r="CQ7" s="340">
        <f t="shared" si="1"/>
        <v>0</v>
      </c>
      <c r="CR7" s="340">
        <f t="shared" si="1"/>
        <v>0</v>
      </c>
      <c r="CS7" s="340">
        <f t="shared" si="1"/>
        <v>0</v>
      </c>
      <c r="CT7" s="340">
        <f t="shared" si="1"/>
        <v>0</v>
      </c>
      <c r="CU7" s="340">
        <f t="shared" si="1"/>
        <v>0</v>
      </c>
      <c r="CV7" s="340">
        <f t="shared" si="1"/>
        <v>-60000</v>
      </c>
      <c r="CW7" s="340">
        <f t="shared" ref="CW7" si="2">CW5-CW6</f>
        <v>0</v>
      </c>
      <c r="CX7" s="340">
        <f t="shared" ref="CX7" si="3">CX5-CX6</f>
        <v>0</v>
      </c>
      <c r="CY7" s="340">
        <f t="shared" ref="CY7" si="4">CY5-CY6</f>
        <v>0</v>
      </c>
      <c r="CZ7" s="340">
        <f t="shared" ref="CZ7" si="5">CZ5-CZ6</f>
        <v>0</v>
      </c>
      <c r="DA7" s="340">
        <f t="shared" ref="DA7" si="6">DA5-DA6</f>
        <v>0</v>
      </c>
      <c r="DB7" s="340">
        <f t="shared" ref="DB7" si="7">DB5-DB6</f>
        <v>0</v>
      </c>
      <c r="DC7" s="340">
        <f t="shared" ref="DC7" si="8">DC5-DC6</f>
        <v>0</v>
      </c>
      <c r="DD7" s="340">
        <f t="shared" ref="DD7" si="9">DD5-DD6</f>
        <v>0</v>
      </c>
      <c r="DE7" s="340">
        <f t="shared" ref="DE7" si="10">DE5-DE6</f>
        <v>0</v>
      </c>
      <c r="DF7" s="340">
        <f t="shared" ref="DF7" si="11">DF5-DF6</f>
        <v>0</v>
      </c>
      <c r="DG7" s="340">
        <f t="shared" ref="DG7" si="12">DG5-DG6</f>
        <v>0</v>
      </c>
      <c r="DH7" s="340">
        <f t="shared" ref="DH7" si="13">DH5-DH6</f>
        <v>0</v>
      </c>
    </row>
    <row r="9" spans="2:114" x14ac:dyDescent="0.3">
      <c r="B9" s="384"/>
      <c r="C9" s="384" t="s">
        <v>390</v>
      </c>
      <c r="D9" s="342"/>
      <c r="E9" s="344">
        <f>Monthly!K126</f>
        <v>0</v>
      </c>
      <c r="F9" s="344">
        <f>Monthly!L126</f>
        <v>0</v>
      </c>
      <c r="G9" s="344">
        <f>Monthly!M126</f>
        <v>0</v>
      </c>
      <c r="H9" s="344">
        <f>Monthly!N126</f>
        <v>0</v>
      </c>
      <c r="I9" s="344">
        <f>Monthly!O126</f>
        <v>0</v>
      </c>
      <c r="J9" s="344">
        <f>Monthly!P126</f>
        <v>0</v>
      </c>
      <c r="K9" s="344">
        <f>Monthly!Q126</f>
        <v>0</v>
      </c>
      <c r="L9" s="344">
        <f>Monthly!R126</f>
        <v>0</v>
      </c>
      <c r="M9" s="344">
        <f>Monthly!S126</f>
        <v>0</v>
      </c>
      <c r="N9" s="344">
        <f>Monthly!T126</f>
        <v>0</v>
      </c>
      <c r="O9" s="344">
        <f>Monthly!U126</f>
        <v>0</v>
      </c>
      <c r="P9" s="344">
        <f>Monthly!V126</f>
        <v>0</v>
      </c>
      <c r="Q9" s="344">
        <f>Monthly!W126</f>
        <v>0</v>
      </c>
      <c r="R9" s="344">
        <f>Monthly!X126</f>
        <v>0</v>
      </c>
      <c r="S9" s="344">
        <f>Monthly!Y126</f>
        <v>0</v>
      </c>
      <c r="T9" s="344">
        <f>Monthly!Z126</f>
        <v>0</v>
      </c>
      <c r="U9" s="344">
        <f>Monthly!AA126</f>
        <v>0</v>
      </c>
      <c r="V9" s="344">
        <f>Monthly!AB126</f>
        <v>0</v>
      </c>
      <c r="W9" s="344">
        <f>Monthly!AC126</f>
        <v>0</v>
      </c>
      <c r="X9" s="344">
        <f>Monthly!AD126</f>
        <v>0</v>
      </c>
      <c r="Y9" s="344">
        <f>Monthly!AE126</f>
        <v>0</v>
      </c>
      <c r="Z9" s="344">
        <f>Monthly!AF126</f>
        <v>0</v>
      </c>
      <c r="AA9" s="344">
        <f>Monthly!AG126</f>
        <v>0</v>
      </c>
      <c r="AB9" s="344">
        <f>Monthly!AH126</f>
        <v>209244.40417693555</v>
      </c>
      <c r="AC9" s="344">
        <f>Monthly!AI126</f>
        <v>902.56575361384284</v>
      </c>
      <c r="AD9" s="344">
        <f>Monthly!AJ126</f>
        <v>3320.1610658299473</v>
      </c>
      <c r="AE9" s="344">
        <f>Monthly!AK126</f>
        <v>6843.2956742677652</v>
      </c>
      <c r="AF9" s="344">
        <f>Monthly!AL126</f>
        <v>6897.4717650223847</v>
      </c>
      <c r="AG9" s="344">
        <f>Monthly!AM126</f>
        <v>4932.0517498288136</v>
      </c>
      <c r="AH9" s="344">
        <f>Monthly!AN126</f>
        <v>4037.4721595149567</v>
      </c>
      <c r="AI9" s="344">
        <f>Monthly!AO126</f>
        <v>572.58548077778278</v>
      </c>
      <c r="AJ9" s="344">
        <f>Monthly!AP126</f>
        <v>0</v>
      </c>
      <c r="AK9" s="344">
        <f>Monthly!AQ126</f>
        <v>0</v>
      </c>
      <c r="AL9" s="344">
        <f>Monthly!AR126</f>
        <v>0</v>
      </c>
      <c r="AM9" s="344">
        <f>Monthly!AS126</f>
        <v>0</v>
      </c>
      <c r="AN9" s="344">
        <f>Monthly!AT126</f>
        <v>0</v>
      </c>
      <c r="AO9" s="344">
        <f>Monthly!AU126</f>
        <v>0</v>
      </c>
      <c r="AP9" s="344">
        <f>Monthly!AV126</f>
        <v>0</v>
      </c>
      <c r="AQ9" s="344">
        <f>Monthly!AW126</f>
        <v>0</v>
      </c>
      <c r="AR9" s="344">
        <f>Monthly!AX126</f>
        <v>0</v>
      </c>
      <c r="AS9" s="344">
        <f>Monthly!AY126</f>
        <v>0</v>
      </c>
      <c r="AT9" s="344">
        <f>Monthly!AZ126</f>
        <v>0</v>
      </c>
      <c r="AU9" s="344">
        <f>Monthly!BA126</f>
        <v>0</v>
      </c>
      <c r="AV9" s="344">
        <f>Monthly!BB126</f>
        <v>0</v>
      </c>
      <c r="AW9" s="344">
        <f>Monthly!BC126</f>
        <v>0</v>
      </c>
      <c r="AX9" s="344">
        <f>Monthly!BD126</f>
        <v>0</v>
      </c>
      <c r="AY9" s="344">
        <f>Monthly!BE126</f>
        <v>0</v>
      </c>
      <c r="AZ9" s="344">
        <f>Monthly!BF126</f>
        <v>0</v>
      </c>
      <c r="BA9" s="344">
        <f>Monthly!BG126</f>
        <v>0</v>
      </c>
      <c r="BB9" s="344">
        <f>Monthly!BH126</f>
        <v>0</v>
      </c>
      <c r="BC9" s="344">
        <f>Monthly!BI126</f>
        <v>0</v>
      </c>
      <c r="BD9" s="344">
        <f>Monthly!BJ126</f>
        <v>0</v>
      </c>
      <c r="BE9" s="344">
        <f>Monthly!BK126</f>
        <v>0</v>
      </c>
      <c r="BF9" s="344">
        <f>Monthly!BL126</f>
        <v>0</v>
      </c>
      <c r="BG9" s="344">
        <f>Monthly!BM126</f>
        <v>0</v>
      </c>
      <c r="BH9" s="344">
        <f>Monthly!BN126</f>
        <v>0</v>
      </c>
      <c r="BI9" s="344">
        <f>Monthly!BO126</f>
        <v>0</v>
      </c>
      <c r="BJ9" s="344">
        <f>Monthly!BP126</f>
        <v>0</v>
      </c>
      <c r="BK9" s="344">
        <f>Monthly!BQ126</f>
        <v>0</v>
      </c>
      <c r="BL9" s="344">
        <f>Monthly!BR126</f>
        <v>0</v>
      </c>
      <c r="BM9" s="344">
        <f>Monthly!BS126</f>
        <v>0</v>
      </c>
      <c r="BN9" s="344">
        <f>Monthly!BT126</f>
        <v>0</v>
      </c>
      <c r="BO9" s="344">
        <f>Monthly!BU126</f>
        <v>0</v>
      </c>
      <c r="BP9" s="344">
        <f>Monthly!BV126</f>
        <v>0</v>
      </c>
      <c r="BQ9" s="344">
        <f>Monthly!BW126</f>
        <v>0</v>
      </c>
      <c r="BR9" s="344">
        <f>Monthly!BX126</f>
        <v>0</v>
      </c>
      <c r="BS9" s="344">
        <f>Monthly!BY126</f>
        <v>0</v>
      </c>
      <c r="BT9" s="344">
        <f>Monthly!BZ126</f>
        <v>0</v>
      </c>
      <c r="BU9" s="344">
        <f>Monthly!CA126</f>
        <v>0</v>
      </c>
      <c r="BV9" s="344">
        <f>Monthly!CB126</f>
        <v>0</v>
      </c>
      <c r="BW9" s="344">
        <f>Monthly!CC126</f>
        <v>0</v>
      </c>
      <c r="BX9" s="344">
        <f>Monthly!CD126</f>
        <v>0</v>
      </c>
      <c r="BY9" s="344">
        <f>Monthly!CE126</f>
        <v>0</v>
      </c>
      <c r="BZ9" s="344">
        <f>Monthly!CF126</f>
        <v>0</v>
      </c>
      <c r="CA9" s="344">
        <f>Monthly!CG126</f>
        <v>0</v>
      </c>
      <c r="CB9" s="344">
        <f>Monthly!CH126</f>
        <v>0</v>
      </c>
      <c r="CC9" s="344">
        <f>Monthly!CI126</f>
        <v>0</v>
      </c>
      <c r="CD9" s="344">
        <f>Monthly!CJ126</f>
        <v>0</v>
      </c>
      <c r="CE9" s="344">
        <f>Monthly!CK126</f>
        <v>0</v>
      </c>
      <c r="CF9" s="344">
        <f>Monthly!CL126</f>
        <v>0</v>
      </c>
      <c r="CG9" s="344">
        <f>Monthly!CM126</f>
        <v>0</v>
      </c>
      <c r="CH9" s="344">
        <f>Monthly!CN126</f>
        <v>0</v>
      </c>
      <c r="CI9" s="344">
        <f>Monthly!CO126</f>
        <v>0</v>
      </c>
      <c r="CJ9" s="344">
        <f>Monthly!CP126</f>
        <v>0</v>
      </c>
      <c r="CK9" s="344">
        <f>Monthly!CQ126</f>
        <v>0</v>
      </c>
      <c r="CL9" s="344">
        <f>Monthly!CR126</f>
        <v>0</v>
      </c>
      <c r="CM9" s="344">
        <f>Monthly!CS126</f>
        <v>0</v>
      </c>
      <c r="CN9" s="344">
        <f>Monthly!CT126</f>
        <v>0</v>
      </c>
      <c r="CO9" s="344">
        <f>Monthly!CU126</f>
        <v>0</v>
      </c>
      <c r="CP9" s="344">
        <f>Monthly!CV126</f>
        <v>0</v>
      </c>
      <c r="CQ9" s="344">
        <f>Monthly!CW126</f>
        <v>0</v>
      </c>
      <c r="CR9" s="344">
        <f>Monthly!CX126</f>
        <v>0</v>
      </c>
      <c r="CS9" s="344">
        <f>Monthly!CY126</f>
        <v>0</v>
      </c>
      <c r="CT9" s="344">
        <f>Monthly!CZ126</f>
        <v>0</v>
      </c>
      <c r="CU9" s="344">
        <f>Monthly!DA126</f>
        <v>0</v>
      </c>
      <c r="CV9" s="344">
        <f>Monthly!DB126</f>
        <v>0</v>
      </c>
      <c r="CW9" s="344">
        <f>Monthly!DC126</f>
        <v>0</v>
      </c>
      <c r="CX9" s="344">
        <f>Monthly!DD126</f>
        <v>0</v>
      </c>
      <c r="CY9" s="344">
        <f>Monthly!DE126</f>
        <v>0</v>
      </c>
      <c r="CZ9" s="344">
        <f>Monthly!DF126</f>
        <v>0</v>
      </c>
      <c r="DA9" s="344">
        <f>Monthly!DG126</f>
        <v>0</v>
      </c>
      <c r="DB9" s="344">
        <f>Monthly!DH126</f>
        <v>0</v>
      </c>
      <c r="DC9" s="344">
        <f>Monthly!DI126</f>
        <v>0</v>
      </c>
      <c r="DD9" s="344">
        <f>Monthly!DJ126</f>
        <v>0</v>
      </c>
      <c r="DE9" s="344">
        <f>Monthly!DK126</f>
        <v>0</v>
      </c>
      <c r="DF9" s="344">
        <f>Monthly!DL126</f>
        <v>0</v>
      </c>
      <c r="DG9" s="344">
        <f>Monthly!DM126</f>
        <v>0</v>
      </c>
      <c r="DH9" s="344">
        <f>Monthly!DN126</f>
        <v>0</v>
      </c>
      <c r="DI9" s="342"/>
      <c r="DJ9" s="344">
        <f>SUM(E9:AN9)</f>
        <v>236750.00782579105</v>
      </c>
    </row>
    <row r="10" spans="2:114" x14ac:dyDescent="0.3">
      <c r="B10" s="375" t="s">
        <v>394</v>
      </c>
      <c r="E10" s="340">
        <f>E7-E9</f>
        <v>0</v>
      </c>
      <c r="F10" s="340">
        <f t="shared" ref="F10:BQ10" si="14">F7-F9</f>
        <v>0</v>
      </c>
      <c r="G10" s="340">
        <f t="shared" si="14"/>
        <v>0</v>
      </c>
      <c r="H10" s="340">
        <f t="shared" si="14"/>
        <v>0</v>
      </c>
      <c r="I10" s="340">
        <f t="shared" si="14"/>
        <v>0</v>
      </c>
      <c r="J10" s="340">
        <f t="shared" si="14"/>
        <v>0</v>
      </c>
      <c r="K10" s="340">
        <f t="shared" si="14"/>
        <v>0</v>
      </c>
      <c r="L10" s="340">
        <f t="shared" si="14"/>
        <v>0</v>
      </c>
      <c r="M10" s="340">
        <f t="shared" si="14"/>
        <v>0</v>
      </c>
      <c r="N10" s="340">
        <f t="shared" si="14"/>
        <v>0</v>
      </c>
      <c r="O10" s="340">
        <f t="shared" si="14"/>
        <v>0</v>
      </c>
      <c r="P10" s="340">
        <f t="shared" si="14"/>
        <v>0</v>
      </c>
      <c r="Q10" s="340">
        <f t="shared" si="14"/>
        <v>0</v>
      </c>
      <c r="R10" s="340">
        <f t="shared" si="14"/>
        <v>0</v>
      </c>
      <c r="S10" s="340">
        <f t="shared" si="14"/>
        <v>0</v>
      </c>
      <c r="T10" s="340">
        <f t="shared" si="14"/>
        <v>0</v>
      </c>
      <c r="U10" s="340">
        <f t="shared" si="14"/>
        <v>0</v>
      </c>
      <c r="V10" s="340">
        <f t="shared" si="14"/>
        <v>0</v>
      </c>
      <c r="W10" s="340">
        <f t="shared" si="14"/>
        <v>0</v>
      </c>
      <c r="X10" s="340">
        <f t="shared" si="14"/>
        <v>0</v>
      </c>
      <c r="Y10" s="340">
        <f t="shared" si="14"/>
        <v>0</v>
      </c>
      <c r="Z10" s="340">
        <f t="shared" si="14"/>
        <v>0</v>
      </c>
      <c r="AA10" s="340">
        <f t="shared" si="14"/>
        <v>0</v>
      </c>
      <c r="AB10" s="340">
        <f t="shared" si="14"/>
        <v>0</v>
      </c>
      <c r="AC10" s="340">
        <f t="shared" si="14"/>
        <v>0</v>
      </c>
      <c r="AD10" s="340">
        <f t="shared" si="14"/>
        <v>0</v>
      </c>
      <c r="AE10" s="340">
        <f t="shared" si="14"/>
        <v>0</v>
      </c>
      <c r="AF10" s="340">
        <f t="shared" si="14"/>
        <v>0</v>
      </c>
      <c r="AG10" s="340">
        <f t="shared" si="14"/>
        <v>0</v>
      </c>
      <c r="AH10" s="340">
        <f t="shared" si="14"/>
        <v>0</v>
      </c>
      <c r="AI10" s="340">
        <f t="shared" si="14"/>
        <v>0</v>
      </c>
      <c r="AJ10" s="340">
        <f t="shared" si="14"/>
        <v>0</v>
      </c>
      <c r="AK10" s="340">
        <f t="shared" si="14"/>
        <v>0</v>
      </c>
      <c r="AL10" s="340">
        <f t="shared" si="14"/>
        <v>0</v>
      </c>
      <c r="AM10" s="340">
        <f t="shared" si="14"/>
        <v>0</v>
      </c>
      <c r="AN10" s="340">
        <f t="shared" si="14"/>
        <v>0</v>
      </c>
      <c r="AO10" s="340">
        <f t="shared" si="14"/>
        <v>0</v>
      </c>
      <c r="AP10" s="340">
        <f t="shared" si="14"/>
        <v>0</v>
      </c>
      <c r="AQ10" s="340">
        <f t="shared" si="14"/>
        <v>0</v>
      </c>
      <c r="AR10" s="340">
        <f t="shared" si="14"/>
        <v>0</v>
      </c>
      <c r="AS10" s="340">
        <f t="shared" si="14"/>
        <v>0</v>
      </c>
      <c r="AT10" s="340">
        <f t="shared" si="14"/>
        <v>0</v>
      </c>
      <c r="AU10" s="340">
        <f t="shared" si="14"/>
        <v>0</v>
      </c>
      <c r="AV10" s="340">
        <f t="shared" si="14"/>
        <v>0</v>
      </c>
      <c r="AW10" s="340">
        <f t="shared" si="14"/>
        <v>0</v>
      </c>
      <c r="AX10" s="340">
        <f t="shared" si="14"/>
        <v>0</v>
      </c>
      <c r="AY10" s="340">
        <f t="shared" si="14"/>
        <v>0</v>
      </c>
      <c r="AZ10" s="340">
        <f t="shared" si="14"/>
        <v>0</v>
      </c>
      <c r="BA10" s="340">
        <f t="shared" si="14"/>
        <v>0</v>
      </c>
      <c r="BB10" s="340">
        <f t="shared" si="14"/>
        <v>0</v>
      </c>
      <c r="BC10" s="340">
        <f t="shared" si="14"/>
        <v>0</v>
      </c>
      <c r="BD10" s="340">
        <f t="shared" si="14"/>
        <v>0</v>
      </c>
      <c r="BE10" s="340">
        <f t="shared" si="14"/>
        <v>0</v>
      </c>
      <c r="BF10" s="340">
        <f t="shared" si="14"/>
        <v>0</v>
      </c>
      <c r="BG10" s="340">
        <f t="shared" si="14"/>
        <v>0</v>
      </c>
      <c r="BH10" s="340">
        <f t="shared" si="14"/>
        <v>0</v>
      </c>
      <c r="BI10" s="340">
        <f t="shared" si="14"/>
        <v>0</v>
      </c>
      <c r="BJ10" s="340">
        <f t="shared" si="14"/>
        <v>0</v>
      </c>
      <c r="BK10" s="340">
        <f t="shared" si="14"/>
        <v>0</v>
      </c>
      <c r="BL10" s="340">
        <f t="shared" si="14"/>
        <v>-20000</v>
      </c>
      <c r="BM10" s="340">
        <f t="shared" si="14"/>
        <v>0</v>
      </c>
      <c r="BN10" s="340">
        <f t="shared" si="14"/>
        <v>0</v>
      </c>
      <c r="BO10" s="340">
        <f t="shared" si="14"/>
        <v>0</v>
      </c>
      <c r="BP10" s="340">
        <f t="shared" si="14"/>
        <v>0</v>
      </c>
      <c r="BQ10" s="340">
        <f t="shared" si="14"/>
        <v>0</v>
      </c>
      <c r="BR10" s="340">
        <f t="shared" ref="BR10:DH10" si="15">BR7-BR9</f>
        <v>0</v>
      </c>
      <c r="BS10" s="340">
        <f t="shared" si="15"/>
        <v>0</v>
      </c>
      <c r="BT10" s="340">
        <f t="shared" si="15"/>
        <v>0</v>
      </c>
      <c r="BU10" s="340">
        <f t="shared" si="15"/>
        <v>0</v>
      </c>
      <c r="BV10" s="340">
        <f t="shared" si="15"/>
        <v>0</v>
      </c>
      <c r="BW10" s="340">
        <f t="shared" si="15"/>
        <v>0</v>
      </c>
      <c r="BX10" s="340">
        <f t="shared" si="15"/>
        <v>-30000</v>
      </c>
      <c r="BY10" s="340">
        <f t="shared" si="15"/>
        <v>0</v>
      </c>
      <c r="BZ10" s="340">
        <f t="shared" si="15"/>
        <v>0</v>
      </c>
      <c r="CA10" s="340">
        <f t="shared" si="15"/>
        <v>0</v>
      </c>
      <c r="CB10" s="340">
        <f t="shared" si="15"/>
        <v>0</v>
      </c>
      <c r="CC10" s="340">
        <f t="shared" si="15"/>
        <v>0</v>
      </c>
      <c r="CD10" s="340">
        <f t="shared" si="15"/>
        <v>0</v>
      </c>
      <c r="CE10" s="340">
        <f t="shared" si="15"/>
        <v>0</v>
      </c>
      <c r="CF10" s="340">
        <f t="shared" si="15"/>
        <v>0</v>
      </c>
      <c r="CG10" s="340">
        <f t="shared" si="15"/>
        <v>0</v>
      </c>
      <c r="CH10" s="340">
        <f t="shared" si="15"/>
        <v>0</v>
      </c>
      <c r="CI10" s="340">
        <f t="shared" si="15"/>
        <v>0</v>
      </c>
      <c r="CJ10" s="340">
        <f t="shared" si="15"/>
        <v>-50000</v>
      </c>
      <c r="CK10" s="340">
        <f t="shared" si="15"/>
        <v>0</v>
      </c>
      <c r="CL10" s="340">
        <f t="shared" si="15"/>
        <v>0</v>
      </c>
      <c r="CM10" s="340">
        <f t="shared" si="15"/>
        <v>0</v>
      </c>
      <c r="CN10" s="340">
        <f t="shared" si="15"/>
        <v>0</v>
      </c>
      <c r="CO10" s="340">
        <f t="shared" si="15"/>
        <v>0</v>
      </c>
      <c r="CP10" s="340">
        <f t="shared" si="15"/>
        <v>0</v>
      </c>
      <c r="CQ10" s="340">
        <f t="shared" si="15"/>
        <v>0</v>
      </c>
      <c r="CR10" s="340">
        <f t="shared" si="15"/>
        <v>0</v>
      </c>
      <c r="CS10" s="340">
        <f t="shared" si="15"/>
        <v>0</v>
      </c>
      <c r="CT10" s="340">
        <f t="shared" si="15"/>
        <v>0</v>
      </c>
      <c r="CU10" s="340">
        <f t="shared" si="15"/>
        <v>0</v>
      </c>
      <c r="CV10" s="340">
        <f t="shared" si="15"/>
        <v>-60000</v>
      </c>
      <c r="CW10" s="340">
        <f t="shared" si="15"/>
        <v>0</v>
      </c>
      <c r="CX10" s="340">
        <f t="shared" si="15"/>
        <v>0</v>
      </c>
      <c r="CY10" s="340">
        <f t="shared" si="15"/>
        <v>0</v>
      </c>
      <c r="CZ10" s="340">
        <f t="shared" si="15"/>
        <v>0</v>
      </c>
      <c r="DA10" s="340">
        <f t="shared" si="15"/>
        <v>0</v>
      </c>
      <c r="DB10" s="340">
        <f t="shared" si="15"/>
        <v>0</v>
      </c>
      <c r="DC10" s="340">
        <f t="shared" si="15"/>
        <v>0</v>
      </c>
      <c r="DD10" s="340">
        <f t="shared" si="15"/>
        <v>0</v>
      </c>
      <c r="DE10" s="340">
        <f t="shared" si="15"/>
        <v>0</v>
      </c>
      <c r="DF10" s="340">
        <f t="shared" si="15"/>
        <v>0</v>
      </c>
      <c r="DG10" s="340">
        <f t="shared" si="15"/>
        <v>0</v>
      </c>
      <c r="DH10" s="340">
        <f t="shared" si="15"/>
        <v>0</v>
      </c>
      <c r="DI10" s="340"/>
      <c r="DJ10" s="340"/>
    </row>
    <row r="12" spans="2:114" x14ac:dyDescent="0.3">
      <c r="B12" s="384"/>
      <c r="C12" s="384" t="s">
        <v>395</v>
      </c>
      <c r="D12" s="342"/>
      <c r="E12" s="344">
        <f>Monthly!K127</f>
        <v>0</v>
      </c>
      <c r="F12" s="344">
        <f>Monthly!L127</f>
        <v>0</v>
      </c>
      <c r="G12" s="344">
        <f>Monthly!M127</f>
        <v>0</v>
      </c>
      <c r="H12" s="344">
        <f>Monthly!N127</f>
        <v>0</v>
      </c>
      <c r="I12" s="344">
        <f>Monthly!O127</f>
        <v>0</v>
      </c>
      <c r="J12" s="344">
        <f>Monthly!P127</f>
        <v>0</v>
      </c>
      <c r="K12" s="344">
        <f>Monthly!Q127</f>
        <v>0</v>
      </c>
      <c r="L12" s="344">
        <f>Monthly!R127</f>
        <v>0</v>
      </c>
      <c r="M12" s="344">
        <f>Monthly!S127</f>
        <v>0</v>
      </c>
      <c r="N12" s="344">
        <f>Monthly!T127</f>
        <v>0</v>
      </c>
      <c r="O12" s="344">
        <f>Monthly!U127</f>
        <v>0</v>
      </c>
      <c r="P12" s="344">
        <f>Monthly!V127</f>
        <v>0</v>
      </c>
      <c r="Q12" s="344">
        <f>Monthly!W127</f>
        <v>0</v>
      </c>
      <c r="R12" s="344">
        <f>Monthly!X127</f>
        <v>0</v>
      </c>
      <c r="S12" s="344">
        <f>Monthly!Y127</f>
        <v>0</v>
      </c>
      <c r="T12" s="344">
        <f>Monthly!Z127</f>
        <v>0</v>
      </c>
      <c r="U12" s="344">
        <f>Monthly!AA127</f>
        <v>0</v>
      </c>
      <c r="V12" s="344">
        <f>Monthly!AB127</f>
        <v>0</v>
      </c>
      <c r="W12" s="344">
        <f>Monthly!AC127</f>
        <v>0</v>
      </c>
      <c r="X12" s="344">
        <f>Monthly!AD127</f>
        <v>0</v>
      </c>
      <c r="Y12" s="344">
        <f>Monthly!AE127</f>
        <v>0</v>
      </c>
      <c r="Z12" s="344">
        <f>Monthly!AF127</f>
        <v>0</v>
      </c>
      <c r="AA12" s="344">
        <f>Monthly!AG127</f>
        <v>0</v>
      </c>
      <c r="AB12" s="344">
        <f>Monthly!AH127</f>
        <v>0</v>
      </c>
      <c r="AC12" s="344">
        <f>Monthly!AI127</f>
        <v>0</v>
      </c>
      <c r="AD12" s="344">
        <f>Monthly!AJ127</f>
        <v>0</v>
      </c>
      <c r="AE12" s="344">
        <f>Monthly!AK127</f>
        <v>0</v>
      </c>
      <c r="AF12" s="344">
        <f>Monthly!AL127</f>
        <v>0</v>
      </c>
      <c r="AG12" s="344">
        <f>Monthly!AM127</f>
        <v>0</v>
      </c>
      <c r="AH12" s="344">
        <f>Monthly!AN127</f>
        <v>0</v>
      </c>
      <c r="AI12" s="344">
        <f>Monthly!AO127</f>
        <v>0</v>
      </c>
      <c r="AJ12" s="344">
        <f>Monthly!AP127</f>
        <v>0</v>
      </c>
      <c r="AK12" s="344">
        <f>Monthly!AQ127</f>
        <v>0</v>
      </c>
      <c r="AL12" s="344">
        <f>Monthly!AR127</f>
        <v>0</v>
      </c>
      <c r="AM12" s="344">
        <f>Monthly!AS127</f>
        <v>0</v>
      </c>
      <c r="AN12" s="344">
        <f>Monthly!AT127</f>
        <v>0</v>
      </c>
      <c r="AO12" s="344">
        <f>Monthly!AU127</f>
        <v>0</v>
      </c>
      <c r="AP12" s="344">
        <f>Monthly!AV127</f>
        <v>0</v>
      </c>
      <c r="AQ12" s="344">
        <f>Monthly!AW127</f>
        <v>0</v>
      </c>
      <c r="AR12" s="344">
        <f>Monthly!AX127</f>
        <v>0</v>
      </c>
      <c r="AS12" s="344">
        <f>Monthly!AY127</f>
        <v>0</v>
      </c>
      <c r="AT12" s="344">
        <f>Monthly!AZ127</f>
        <v>0</v>
      </c>
      <c r="AU12" s="344">
        <f>Monthly!BA127</f>
        <v>0</v>
      </c>
      <c r="AV12" s="344">
        <f>Monthly!BB127</f>
        <v>0</v>
      </c>
      <c r="AW12" s="344">
        <f>Monthly!BC127</f>
        <v>0</v>
      </c>
      <c r="AX12" s="344">
        <f>Monthly!BD127</f>
        <v>0</v>
      </c>
      <c r="AY12" s="344">
        <f>Monthly!BE127</f>
        <v>0</v>
      </c>
      <c r="AZ12" s="344">
        <f>Monthly!BF127</f>
        <v>0</v>
      </c>
      <c r="BA12" s="344">
        <f>Monthly!BG127</f>
        <v>0</v>
      </c>
      <c r="BB12" s="344">
        <f>Monthly!BH127</f>
        <v>0</v>
      </c>
      <c r="BC12" s="344">
        <f>Monthly!BI127</f>
        <v>0</v>
      </c>
      <c r="BD12" s="344">
        <f>Monthly!BJ127</f>
        <v>0</v>
      </c>
      <c r="BE12" s="344">
        <f>Monthly!BK127</f>
        <v>0</v>
      </c>
      <c r="BF12" s="344">
        <f>Monthly!BL127</f>
        <v>0</v>
      </c>
      <c r="BG12" s="344">
        <f>Monthly!BM127</f>
        <v>0</v>
      </c>
      <c r="BH12" s="344">
        <f>Monthly!BN127</f>
        <v>0</v>
      </c>
      <c r="BI12" s="344">
        <f>Monthly!BO127</f>
        <v>0</v>
      </c>
      <c r="BJ12" s="344">
        <f>Monthly!BP127</f>
        <v>0</v>
      </c>
      <c r="BK12" s="344">
        <f>Monthly!BQ127</f>
        <v>0</v>
      </c>
      <c r="BL12" s="344">
        <f>Monthly!BR127</f>
        <v>0</v>
      </c>
      <c r="BM12" s="344">
        <f>Monthly!BS127</f>
        <v>0</v>
      </c>
      <c r="BN12" s="344">
        <f>Monthly!BT127</f>
        <v>0</v>
      </c>
      <c r="BO12" s="344">
        <f>Monthly!BU127</f>
        <v>0</v>
      </c>
      <c r="BP12" s="344">
        <f>Monthly!BV127</f>
        <v>0</v>
      </c>
      <c r="BQ12" s="344">
        <f>Monthly!BW127</f>
        <v>0</v>
      </c>
      <c r="BR12" s="344">
        <f>Monthly!BX127</f>
        <v>0</v>
      </c>
      <c r="BS12" s="344">
        <f>Monthly!BY127</f>
        <v>0</v>
      </c>
      <c r="BT12" s="344">
        <f>Monthly!BZ127</f>
        <v>0</v>
      </c>
      <c r="BU12" s="344">
        <f>Monthly!CA127</f>
        <v>0</v>
      </c>
      <c r="BV12" s="344">
        <f>Monthly!CB127</f>
        <v>0</v>
      </c>
      <c r="BW12" s="344">
        <f>Monthly!CC127</f>
        <v>0</v>
      </c>
      <c r="BX12" s="344">
        <f>Monthly!CD127</f>
        <v>0</v>
      </c>
      <c r="BY12" s="344">
        <f>Monthly!CE127</f>
        <v>0</v>
      </c>
      <c r="BZ12" s="344">
        <f>Monthly!CF127</f>
        <v>0</v>
      </c>
      <c r="CA12" s="344">
        <f>Monthly!CG127</f>
        <v>0</v>
      </c>
      <c r="CB12" s="344">
        <f>Monthly!CH127</f>
        <v>0</v>
      </c>
      <c r="CC12" s="344">
        <f>Monthly!CI127</f>
        <v>0</v>
      </c>
      <c r="CD12" s="344">
        <f>Monthly!CJ127</f>
        <v>0</v>
      </c>
      <c r="CE12" s="344">
        <f>Monthly!CK127</f>
        <v>0</v>
      </c>
      <c r="CF12" s="344">
        <f>Monthly!CL127</f>
        <v>0</v>
      </c>
      <c r="CG12" s="344">
        <f>Monthly!CM127</f>
        <v>0</v>
      </c>
      <c r="CH12" s="344">
        <f>Monthly!CN127</f>
        <v>0</v>
      </c>
      <c r="CI12" s="344">
        <f>Monthly!CO127</f>
        <v>0</v>
      </c>
      <c r="CJ12" s="344">
        <f>Monthly!CP127</f>
        <v>0</v>
      </c>
      <c r="CK12" s="344">
        <f>Monthly!CQ127</f>
        <v>0</v>
      </c>
      <c r="CL12" s="344">
        <f>Monthly!CR127</f>
        <v>0</v>
      </c>
      <c r="CM12" s="344">
        <f>Monthly!CS127</f>
        <v>0</v>
      </c>
      <c r="CN12" s="344">
        <f>Monthly!CT127</f>
        <v>0</v>
      </c>
      <c r="CO12" s="344">
        <f>Monthly!CU127</f>
        <v>0</v>
      </c>
      <c r="CP12" s="344">
        <f>Monthly!CV127</f>
        <v>0</v>
      </c>
      <c r="CQ12" s="344">
        <f>Monthly!CW127</f>
        <v>0</v>
      </c>
      <c r="CR12" s="344">
        <f>Monthly!CX127</f>
        <v>0</v>
      </c>
      <c r="CS12" s="344">
        <f>Monthly!CY127</f>
        <v>0</v>
      </c>
      <c r="CT12" s="344">
        <f>Monthly!CZ127</f>
        <v>0</v>
      </c>
      <c r="CU12" s="344">
        <f>Monthly!DA127</f>
        <v>0</v>
      </c>
      <c r="CV12" s="344">
        <f>Monthly!DB127</f>
        <v>0</v>
      </c>
      <c r="CW12" s="344">
        <f>Monthly!DC127</f>
        <v>0</v>
      </c>
      <c r="CX12" s="344">
        <f>Monthly!DD127</f>
        <v>0</v>
      </c>
      <c r="CY12" s="344">
        <f>Monthly!DE127</f>
        <v>0</v>
      </c>
      <c r="CZ12" s="344">
        <f>Monthly!DF127</f>
        <v>0</v>
      </c>
      <c r="DA12" s="344">
        <f>Monthly!DG127</f>
        <v>0</v>
      </c>
      <c r="DB12" s="344">
        <f>Monthly!DH127</f>
        <v>0</v>
      </c>
      <c r="DC12" s="344">
        <f>Monthly!DI127</f>
        <v>0</v>
      </c>
      <c r="DD12" s="344">
        <f>Monthly!DJ127</f>
        <v>0</v>
      </c>
      <c r="DE12" s="344">
        <f>Monthly!DK127</f>
        <v>0</v>
      </c>
      <c r="DF12" s="344">
        <f>Monthly!DL127</f>
        <v>0</v>
      </c>
      <c r="DG12" s="344">
        <f>Monthly!DM127</f>
        <v>0</v>
      </c>
      <c r="DH12" s="344">
        <f>Monthly!DN127</f>
        <v>0</v>
      </c>
      <c r="DI12" s="342"/>
      <c r="DJ12" s="344">
        <f>SUM(E12:AN12)</f>
        <v>0</v>
      </c>
    </row>
    <row r="13" spans="2:114" x14ac:dyDescent="0.3">
      <c r="B13" s="375" t="s">
        <v>669</v>
      </c>
      <c r="E13" s="340">
        <f>E10-E12</f>
        <v>0</v>
      </c>
      <c r="F13" s="340">
        <f t="shared" ref="F13:BQ13" si="16">F10-F12</f>
        <v>0</v>
      </c>
      <c r="G13" s="340">
        <f t="shared" si="16"/>
        <v>0</v>
      </c>
      <c r="H13" s="340">
        <f t="shared" si="16"/>
        <v>0</v>
      </c>
      <c r="I13" s="340">
        <f t="shared" si="16"/>
        <v>0</v>
      </c>
      <c r="J13" s="340">
        <f t="shared" si="16"/>
        <v>0</v>
      </c>
      <c r="K13" s="340">
        <f t="shared" si="16"/>
        <v>0</v>
      </c>
      <c r="L13" s="340">
        <f t="shared" si="16"/>
        <v>0</v>
      </c>
      <c r="M13" s="340">
        <f t="shared" si="16"/>
        <v>0</v>
      </c>
      <c r="N13" s="340">
        <f t="shared" si="16"/>
        <v>0</v>
      </c>
      <c r="O13" s="340">
        <f t="shared" si="16"/>
        <v>0</v>
      </c>
      <c r="P13" s="340">
        <f t="shared" si="16"/>
        <v>0</v>
      </c>
      <c r="Q13" s="340">
        <f t="shared" si="16"/>
        <v>0</v>
      </c>
      <c r="R13" s="340">
        <f t="shared" si="16"/>
        <v>0</v>
      </c>
      <c r="S13" s="340">
        <f t="shared" si="16"/>
        <v>0</v>
      </c>
      <c r="T13" s="340">
        <f t="shared" si="16"/>
        <v>0</v>
      </c>
      <c r="U13" s="340">
        <f t="shared" si="16"/>
        <v>0</v>
      </c>
      <c r="V13" s="340">
        <f t="shared" si="16"/>
        <v>0</v>
      </c>
      <c r="W13" s="340">
        <f t="shared" si="16"/>
        <v>0</v>
      </c>
      <c r="X13" s="340">
        <f t="shared" si="16"/>
        <v>0</v>
      </c>
      <c r="Y13" s="340">
        <f t="shared" si="16"/>
        <v>0</v>
      </c>
      <c r="Z13" s="340">
        <f t="shared" si="16"/>
        <v>0</v>
      </c>
      <c r="AA13" s="340">
        <f t="shared" si="16"/>
        <v>0</v>
      </c>
      <c r="AB13" s="340">
        <f t="shared" si="16"/>
        <v>0</v>
      </c>
      <c r="AC13" s="340">
        <f t="shared" si="16"/>
        <v>0</v>
      </c>
      <c r="AD13" s="340">
        <f t="shared" si="16"/>
        <v>0</v>
      </c>
      <c r="AE13" s="340">
        <f t="shared" si="16"/>
        <v>0</v>
      </c>
      <c r="AF13" s="340">
        <f t="shared" si="16"/>
        <v>0</v>
      </c>
      <c r="AG13" s="340">
        <f t="shared" si="16"/>
        <v>0</v>
      </c>
      <c r="AH13" s="340">
        <f t="shared" si="16"/>
        <v>0</v>
      </c>
      <c r="AI13" s="340">
        <f t="shared" si="16"/>
        <v>0</v>
      </c>
      <c r="AJ13" s="340">
        <f t="shared" si="16"/>
        <v>0</v>
      </c>
      <c r="AK13" s="340">
        <f t="shared" si="16"/>
        <v>0</v>
      </c>
      <c r="AL13" s="340">
        <f t="shared" si="16"/>
        <v>0</v>
      </c>
      <c r="AM13" s="340">
        <f t="shared" si="16"/>
        <v>0</v>
      </c>
      <c r="AN13" s="340">
        <f t="shared" si="16"/>
        <v>0</v>
      </c>
      <c r="AO13" s="340">
        <f t="shared" si="16"/>
        <v>0</v>
      </c>
      <c r="AP13" s="340">
        <f t="shared" si="16"/>
        <v>0</v>
      </c>
      <c r="AQ13" s="340">
        <f t="shared" si="16"/>
        <v>0</v>
      </c>
      <c r="AR13" s="340">
        <f t="shared" si="16"/>
        <v>0</v>
      </c>
      <c r="AS13" s="340">
        <f t="shared" si="16"/>
        <v>0</v>
      </c>
      <c r="AT13" s="340">
        <f t="shared" si="16"/>
        <v>0</v>
      </c>
      <c r="AU13" s="340">
        <f t="shared" si="16"/>
        <v>0</v>
      </c>
      <c r="AV13" s="340">
        <f t="shared" si="16"/>
        <v>0</v>
      </c>
      <c r="AW13" s="340">
        <f t="shared" si="16"/>
        <v>0</v>
      </c>
      <c r="AX13" s="340">
        <f t="shared" si="16"/>
        <v>0</v>
      </c>
      <c r="AY13" s="340">
        <f t="shared" si="16"/>
        <v>0</v>
      </c>
      <c r="AZ13" s="340">
        <f t="shared" si="16"/>
        <v>0</v>
      </c>
      <c r="BA13" s="340">
        <f t="shared" si="16"/>
        <v>0</v>
      </c>
      <c r="BB13" s="340">
        <f t="shared" si="16"/>
        <v>0</v>
      </c>
      <c r="BC13" s="340">
        <f t="shared" si="16"/>
        <v>0</v>
      </c>
      <c r="BD13" s="340">
        <f t="shared" si="16"/>
        <v>0</v>
      </c>
      <c r="BE13" s="340">
        <f t="shared" si="16"/>
        <v>0</v>
      </c>
      <c r="BF13" s="340">
        <f t="shared" si="16"/>
        <v>0</v>
      </c>
      <c r="BG13" s="340">
        <f t="shared" si="16"/>
        <v>0</v>
      </c>
      <c r="BH13" s="340">
        <f t="shared" si="16"/>
        <v>0</v>
      </c>
      <c r="BI13" s="340">
        <f t="shared" si="16"/>
        <v>0</v>
      </c>
      <c r="BJ13" s="340">
        <f t="shared" si="16"/>
        <v>0</v>
      </c>
      <c r="BK13" s="340">
        <f t="shared" si="16"/>
        <v>0</v>
      </c>
      <c r="BL13" s="340">
        <f t="shared" si="16"/>
        <v>-20000</v>
      </c>
      <c r="BM13" s="340">
        <f t="shared" si="16"/>
        <v>0</v>
      </c>
      <c r="BN13" s="340">
        <f t="shared" si="16"/>
        <v>0</v>
      </c>
      <c r="BO13" s="340">
        <f t="shared" si="16"/>
        <v>0</v>
      </c>
      <c r="BP13" s="340">
        <f t="shared" si="16"/>
        <v>0</v>
      </c>
      <c r="BQ13" s="340">
        <f t="shared" si="16"/>
        <v>0</v>
      </c>
      <c r="BR13" s="340">
        <f t="shared" ref="BR13:DH13" si="17">BR10-BR12</f>
        <v>0</v>
      </c>
      <c r="BS13" s="340">
        <f t="shared" si="17"/>
        <v>0</v>
      </c>
      <c r="BT13" s="340">
        <f t="shared" si="17"/>
        <v>0</v>
      </c>
      <c r="BU13" s="340">
        <f t="shared" si="17"/>
        <v>0</v>
      </c>
      <c r="BV13" s="340">
        <f t="shared" si="17"/>
        <v>0</v>
      </c>
      <c r="BW13" s="340">
        <f t="shared" si="17"/>
        <v>0</v>
      </c>
      <c r="BX13" s="340">
        <f t="shared" si="17"/>
        <v>-30000</v>
      </c>
      <c r="BY13" s="340">
        <f t="shared" si="17"/>
        <v>0</v>
      </c>
      <c r="BZ13" s="340">
        <f t="shared" si="17"/>
        <v>0</v>
      </c>
      <c r="CA13" s="340">
        <f t="shared" si="17"/>
        <v>0</v>
      </c>
      <c r="CB13" s="340">
        <f t="shared" si="17"/>
        <v>0</v>
      </c>
      <c r="CC13" s="340">
        <f t="shared" si="17"/>
        <v>0</v>
      </c>
      <c r="CD13" s="340">
        <f t="shared" si="17"/>
        <v>0</v>
      </c>
      <c r="CE13" s="340">
        <f t="shared" si="17"/>
        <v>0</v>
      </c>
      <c r="CF13" s="340">
        <f t="shared" si="17"/>
        <v>0</v>
      </c>
      <c r="CG13" s="340">
        <f t="shared" si="17"/>
        <v>0</v>
      </c>
      <c r="CH13" s="340">
        <f t="shared" si="17"/>
        <v>0</v>
      </c>
      <c r="CI13" s="340">
        <f t="shared" si="17"/>
        <v>0</v>
      </c>
      <c r="CJ13" s="340">
        <f t="shared" si="17"/>
        <v>-50000</v>
      </c>
      <c r="CK13" s="340">
        <f t="shared" si="17"/>
        <v>0</v>
      </c>
      <c r="CL13" s="340">
        <f t="shared" si="17"/>
        <v>0</v>
      </c>
      <c r="CM13" s="340">
        <f t="shared" si="17"/>
        <v>0</v>
      </c>
      <c r="CN13" s="340">
        <f t="shared" si="17"/>
        <v>0</v>
      </c>
      <c r="CO13" s="340">
        <f t="shared" si="17"/>
        <v>0</v>
      </c>
      <c r="CP13" s="340">
        <f t="shared" si="17"/>
        <v>0</v>
      </c>
      <c r="CQ13" s="340">
        <f t="shared" si="17"/>
        <v>0</v>
      </c>
      <c r="CR13" s="340">
        <f t="shared" si="17"/>
        <v>0</v>
      </c>
      <c r="CS13" s="340">
        <f t="shared" si="17"/>
        <v>0</v>
      </c>
      <c r="CT13" s="340">
        <f t="shared" si="17"/>
        <v>0</v>
      </c>
      <c r="CU13" s="340">
        <f t="shared" si="17"/>
        <v>0</v>
      </c>
      <c r="CV13" s="340">
        <f t="shared" si="17"/>
        <v>-60000</v>
      </c>
      <c r="CW13" s="340">
        <f t="shared" si="17"/>
        <v>0</v>
      </c>
      <c r="CX13" s="340">
        <f t="shared" si="17"/>
        <v>0</v>
      </c>
      <c r="CY13" s="340">
        <f t="shared" si="17"/>
        <v>0</v>
      </c>
      <c r="CZ13" s="340">
        <f t="shared" si="17"/>
        <v>0</v>
      </c>
      <c r="DA13" s="340">
        <f t="shared" si="17"/>
        <v>0</v>
      </c>
      <c r="DB13" s="340">
        <f t="shared" si="17"/>
        <v>0</v>
      </c>
      <c r="DC13" s="340">
        <f t="shared" si="17"/>
        <v>0</v>
      </c>
      <c r="DD13" s="340">
        <f t="shared" si="17"/>
        <v>0</v>
      </c>
      <c r="DE13" s="340">
        <f t="shared" si="17"/>
        <v>0</v>
      </c>
      <c r="DF13" s="340">
        <f t="shared" si="17"/>
        <v>0</v>
      </c>
      <c r="DG13" s="340">
        <f t="shared" si="17"/>
        <v>0</v>
      </c>
      <c r="DH13" s="340">
        <f t="shared" si="17"/>
        <v>0</v>
      </c>
    </row>
    <row r="15" spans="2:114" ht="14.4" thickBot="1" x14ac:dyDescent="0.35">
      <c r="B15" s="325"/>
      <c r="C15" s="325"/>
      <c r="D15" s="327"/>
      <c r="E15" s="890">
        <f>E3</f>
        <v>45413</v>
      </c>
      <c r="F15" s="890">
        <f t="shared" ref="F15:BQ15" si="18">F3</f>
        <v>45444</v>
      </c>
      <c r="G15" s="890">
        <f t="shared" si="18"/>
        <v>45474</v>
      </c>
      <c r="H15" s="890">
        <f t="shared" si="18"/>
        <v>45505</v>
      </c>
      <c r="I15" s="890">
        <f t="shared" si="18"/>
        <v>45536</v>
      </c>
      <c r="J15" s="890">
        <f t="shared" si="18"/>
        <v>45566</v>
      </c>
      <c r="K15" s="890">
        <f t="shared" si="18"/>
        <v>45597</v>
      </c>
      <c r="L15" s="890">
        <f t="shared" si="18"/>
        <v>45627</v>
      </c>
      <c r="M15" s="890">
        <f t="shared" si="18"/>
        <v>45658</v>
      </c>
      <c r="N15" s="890">
        <f t="shared" si="18"/>
        <v>45689</v>
      </c>
      <c r="O15" s="890">
        <f t="shared" si="18"/>
        <v>45717</v>
      </c>
      <c r="P15" s="890">
        <f t="shared" si="18"/>
        <v>45748</v>
      </c>
      <c r="Q15" s="890">
        <f t="shared" si="18"/>
        <v>45778</v>
      </c>
      <c r="R15" s="890">
        <f t="shared" si="18"/>
        <v>45809</v>
      </c>
      <c r="S15" s="890">
        <f t="shared" si="18"/>
        <v>45839</v>
      </c>
      <c r="T15" s="890">
        <f t="shared" si="18"/>
        <v>45870</v>
      </c>
      <c r="U15" s="890">
        <f t="shared" si="18"/>
        <v>45901</v>
      </c>
      <c r="V15" s="890">
        <f t="shared" si="18"/>
        <v>45931</v>
      </c>
      <c r="W15" s="890">
        <f t="shared" si="18"/>
        <v>45962</v>
      </c>
      <c r="X15" s="890">
        <f t="shared" si="18"/>
        <v>45992</v>
      </c>
      <c r="Y15" s="890">
        <f t="shared" si="18"/>
        <v>46023</v>
      </c>
      <c r="Z15" s="890">
        <f t="shared" si="18"/>
        <v>46054</v>
      </c>
      <c r="AA15" s="890">
        <f t="shared" si="18"/>
        <v>46082</v>
      </c>
      <c r="AB15" s="890">
        <f t="shared" si="18"/>
        <v>46113</v>
      </c>
      <c r="AC15" s="890">
        <f t="shared" si="18"/>
        <v>46143</v>
      </c>
      <c r="AD15" s="890">
        <f t="shared" si="18"/>
        <v>46174</v>
      </c>
      <c r="AE15" s="890">
        <f t="shared" si="18"/>
        <v>46204</v>
      </c>
      <c r="AF15" s="890">
        <f t="shared" si="18"/>
        <v>46235</v>
      </c>
      <c r="AG15" s="890">
        <f t="shared" si="18"/>
        <v>46266</v>
      </c>
      <c r="AH15" s="890">
        <f t="shared" si="18"/>
        <v>46296</v>
      </c>
      <c r="AI15" s="890">
        <f t="shared" si="18"/>
        <v>46327</v>
      </c>
      <c r="AJ15" s="890">
        <f t="shared" si="18"/>
        <v>46357</v>
      </c>
      <c r="AK15" s="890">
        <f t="shared" si="18"/>
        <v>46388</v>
      </c>
      <c r="AL15" s="890">
        <f t="shared" si="18"/>
        <v>46419</v>
      </c>
      <c r="AM15" s="890">
        <f t="shared" si="18"/>
        <v>46447</v>
      </c>
      <c r="AN15" s="890">
        <f t="shared" si="18"/>
        <v>46478</v>
      </c>
      <c r="AO15" s="890">
        <f t="shared" si="18"/>
        <v>46508</v>
      </c>
      <c r="AP15" s="890">
        <f t="shared" si="18"/>
        <v>46539</v>
      </c>
      <c r="AQ15" s="890">
        <f t="shared" si="18"/>
        <v>46569</v>
      </c>
      <c r="AR15" s="890">
        <f t="shared" si="18"/>
        <v>46600</v>
      </c>
      <c r="AS15" s="890">
        <f t="shared" si="18"/>
        <v>46631</v>
      </c>
      <c r="AT15" s="890">
        <f t="shared" si="18"/>
        <v>46661</v>
      </c>
      <c r="AU15" s="890">
        <f t="shared" si="18"/>
        <v>46692</v>
      </c>
      <c r="AV15" s="890">
        <f t="shared" si="18"/>
        <v>46722</v>
      </c>
      <c r="AW15" s="890">
        <f t="shared" si="18"/>
        <v>46753</v>
      </c>
      <c r="AX15" s="890">
        <f t="shared" si="18"/>
        <v>46784</v>
      </c>
      <c r="AY15" s="890">
        <f t="shared" si="18"/>
        <v>46813</v>
      </c>
      <c r="AZ15" s="890">
        <f t="shared" si="18"/>
        <v>46844</v>
      </c>
      <c r="BA15" s="890">
        <f t="shared" si="18"/>
        <v>46874</v>
      </c>
      <c r="BB15" s="890">
        <f t="shared" si="18"/>
        <v>46905</v>
      </c>
      <c r="BC15" s="890">
        <f t="shared" si="18"/>
        <v>46935</v>
      </c>
      <c r="BD15" s="890">
        <f t="shared" si="18"/>
        <v>46966</v>
      </c>
      <c r="BE15" s="890">
        <f t="shared" si="18"/>
        <v>46997</v>
      </c>
      <c r="BF15" s="890">
        <f t="shared" si="18"/>
        <v>47027</v>
      </c>
      <c r="BG15" s="890">
        <f t="shared" si="18"/>
        <v>47058</v>
      </c>
      <c r="BH15" s="890">
        <f t="shared" si="18"/>
        <v>47088</v>
      </c>
      <c r="BI15" s="890">
        <f t="shared" si="18"/>
        <v>47119</v>
      </c>
      <c r="BJ15" s="890">
        <f t="shared" si="18"/>
        <v>47150</v>
      </c>
      <c r="BK15" s="890">
        <f t="shared" si="18"/>
        <v>47178</v>
      </c>
      <c r="BL15" s="890">
        <f t="shared" si="18"/>
        <v>47209</v>
      </c>
      <c r="BM15" s="890">
        <f t="shared" si="18"/>
        <v>47239</v>
      </c>
      <c r="BN15" s="890">
        <f t="shared" si="18"/>
        <v>47270</v>
      </c>
      <c r="BO15" s="890">
        <f t="shared" si="18"/>
        <v>47300</v>
      </c>
      <c r="BP15" s="890">
        <f t="shared" si="18"/>
        <v>47331</v>
      </c>
      <c r="BQ15" s="890">
        <f t="shared" si="18"/>
        <v>47362</v>
      </c>
      <c r="BR15" s="890">
        <f t="shared" ref="BR15:DH15" si="19">BR3</f>
        <v>47392</v>
      </c>
      <c r="BS15" s="890">
        <f t="shared" si="19"/>
        <v>47423</v>
      </c>
      <c r="BT15" s="890">
        <f t="shared" si="19"/>
        <v>47453</v>
      </c>
      <c r="BU15" s="890">
        <f t="shared" si="19"/>
        <v>47484</v>
      </c>
      <c r="BV15" s="890">
        <f t="shared" si="19"/>
        <v>47515</v>
      </c>
      <c r="BW15" s="890">
        <f t="shared" si="19"/>
        <v>47543</v>
      </c>
      <c r="BX15" s="890">
        <f t="shared" si="19"/>
        <v>47574</v>
      </c>
      <c r="BY15" s="890">
        <f t="shared" si="19"/>
        <v>47604</v>
      </c>
      <c r="BZ15" s="890">
        <f t="shared" si="19"/>
        <v>47635</v>
      </c>
      <c r="CA15" s="890">
        <f t="shared" si="19"/>
        <v>47665</v>
      </c>
      <c r="CB15" s="890">
        <f t="shared" si="19"/>
        <v>47696</v>
      </c>
      <c r="CC15" s="890">
        <f t="shared" si="19"/>
        <v>47727</v>
      </c>
      <c r="CD15" s="890">
        <f t="shared" si="19"/>
        <v>47757</v>
      </c>
      <c r="CE15" s="890">
        <f t="shared" si="19"/>
        <v>47788</v>
      </c>
      <c r="CF15" s="890">
        <f t="shared" si="19"/>
        <v>47818</v>
      </c>
      <c r="CG15" s="890">
        <f t="shared" si="19"/>
        <v>47849</v>
      </c>
      <c r="CH15" s="890">
        <f t="shared" si="19"/>
        <v>47880</v>
      </c>
      <c r="CI15" s="890">
        <f t="shared" si="19"/>
        <v>47908</v>
      </c>
      <c r="CJ15" s="890">
        <f t="shared" si="19"/>
        <v>47939</v>
      </c>
      <c r="CK15" s="890">
        <f t="shared" si="19"/>
        <v>47969</v>
      </c>
      <c r="CL15" s="890">
        <f t="shared" si="19"/>
        <v>48000</v>
      </c>
      <c r="CM15" s="890">
        <f t="shared" si="19"/>
        <v>48030</v>
      </c>
      <c r="CN15" s="890">
        <f t="shared" si="19"/>
        <v>48061</v>
      </c>
      <c r="CO15" s="890">
        <f t="shared" si="19"/>
        <v>48092</v>
      </c>
      <c r="CP15" s="890">
        <f t="shared" si="19"/>
        <v>48122</v>
      </c>
      <c r="CQ15" s="890">
        <f t="shared" si="19"/>
        <v>48153</v>
      </c>
      <c r="CR15" s="890">
        <f t="shared" si="19"/>
        <v>48183</v>
      </c>
      <c r="CS15" s="890">
        <f t="shared" si="19"/>
        <v>48214</v>
      </c>
      <c r="CT15" s="890">
        <f t="shared" si="19"/>
        <v>48245</v>
      </c>
      <c r="CU15" s="890">
        <f t="shared" si="19"/>
        <v>48274</v>
      </c>
      <c r="CV15" s="890">
        <f t="shared" si="19"/>
        <v>48305</v>
      </c>
      <c r="CW15" s="890">
        <f t="shared" si="19"/>
        <v>48335</v>
      </c>
      <c r="CX15" s="890">
        <f t="shared" si="19"/>
        <v>48366</v>
      </c>
      <c r="CY15" s="890">
        <f t="shared" si="19"/>
        <v>48396</v>
      </c>
      <c r="CZ15" s="890">
        <f t="shared" si="19"/>
        <v>48427</v>
      </c>
      <c r="DA15" s="890">
        <f t="shared" si="19"/>
        <v>48458</v>
      </c>
      <c r="DB15" s="890">
        <f t="shared" si="19"/>
        <v>48488</v>
      </c>
      <c r="DC15" s="890">
        <f t="shared" si="19"/>
        <v>48519</v>
      </c>
      <c r="DD15" s="890">
        <f t="shared" si="19"/>
        <v>48549</v>
      </c>
      <c r="DE15" s="890">
        <f t="shared" si="19"/>
        <v>48580</v>
      </c>
      <c r="DF15" s="890">
        <f t="shared" si="19"/>
        <v>48611</v>
      </c>
      <c r="DG15" s="890">
        <f t="shared" si="19"/>
        <v>48639</v>
      </c>
      <c r="DH15" s="890">
        <f t="shared" si="19"/>
        <v>48670</v>
      </c>
    </row>
    <row r="16" spans="2:114" x14ac:dyDescent="0.3">
      <c r="E16" s="337"/>
      <c r="F16" s="337"/>
      <c r="G16" s="337"/>
      <c r="H16" s="337"/>
      <c r="I16" s="337"/>
      <c r="J16" s="337"/>
      <c r="K16" s="337"/>
      <c r="L16" s="337"/>
      <c r="M16" s="337"/>
      <c r="N16" s="337"/>
      <c r="O16" s="337"/>
      <c r="P16" s="337"/>
      <c r="Q16" s="337"/>
      <c r="R16" s="337"/>
      <c r="S16" s="337"/>
      <c r="T16" s="337"/>
      <c r="U16" s="337"/>
      <c r="V16" s="337"/>
      <c r="W16" s="337"/>
      <c r="X16" s="337"/>
      <c r="Y16" s="337"/>
      <c r="Z16" s="337"/>
      <c r="AA16" s="337"/>
      <c r="AB16" s="337"/>
      <c r="AC16" s="337"/>
      <c r="AD16" s="337"/>
      <c r="AE16" s="337"/>
      <c r="AF16" s="337"/>
      <c r="AG16" s="337"/>
      <c r="AH16" s="337"/>
      <c r="AI16" s="337"/>
      <c r="AJ16" s="337"/>
      <c r="AK16" s="337"/>
      <c r="AL16" s="337"/>
      <c r="AM16" s="337"/>
      <c r="AN16" s="337"/>
      <c r="AO16" s="337"/>
      <c r="AP16" s="337"/>
      <c r="AQ16" s="337"/>
      <c r="AR16" s="337"/>
      <c r="AS16" s="337"/>
      <c r="AT16" s="337"/>
      <c r="AU16" s="337"/>
      <c r="AV16" s="337"/>
      <c r="AW16" s="337"/>
      <c r="AX16" s="337"/>
      <c r="AY16" s="337"/>
      <c r="AZ16" s="337"/>
      <c r="BA16" s="337"/>
      <c r="BB16" s="337"/>
      <c r="BC16" s="337"/>
      <c r="BD16" s="337"/>
      <c r="BE16" s="337"/>
      <c r="BF16" s="337"/>
      <c r="BG16" s="337"/>
      <c r="BH16" s="337"/>
      <c r="BI16" s="337"/>
      <c r="BJ16" s="337"/>
      <c r="BK16" s="337"/>
      <c r="BL16" s="337"/>
      <c r="BM16" s="337"/>
      <c r="BN16" s="337"/>
      <c r="BO16" s="337"/>
      <c r="BP16" s="337"/>
      <c r="BQ16" s="337"/>
      <c r="BR16" s="337"/>
      <c r="BS16" s="337"/>
      <c r="BT16" s="337"/>
      <c r="BU16" s="337"/>
      <c r="BV16" s="337"/>
      <c r="BW16" s="337"/>
      <c r="BX16" s="337"/>
      <c r="BY16" s="337"/>
      <c r="BZ16" s="337"/>
      <c r="CA16" s="337"/>
      <c r="CB16" s="337"/>
      <c r="CC16" s="337"/>
      <c r="CD16" s="337"/>
      <c r="CE16" s="337"/>
      <c r="CF16" s="337"/>
      <c r="CG16" s="337"/>
      <c r="CH16" s="337"/>
      <c r="CI16" s="337"/>
      <c r="CJ16" s="337"/>
      <c r="CK16" s="337"/>
      <c r="CL16" s="337"/>
      <c r="CM16" s="337"/>
      <c r="CN16" s="337"/>
      <c r="CO16" s="337"/>
      <c r="CP16" s="337"/>
      <c r="CQ16" s="337"/>
      <c r="CR16" s="337"/>
      <c r="CS16" s="337"/>
      <c r="CT16" s="337"/>
      <c r="CU16" s="337"/>
      <c r="CV16" s="337"/>
      <c r="CW16" s="337"/>
      <c r="CX16" s="337"/>
      <c r="CY16" s="337"/>
      <c r="CZ16" s="337"/>
      <c r="DA16" s="337"/>
      <c r="DB16" s="337"/>
      <c r="DC16" s="337"/>
      <c r="DD16" s="337"/>
      <c r="DE16" s="337"/>
      <c r="DF16" s="337"/>
      <c r="DG16" s="337"/>
      <c r="DH16" s="337"/>
    </row>
    <row r="17" spans="2:113" x14ac:dyDescent="0.3">
      <c r="B17" s="401"/>
      <c r="C17" s="402"/>
      <c r="D17" s="403"/>
      <c r="E17" s="536"/>
      <c r="F17" s="536"/>
      <c r="G17" s="536"/>
      <c r="H17" s="536"/>
      <c r="I17" s="536"/>
      <c r="J17" s="536"/>
      <c r="K17" s="536"/>
      <c r="L17" s="536"/>
      <c r="M17" s="536"/>
      <c r="N17" s="536"/>
      <c r="O17" s="536"/>
      <c r="P17" s="536"/>
      <c r="Q17" s="536"/>
      <c r="R17" s="536"/>
      <c r="S17" s="536"/>
      <c r="T17" s="536"/>
      <c r="U17" s="536"/>
      <c r="V17" s="536"/>
      <c r="W17" s="536"/>
      <c r="X17" s="536"/>
      <c r="Y17" s="536"/>
      <c r="Z17" s="536"/>
      <c r="AA17" s="536"/>
      <c r="AB17" s="536"/>
      <c r="AC17" s="536"/>
      <c r="AD17" s="536"/>
      <c r="AE17" s="536"/>
      <c r="AF17" s="536"/>
      <c r="AG17" s="536"/>
      <c r="AH17" s="536"/>
      <c r="AI17" s="536"/>
      <c r="AJ17" s="536"/>
      <c r="AK17" s="536"/>
      <c r="AL17" s="536"/>
      <c r="AM17" s="536"/>
      <c r="AN17" s="536"/>
      <c r="AO17" s="536"/>
      <c r="AP17" s="536"/>
      <c r="AQ17" s="536"/>
      <c r="AR17" s="536"/>
      <c r="AS17" s="536"/>
      <c r="AT17" s="536"/>
      <c r="AU17" s="536"/>
      <c r="AV17" s="536"/>
      <c r="AW17" s="536"/>
      <c r="AX17" s="536"/>
      <c r="AY17" s="536"/>
      <c r="AZ17" s="536"/>
      <c r="BA17" s="536"/>
      <c r="BB17" s="536"/>
      <c r="BC17" s="536"/>
      <c r="BD17" s="536"/>
      <c r="BE17" s="536"/>
      <c r="BF17" s="536"/>
      <c r="BG17" s="536"/>
      <c r="BH17" s="536"/>
      <c r="BI17" s="536"/>
      <c r="BJ17" s="536"/>
      <c r="BK17" s="536"/>
      <c r="BL17" s="536"/>
      <c r="BM17" s="536"/>
      <c r="BN17" s="536"/>
      <c r="BO17" s="536"/>
      <c r="BP17" s="536"/>
      <c r="BQ17" s="536"/>
      <c r="BR17" s="536"/>
      <c r="BS17" s="536"/>
      <c r="BT17" s="536"/>
      <c r="BU17" s="536"/>
      <c r="BV17" s="536"/>
      <c r="BW17" s="536"/>
      <c r="BX17" s="536"/>
      <c r="BY17" s="536"/>
      <c r="BZ17" s="536"/>
      <c r="CA17" s="536"/>
      <c r="CB17" s="536"/>
      <c r="CC17" s="536"/>
      <c r="CD17" s="536"/>
      <c r="CE17" s="536"/>
      <c r="CF17" s="536"/>
      <c r="CG17" s="536"/>
      <c r="CH17" s="536"/>
      <c r="CI17" s="536"/>
      <c r="CJ17" s="536"/>
      <c r="CK17" s="536"/>
      <c r="CL17" s="536"/>
      <c r="CM17" s="536"/>
      <c r="CN17" s="536"/>
      <c r="CO17" s="536"/>
      <c r="CP17" s="536"/>
      <c r="CQ17" s="536"/>
      <c r="CR17" s="536"/>
      <c r="CS17" s="536"/>
      <c r="CT17" s="536"/>
      <c r="CU17" s="536"/>
      <c r="CV17" s="536"/>
      <c r="CW17" s="536"/>
      <c r="CX17" s="536"/>
      <c r="CY17" s="536"/>
      <c r="CZ17" s="536"/>
      <c r="DA17" s="536"/>
      <c r="DB17" s="536"/>
      <c r="DC17" s="536"/>
      <c r="DD17" s="536"/>
      <c r="DE17" s="536"/>
      <c r="DF17" s="536"/>
      <c r="DG17" s="536"/>
      <c r="DH17" s="536"/>
      <c r="DI17" s="411"/>
    </row>
    <row r="18" spans="2:113" x14ac:dyDescent="0.3">
      <c r="B18" s="423" t="s">
        <v>514</v>
      </c>
      <c r="C18" s="385"/>
      <c r="D18" s="356"/>
      <c r="E18" s="356"/>
      <c r="F18" s="356"/>
      <c r="G18" s="356"/>
      <c r="H18" s="356"/>
      <c r="I18" s="356"/>
      <c r="J18" s="356"/>
      <c r="K18" s="356"/>
      <c r="L18" s="356"/>
      <c r="M18" s="356"/>
      <c r="N18" s="356"/>
      <c r="O18" s="356"/>
      <c r="P18" s="356"/>
      <c r="Q18" s="356"/>
      <c r="R18" s="356"/>
      <c r="S18" s="356"/>
      <c r="T18" s="356"/>
      <c r="U18" s="356"/>
      <c r="V18" s="356"/>
      <c r="W18" s="356"/>
      <c r="X18" s="356"/>
      <c r="Y18" s="356"/>
      <c r="Z18" s="356"/>
      <c r="AA18" s="356"/>
      <c r="AB18" s="356"/>
      <c r="AC18" s="356"/>
      <c r="AD18" s="356"/>
      <c r="AE18" s="356"/>
      <c r="AF18" s="356"/>
      <c r="AG18" s="356"/>
      <c r="AH18" s="356"/>
      <c r="AI18" s="356"/>
      <c r="AJ18" s="356"/>
      <c r="AK18" s="356"/>
      <c r="AL18" s="356"/>
      <c r="AM18" s="356"/>
      <c r="AN18" s="356"/>
      <c r="AO18" s="356"/>
      <c r="AP18" s="356"/>
      <c r="AQ18" s="356"/>
      <c r="AR18" s="356"/>
      <c r="AS18" s="356"/>
      <c r="AT18" s="356"/>
      <c r="AU18" s="356"/>
      <c r="AV18" s="356"/>
      <c r="AW18" s="356"/>
      <c r="AX18" s="356"/>
      <c r="AY18" s="356"/>
      <c r="AZ18" s="356"/>
      <c r="BA18" s="356"/>
      <c r="BB18" s="356"/>
      <c r="BC18" s="356"/>
      <c r="BD18" s="356"/>
      <c r="BE18" s="356"/>
      <c r="BF18" s="356"/>
      <c r="BG18" s="356"/>
      <c r="BH18" s="356"/>
      <c r="BI18" s="356"/>
      <c r="BJ18" s="356"/>
      <c r="BK18" s="356"/>
      <c r="BL18" s="356"/>
      <c r="BM18" s="356"/>
      <c r="BN18" s="356"/>
      <c r="BO18" s="356"/>
      <c r="BP18" s="356"/>
      <c r="BQ18" s="356"/>
      <c r="BR18" s="356"/>
      <c r="BS18" s="356"/>
      <c r="BT18" s="356"/>
      <c r="BU18" s="356"/>
      <c r="BV18" s="356"/>
      <c r="BW18" s="356"/>
      <c r="BX18" s="356"/>
      <c r="BY18" s="356"/>
      <c r="BZ18" s="356"/>
      <c r="CA18" s="356"/>
      <c r="CB18" s="356"/>
      <c r="CC18" s="356"/>
      <c r="CD18" s="356"/>
      <c r="CE18" s="356"/>
      <c r="CF18" s="356"/>
      <c r="CG18" s="356"/>
      <c r="CH18" s="356"/>
      <c r="CI18" s="356"/>
      <c r="CJ18" s="356"/>
      <c r="CK18" s="356"/>
      <c r="CL18" s="356"/>
      <c r="CM18" s="356"/>
      <c r="CN18" s="356"/>
      <c r="CO18" s="356"/>
      <c r="CP18" s="356"/>
      <c r="CQ18" s="356"/>
      <c r="CR18" s="356"/>
      <c r="CS18" s="356"/>
      <c r="CT18" s="356"/>
      <c r="CU18" s="356"/>
      <c r="CV18" s="356"/>
      <c r="CW18" s="356"/>
      <c r="CX18" s="356"/>
      <c r="CY18" s="356"/>
      <c r="CZ18" s="356"/>
      <c r="DA18" s="356"/>
      <c r="DB18" s="356"/>
      <c r="DC18" s="356"/>
      <c r="DD18" s="356"/>
      <c r="DE18" s="356"/>
      <c r="DF18" s="356"/>
      <c r="DG18" s="356"/>
      <c r="DH18" s="356"/>
      <c r="DI18" s="537"/>
    </row>
    <row r="19" spans="2:113" x14ac:dyDescent="0.3">
      <c r="B19" s="406"/>
      <c r="C19" s="375" t="s">
        <v>520</v>
      </c>
      <c r="E19" s="345">
        <f>'Table 3.0'!J14</f>
        <v>1127750.06</v>
      </c>
      <c r="F19" s="345">
        <f>E19</f>
        <v>1127750.06</v>
      </c>
      <c r="G19" s="345">
        <f t="shared" ref="G19:AN19" si="20">F19</f>
        <v>1127750.06</v>
      </c>
      <c r="H19" s="345">
        <f t="shared" si="20"/>
        <v>1127750.06</v>
      </c>
      <c r="I19" s="345">
        <f t="shared" si="20"/>
        <v>1127750.06</v>
      </c>
      <c r="J19" s="345">
        <f t="shared" si="20"/>
        <v>1127750.06</v>
      </c>
      <c r="K19" s="345">
        <f t="shared" si="20"/>
        <v>1127750.06</v>
      </c>
      <c r="L19" s="345">
        <f t="shared" si="20"/>
        <v>1127750.06</v>
      </c>
      <c r="M19" s="345">
        <f t="shared" si="20"/>
        <v>1127750.06</v>
      </c>
      <c r="N19" s="345">
        <f t="shared" si="20"/>
        <v>1127750.06</v>
      </c>
      <c r="O19" s="345">
        <f t="shared" si="20"/>
        <v>1127750.06</v>
      </c>
      <c r="P19" s="345">
        <f t="shared" si="20"/>
        <v>1127750.06</v>
      </c>
      <c r="Q19" s="345">
        <f t="shared" si="20"/>
        <v>1127750.06</v>
      </c>
      <c r="R19" s="345">
        <f t="shared" si="20"/>
        <v>1127750.06</v>
      </c>
      <c r="S19" s="345">
        <f t="shared" si="20"/>
        <v>1127750.06</v>
      </c>
      <c r="T19" s="345">
        <f t="shared" si="20"/>
        <v>1127750.06</v>
      </c>
      <c r="U19" s="345">
        <f t="shared" si="20"/>
        <v>1127750.06</v>
      </c>
      <c r="V19" s="345">
        <f t="shared" si="20"/>
        <v>1127750.06</v>
      </c>
      <c r="W19" s="345">
        <f t="shared" si="20"/>
        <v>1127750.06</v>
      </c>
      <c r="X19" s="345">
        <f t="shared" si="20"/>
        <v>1127750.06</v>
      </c>
      <c r="Y19" s="345">
        <f t="shared" si="20"/>
        <v>1127750.06</v>
      </c>
      <c r="Z19" s="345">
        <f t="shared" si="20"/>
        <v>1127750.06</v>
      </c>
      <c r="AA19" s="345">
        <f t="shared" si="20"/>
        <v>1127750.06</v>
      </c>
      <c r="AB19" s="345">
        <f t="shared" si="20"/>
        <v>1127750.06</v>
      </c>
      <c r="AC19" s="345">
        <f t="shared" si="20"/>
        <v>1127750.06</v>
      </c>
      <c r="AD19" s="345">
        <f t="shared" si="20"/>
        <v>1127750.06</v>
      </c>
      <c r="AE19" s="345">
        <f t="shared" si="20"/>
        <v>1127750.06</v>
      </c>
      <c r="AF19" s="345">
        <f t="shared" si="20"/>
        <v>1127750.06</v>
      </c>
      <c r="AG19" s="345">
        <f t="shared" si="20"/>
        <v>1127750.06</v>
      </c>
      <c r="AH19" s="345">
        <f t="shared" si="20"/>
        <v>1127750.06</v>
      </c>
      <c r="AI19" s="345">
        <f t="shared" si="20"/>
        <v>1127750.06</v>
      </c>
      <c r="AJ19" s="345">
        <f t="shared" si="20"/>
        <v>1127750.06</v>
      </c>
      <c r="AK19" s="345">
        <f t="shared" si="20"/>
        <v>1127750.06</v>
      </c>
      <c r="AL19" s="345">
        <f t="shared" si="20"/>
        <v>1127750.06</v>
      </c>
      <c r="AM19" s="345">
        <f t="shared" si="20"/>
        <v>1127750.06</v>
      </c>
      <c r="AN19" s="345">
        <f t="shared" si="20"/>
        <v>1127750.06</v>
      </c>
      <c r="AO19" s="345">
        <f t="shared" ref="AO19" si="21">AN19</f>
        <v>1127750.06</v>
      </c>
      <c r="AP19" s="345">
        <f t="shared" ref="AP19" si="22">AO19</f>
        <v>1127750.06</v>
      </c>
      <c r="AQ19" s="345">
        <f t="shared" ref="AQ19" si="23">AP19</f>
        <v>1127750.06</v>
      </c>
      <c r="AR19" s="345">
        <f t="shared" ref="AR19" si="24">AQ19</f>
        <v>1127750.06</v>
      </c>
      <c r="AS19" s="345">
        <f t="shared" ref="AS19" si="25">AR19</f>
        <v>1127750.06</v>
      </c>
      <c r="AT19" s="345">
        <f t="shared" ref="AT19" si="26">AS19</f>
        <v>1127750.06</v>
      </c>
      <c r="AU19" s="345">
        <f t="shared" ref="AU19" si="27">AT19</f>
        <v>1127750.06</v>
      </c>
      <c r="AV19" s="345">
        <f t="shared" ref="AV19" si="28">AU19</f>
        <v>1127750.06</v>
      </c>
      <c r="AW19" s="345">
        <f t="shared" ref="AW19" si="29">AV19</f>
        <v>1127750.06</v>
      </c>
      <c r="AX19" s="345">
        <f t="shared" ref="AX19" si="30">AW19</f>
        <v>1127750.06</v>
      </c>
      <c r="AY19" s="345">
        <f t="shared" ref="AY19" si="31">AX19</f>
        <v>1127750.06</v>
      </c>
      <c r="AZ19" s="345">
        <f t="shared" ref="AZ19" si="32">AY19</f>
        <v>1127750.06</v>
      </c>
      <c r="BA19" s="345">
        <f t="shared" ref="BA19" si="33">AZ19</f>
        <v>1127750.06</v>
      </c>
      <c r="BB19" s="345">
        <f t="shared" ref="BB19" si="34">BA19</f>
        <v>1127750.06</v>
      </c>
      <c r="BC19" s="345">
        <f t="shared" ref="BC19" si="35">BB19</f>
        <v>1127750.06</v>
      </c>
      <c r="BD19" s="345">
        <f t="shared" ref="BD19" si="36">BC19</f>
        <v>1127750.06</v>
      </c>
      <c r="BE19" s="345">
        <f t="shared" ref="BE19" si="37">BD19</f>
        <v>1127750.06</v>
      </c>
      <c r="BF19" s="345">
        <f t="shared" ref="BF19" si="38">BE19</f>
        <v>1127750.06</v>
      </c>
      <c r="BG19" s="345">
        <f t="shared" ref="BG19" si="39">BF19</f>
        <v>1127750.06</v>
      </c>
      <c r="BH19" s="345">
        <f t="shared" ref="BH19" si="40">BG19</f>
        <v>1127750.06</v>
      </c>
      <c r="BI19" s="345">
        <f t="shared" ref="BI19" si="41">BH19</f>
        <v>1127750.06</v>
      </c>
      <c r="BJ19" s="345">
        <f t="shared" ref="BJ19" si="42">BI19</f>
        <v>1127750.06</v>
      </c>
      <c r="BK19" s="345">
        <f t="shared" ref="BK19" si="43">BJ19</f>
        <v>1127750.06</v>
      </c>
      <c r="BL19" s="345">
        <f t="shared" ref="BL19" si="44">BK19</f>
        <v>1127750.06</v>
      </c>
      <c r="BM19" s="345">
        <f t="shared" ref="BM19" si="45">BL19</f>
        <v>1127750.06</v>
      </c>
      <c r="BN19" s="345">
        <f t="shared" ref="BN19" si="46">BM19</f>
        <v>1127750.06</v>
      </c>
      <c r="BO19" s="345">
        <f t="shared" ref="BO19" si="47">BN19</f>
        <v>1127750.06</v>
      </c>
      <c r="BP19" s="345">
        <f t="shared" ref="BP19" si="48">BO19</f>
        <v>1127750.06</v>
      </c>
      <c r="BQ19" s="345">
        <f t="shared" ref="BQ19" si="49">BP19</f>
        <v>1127750.06</v>
      </c>
      <c r="BR19" s="345">
        <f t="shared" ref="BR19" si="50">BQ19</f>
        <v>1127750.06</v>
      </c>
      <c r="BS19" s="345">
        <f t="shared" ref="BS19" si="51">BR19</f>
        <v>1127750.06</v>
      </c>
      <c r="BT19" s="345">
        <f t="shared" ref="BT19" si="52">BS19</f>
        <v>1127750.06</v>
      </c>
      <c r="BU19" s="345">
        <f t="shared" ref="BU19" si="53">BT19</f>
        <v>1127750.06</v>
      </c>
      <c r="BV19" s="345">
        <f t="shared" ref="BV19" si="54">BU19</f>
        <v>1127750.06</v>
      </c>
      <c r="BW19" s="345">
        <f t="shared" ref="BW19" si="55">BV19</f>
        <v>1127750.06</v>
      </c>
      <c r="BX19" s="345">
        <f t="shared" ref="BX19" si="56">BW19</f>
        <v>1127750.06</v>
      </c>
      <c r="BY19" s="345">
        <f t="shared" ref="BY19" si="57">BX19</f>
        <v>1127750.06</v>
      </c>
      <c r="BZ19" s="345">
        <f t="shared" ref="BZ19" si="58">BY19</f>
        <v>1127750.06</v>
      </c>
      <c r="CA19" s="345">
        <f t="shared" ref="CA19" si="59">BZ19</f>
        <v>1127750.06</v>
      </c>
      <c r="CB19" s="345">
        <f t="shared" ref="CB19" si="60">CA19</f>
        <v>1127750.06</v>
      </c>
      <c r="CC19" s="345">
        <f t="shared" ref="CC19" si="61">CB19</f>
        <v>1127750.06</v>
      </c>
      <c r="CD19" s="345">
        <f t="shared" ref="CD19" si="62">CC19</f>
        <v>1127750.06</v>
      </c>
      <c r="CE19" s="345">
        <f t="shared" ref="CE19" si="63">CD19</f>
        <v>1127750.06</v>
      </c>
      <c r="CF19" s="345">
        <f t="shared" ref="CF19" si="64">CE19</f>
        <v>1127750.06</v>
      </c>
      <c r="CG19" s="345">
        <f t="shared" ref="CG19" si="65">CF19</f>
        <v>1127750.06</v>
      </c>
      <c r="CH19" s="345">
        <f t="shared" ref="CH19" si="66">CG19</f>
        <v>1127750.06</v>
      </c>
      <c r="CI19" s="345">
        <f t="shared" ref="CI19" si="67">CH19</f>
        <v>1127750.06</v>
      </c>
      <c r="CJ19" s="345">
        <f t="shared" ref="CJ19" si="68">CI19</f>
        <v>1127750.06</v>
      </c>
      <c r="CK19" s="345">
        <f t="shared" ref="CK19" si="69">CJ19</f>
        <v>1127750.06</v>
      </c>
      <c r="CL19" s="345">
        <f t="shared" ref="CL19" si="70">CK19</f>
        <v>1127750.06</v>
      </c>
      <c r="CM19" s="345">
        <f t="shared" ref="CM19" si="71">CL19</f>
        <v>1127750.06</v>
      </c>
      <c r="CN19" s="345">
        <f t="shared" ref="CN19" si="72">CM19</f>
        <v>1127750.06</v>
      </c>
      <c r="CO19" s="345">
        <f t="shared" ref="CO19" si="73">CN19</f>
        <v>1127750.06</v>
      </c>
      <c r="CP19" s="345">
        <f t="shared" ref="CP19" si="74">CO19</f>
        <v>1127750.06</v>
      </c>
      <c r="CQ19" s="345">
        <f t="shared" ref="CQ19" si="75">CP19</f>
        <v>1127750.06</v>
      </c>
      <c r="CR19" s="345">
        <f t="shared" ref="CR19" si="76">CQ19</f>
        <v>1127750.06</v>
      </c>
      <c r="CS19" s="345">
        <f t="shared" ref="CS19" si="77">CR19</f>
        <v>1127750.06</v>
      </c>
      <c r="CT19" s="345">
        <f t="shared" ref="CT19" si="78">CS19</f>
        <v>1127750.06</v>
      </c>
      <c r="CU19" s="345">
        <f t="shared" ref="CU19" si="79">CT19</f>
        <v>1127750.06</v>
      </c>
      <c r="CV19" s="345">
        <f t="shared" ref="CV19" si="80">CU19</f>
        <v>1127750.06</v>
      </c>
      <c r="CW19" s="345">
        <f t="shared" ref="CW19" si="81">CV19</f>
        <v>1127750.06</v>
      </c>
      <c r="CX19" s="345">
        <f t="shared" ref="CX19" si="82">CW19</f>
        <v>1127750.06</v>
      </c>
      <c r="CY19" s="345">
        <f t="shared" ref="CY19" si="83">CX19</f>
        <v>1127750.06</v>
      </c>
      <c r="CZ19" s="345">
        <f t="shared" ref="CZ19" si="84">CY19</f>
        <v>1127750.06</v>
      </c>
      <c r="DA19" s="345">
        <f t="shared" ref="DA19" si="85">CZ19</f>
        <v>1127750.06</v>
      </c>
      <c r="DB19" s="345">
        <f t="shared" ref="DB19" si="86">DA19</f>
        <v>1127750.06</v>
      </c>
      <c r="DC19" s="345">
        <f t="shared" ref="DC19" si="87">DB19</f>
        <v>1127750.06</v>
      </c>
      <c r="DD19" s="345">
        <f t="shared" ref="DD19" si="88">DC19</f>
        <v>1127750.06</v>
      </c>
      <c r="DE19" s="345">
        <f t="shared" ref="DE19" si="89">DD19</f>
        <v>1127750.06</v>
      </c>
      <c r="DF19" s="345">
        <f t="shared" ref="DF19" si="90">DE19</f>
        <v>1127750.06</v>
      </c>
      <c r="DG19" s="345">
        <f t="shared" ref="DG19" si="91">DF19</f>
        <v>1127750.06</v>
      </c>
      <c r="DH19" s="345">
        <f t="shared" ref="DH19" si="92">DG19</f>
        <v>1127750.06</v>
      </c>
      <c r="DI19" s="537"/>
    </row>
    <row r="20" spans="2:113" x14ac:dyDescent="0.3">
      <c r="B20" s="406"/>
      <c r="C20" s="375" t="s">
        <v>324</v>
      </c>
      <c r="E20" s="345">
        <f>Balances!I45</f>
        <v>932633.16666666674</v>
      </c>
      <c r="F20" s="345">
        <f>Balances!J45</f>
        <v>666358.33333333349</v>
      </c>
      <c r="G20" s="345">
        <f>Balances!K45</f>
        <v>453726.00000000012</v>
      </c>
      <c r="H20" s="345">
        <f>Balances!L45</f>
        <v>172906.4166666668</v>
      </c>
      <c r="I20" s="345">
        <f>Balances!M45</f>
        <v>0</v>
      </c>
      <c r="J20" s="345">
        <f>Balances!N45</f>
        <v>0</v>
      </c>
      <c r="K20" s="345">
        <f>Balances!O45</f>
        <v>0</v>
      </c>
      <c r="L20" s="345">
        <f>Balances!P45</f>
        <v>0</v>
      </c>
      <c r="M20" s="345">
        <f>Balances!Q45</f>
        <v>0</v>
      </c>
      <c r="N20" s="345">
        <f>Balances!R45</f>
        <v>0</v>
      </c>
      <c r="O20" s="345">
        <f>Balances!S45</f>
        <v>0</v>
      </c>
      <c r="P20" s="345">
        <f>Balances!T45</f>
        <v>0</v>
      </c>
      <c r="Q20" s="345">
        <f>Balances!U45</f>
        <v>0</v>
      </c>
      <c r="R20" s="345">
        <f>Balances!V45</f>
        <v>0</v>
      </c>
      <c r="S20" s="345">
        <f>Balances!W45</f>
        <v>0</v>
      </c>
      <c r="T20" s="345">
        <f>Balances!X45</f>
        <v>0</v>
      </c>
      <c r="U20" s="345">
        <f>Balances!Y45</f>
        <v>0</v>
      </c>
      <c r="V20" s="345">
        <f>Balances!Z45</f>
        <v>0</v>
      </c>
      <c r="W20" s="345">
        <f>Balances!AA45</f>
        <v>0</v>
      </c>
      <c r="X20" s="345">
        <f>Balances!AB45</f>
        <v>0</v>
      </c>
      <c r="Y20" s="345">
        <f>Balances!AC45</f>
        <v>0</v>
      </c>
      <c r="Z20" s="345">
        <f>Balances!AD45</f>
        <v>0</v>
      </c>
      <c r="AA20" s="345">
        <f>Balances!AE45</f>
        <v>0</v>
      </c>
      <c r="AB20" s="345">
        <f>Balances!AF45</f>
        <v>0</v>
      </c>
      <c r="AC20" s="345">
        <f>Balances!AG45</f>
        <v>0</v>
      </c>
      <c r="AD20" s="345">
        <f>Balances!AH45</f>
        <v>0</v>
      </c>
      <c r="AE20" s="345">
        <f>Balances!AI45</f>
        <v>0</v>
      </c>
      <c r="AF20" s="345">
        <f>Balances!AJ45</f>
        <v>0</v>
      </c>
      <c r="AG20" s="345">
        <f>Balances!AK45</f>
        <v>0</v>
      </c>
      <c r="AH20" s="345">
        <f>Balances!AL45</f>
        <v>0</v>
      </c>
      <c r="AI20" s="345">
        <f>Balances!AM45</f>
        <v>0</v>
      </c>
      <c r="AJ20" s="345">
        <f>Balances!AN45</f>
        <v>0</v>
      </c>
      <c r="AK20" s="345">
        <f>Balances!AO45</f>
        <v>0</v>
      </c>
      <c r="AL20" s="345">
        <f>Balances!AP45</f>
        <v>0</v>
      </c>
      <c r="AM20" s="345">
        <f>Balances!AQ45</f>
        <v>0</v>
      </c>
      <c r="AN20" s="345">
        <f>Balances!AR45</f>
        <v>0</v>
      </c>
      <c r="AO20" s="345">
        <f>Balances!DM45</f>
        <v>0</v>
      </c>
      <c r="AP20" s="345">
        <f>Balances!DN45</f>
        <v>0</v>
      </c>
      <c r="AQ20" s="345">
        <f>Balances!DO45</f>
        <v>0</v>
      </c>
      <c r="AR20" s="345">
        <f>Balances!DP45</f>
        <v>0</v>
      </c>
      <c r="AS20" s="345">
        <f>Balances!DQ45</f>
        <v>0</v>
      </c>
      <c r="AT20" s="345">
        <f>Balances!DR45</f>
        <v>0</v>
      </c>
      <c r="AU20" s="345">
        <f>Balances!DS45</f>
        <v>0</v>
      </c>
      <c r="AV20" s="345">
        <f>Balances!DT45</f>
        <v>0</v>
      </c>
      <c r="AW20" s="345">
        <f>Balances!DU45</f>
        <v>0</v>
      </c>
      <c r="AX20" s="345">
        <f>Balances!DV45</f>
        <v>0</v>
      </c>
      <c r="AY20" s="345">
        <f>Balances!DW45</f>
        <v>0</v>
      </c>
      <c r="AZ20" s="345">
        <f>Balances!DX45</f>
        <v>0</v>
      </c>
      <c r="BA20" s="345">
        <f>Balances!DY45</f>
        <v>0</v>
      </c>
      <c r="BB20" s="345">
        <f>Balances!DZ45</f>
        <v>0</v>
      </c>
      <c r="BC20" s="345">
        <f>Balances!EA45</f>
        <v>0</v>
      </c>
      <c r="BD20" s="345">
        <f>Balances!EB45</f>
        <v>0</v>
      </c>
      <c r="BE20" s="345">
        <f>Balances!EC45</f>
        <v>0</v>
      </c>
      <c r="BF20" s="345">
        <f>Balances!ED45</f>
        <v>0</v>
      </c>
      <c r="BG20" s="345">
        <f>Balances!EE45</f>
        <v>0</v>
      </c>
      <c r="BH20" s="345">
        <f>Balances!EF45</f>
        <v>0</v>
      </c>
      <c r="BI20" s="345">
        <f>Balances!EG45</f>
        <v>0</v>
      </c>
      <c r="BJ20" s="345">
        <f>Balances!EH45</f>
        <v>0</v>
      </c>
      <c r="BK20" s="345">
        <f>Balances!EI45</f>
        <v>0</v>
      </c>
      <c r="BL20" s="345">
        <f>Balances!EJ45</f>
        <v>0</v>
      </c>
      <c r="BM20" s="345">
        <f>Balances!EK45</f>
        <v>0</v>
      </c>
      <c r="BN20" s="345">
        <f>Balances!EL45</f>
        <v>0</v>
      </c>
      <c r="BO20" s="345">
        <f>Balances!EM45</f>
        <v>0</v>
      </c>
      <c r="BP20" s="345">
        <f>Balances!EN45</f>
        <v>0</v>
      </c>
      <c r="BQ20" s="345">
        <f>Balances!EO45</f>
        <v>0</v>
      </c>
      <c r="BR20" s="345">
        <f>Balances!EP45</f>
        <v>0</v>
      </c>
      <c r="BS20" s="345">
        <f>Balances!EQ45</f>
        <v>0</v>
      </c>
      <c r="BT20" s="345">
        <f>Balances!ER45</f>
        <v>0</v>
      </c>
      <c r="BU20" s="345">
        <f>Balances!ES45</f>
        <v>0</v>
      </c>
      <c r="BV20" s="345">
        <f>Balances!ET45</f>
        <v>0</v>
      </c>
      <c r="BW20" s="345">
        <f>Balances!EU45</f>
        <v>0</v>
      </c>
      <c r="BX20" s="345">
        <f>Balances!EV45</f>
        <v>0</v>
      </c>
      <c r="BY20" s="345">
        <f>Balances!EW45</f>
        <v>0</v>
      </c>
      <c r="BZ20" s="345">
        <f>Balances!EX45</f>
        <v>0</v>
      </c>
      <c r="CA20" s="345">
        <f>Balances!EY45</f>
        <v>0</v>
      </c>
      <c r="CB20" s="345">
        <f>Balances!EZ45</f>
        <v>0</v>
      </c>
      <c r="CC20" s="345">
        <f>Balances!FA45</f>
        <v>0</v>
      </c>
      <c r="CD20" s="345">
        <f>Balances!FB45</f>
        <v>0</v>
      </c>
      <c r="CE20" s="345">
        <f>Balances!FC45</f>
        <v>0</v>
      </c>
      <c r="CF20" s="345">
        <f>Balances!FD45</f>
        <v>0</v>
      </c>
      <c r="CG20" s="345">
        <f>Balances!FE45</f>
        <v>0</v>
      </c>
      <c r="CH20" s="345">
        <f>Balances!FF45</f>
        <v>0</v>
      </c>
      <c r="CI20" s="345">
        <f>Balances!FG45</f>
        <v>0</v>
      </c>
      <c r="CJ20" s="345">
        <f>Balances!FH45</f>
        <v>0</v>
      </c>
      <c r="CK20" s="345">
        <f>Balances!FI45</f>
        <v>0</v>
      </c>
      <c r="CL20" s="345">
        <f>Balances!FJ45</f>
        <v>0</v>
      </c>
      <c r="CM20" s="345">
        <f>Balances!FK45</f>
        <v>0</v>
      </c>
      <c r="CN20" s="345">
        <f>Balances!FL45</f>
        <v>0</v>
      </c>
      <c r="CO20" s="345">
        <f>Balances!FM45</f>
        <v>0</v>
      </c>
      <c r="CP20" s="345">
        <f>Balances!FN45</f>
        <v>0</v>
      </c>
      <c r="CQ20" s="345">
        <f>Balances!FO45</f>
        <v>0</v>
      </c>
      <c r="CR20" s="345">
        <f>Balances!FP45</f>
        <v>0</v>
      </c>
      <c r="CS20" s="345">
        <f>Balances!FQ45</f>
        <v>0</v>
      </c>
      <c r="CT20" s="345">
        <f>Balances!FR45</f>
        <v>0</v>
      </c>
      <c r="CU20" s="345">
        <f>Balances!FS45</f>
        <v>0</v>
      </c>
      <c r="CV20" s="345">
        <f>Balances!FT45</f>
        <v>0</v>
      </c>
      <c r="CW20" s="345">
        <f>Balances!FU45</f>
        <v>0</v>
      </c>
      <c r="CX20" s="345">
        <f>Balances!FV45</f>
        <v>0</v>
      </c>
      <c r="CY20" s="345">
        <f>Balances!FW45</f>
        <v>0</v>
      </c>
      <c r="CZ20" s="345">
        <f>Balances!FX45</f>
        <v>0</v>
      </c>
      <c r="DA20" s="345">
        <f>Balances!FY45</f>
        <v>0</v>
      </c>
      <c r="DB20" s="345">
        <f>Balances!FZ45</f>
        <v>0</v>
      </c>
      <c r="DC20" s="345">
        <f>Balances!GA45</f>
        <v>0</v>
      </c>
      <c r="DD20" s="345">
        <f>Balances!GB45</f>
        <v>0</v>
      </c>
      <c r="DE20" s="345">
        <f>Balances!GC45</f>
        <v>0</v>
      </c>
      <c r="DF20" s="345">
        <f>Balances!GD45</f>
        <v>0</v>
      </c>
      <c r="DG20" s="345">
        <f>Balances!GE45</f>
        <v>0</v>
      </c>
      <c r="DH20" s="345">
        <f>Balances!GF45</f>
        <v>0</v>
      </c>
      <c r="DI20" s="537"/>
    </row>
    <row r="21" spans="2:113" x14ac:dyDescent="0.3">
      <c r="B21" s="409"/>
      <c r="C21" s="384" t="s">
        <v>522</v>
      </c>
      <c r="D21" s="342"/>
      <c r="E21" s="347">
        <f>-(Balances!I67+Balances!I93)</f>
        <v>0</v>
      </c>
      <c r="F21" s="347">
        <f>-(Balances!J67+Balances!J93)</f>
        <v>0</v>
      </c>
      <c r="G21" s="347">
        <f>-(Balances!K67+Balances!K93)</f>
        <v>0</v>
      </c>
      <c r="H21" s="347">
        <f>-(Balances!L67+Balances!L93)</f>
        <v>0</v>
      </c>
      <c r="I21" s="347">
        <f>-(Balances!M67+Balances!M93)</f>
        <v>0</v>
      </c>
      <c r="J21" s="347">
        <f>-(Balances!N67+Balances!N93)</f>
        <v>0</v>
      </c>
      <c r="K21" s="347">
        <f>-(Balances!O67+Balances!O93)</f>
        <v>0</v>
      </c>
      <c r="L21" s="347">
        <f>-(Balances!P67+Balances!P93)</f>
        <v>0</v>
      </c>
      <c r="M21" s="347">
        <f>-(Balances!Q67+Balances!Q93)</f>
        <v>0</v>
      </c>
      <c r="N21" s="347">
        <f>-(Balances!R67+Balances!R93)</f>
        <v>0</v>
      </c>
      <c r="O21" s="347">
        <f>-(Balances!S67+Balances!S93)</f>
        <v>0</v>
      </c>
      <c r="P21" s="347">
        <f>-(Balances!T67+Balances!T93)</f>
        <v>0</v>
      </c>
      <c r="Q21" s="347">
        <f>-(Balances!U67+Balances!U93)</f>
        <v>0</v>
      </c>
      <c r="R21" s="347">
        <f>-(Balances!V67+Balances!V93)</f>
        <v>0</v>
      </c>
      <c r="S21" s="347">
        <f>-(Balances!W67+Balances!W93)</f>
        <v>0</v>
      </c>
      <c r="T21" s="347">
        <f>-(Balances!X67+Balances!X93)</f>
        <v>0</v>
      </c>
      <c r="U21" s="347">
        <f>-(Balances!Y67+Balances!Y93)</f>
        <v>0</v>
      </c>
      <c r="V21" s="347">
        <f>-(Balances!Z67+Balances!Z93)</f>
        <v>0</v>
      </c>
      <c r="W21" s="347">
        <f>-(Balances!AA67+Balances!AA93)</f>
        <v>0</v>
      </c>
      <c r="X21" s="347">
        <f>-(Balances!AB67+Balances!AB93)</f>
        <v>0</v>
      </c>
      <c r="Y21" s="347">
        <f>-(Balances!AC67+Balances!AC93)</f>
        <v>0</v>
      </c>
      <c r="Z21" s="347">
        <f>-(Balances!AD67+Balances!AD93)</f>
        <v>0</v>
      </c>
      <c r="AA21" s="347">
        <f>-(Balances!AE67+Balances!AE93)</f>
        <v>0</v>
      </c>
      <c r="AB21" s="347">
        <f>-(Balances!AF67+Balances!AF93)</f>
        <v>0</v>
      </c>
      <c r="AC21" s="347">
        <f>-(Balances!AG67+Balances!AG93)</f>
        <v>0</v>
      </c>
      <c r="AD21" s="347">
        <f>-(Balances!AH67+Balances!AH93)</f>
        <v>0</v>
      </c>
      <c r="AE21" s="347">
        <f>-(Balances!AI67+Balances!AI93)</f>
        <v>0</v>
      </c>
      <c r="AF21" s="347">
        <f>-(Balances!AJ67+Balances!AJ93)</f>
        <v>0</v>
      </c>
      <c r="AG21" s="347">
        <f>-(Balances!AK67+Balances!AK93)</f>
        <v>0</v>
      </c>
      <c r="AH21" s="347">
        <f>-(Balances!AL67+Balances!AL93)</f>
        <v>0</v>
      </c>
      <c r="AI21" s="347">
        <f>-(Balances!AM67+Balances!AM93)</f>
        <v>0</v>
      </c>
      <c r="AJ21" s="347">
        <f>-(Balances!AN67+Balances!AN93)</f>
        <v>0</v>
      </c>
      <c r="AK21" s="347">
        <f>-(Balances!AO67+Balances!AO93)</f>
        <v>0</v>
      </c>
      <c r="AL21" s="347">
        <f>-(Balances!AP67+Balances!AP93)</f>
        <v>0</v>
      </c>
      <c r="AM21" s="347">
        <f>-(Balances!AQ67+Balances!AQ93)</f>
        <v>0</v>
      </c>
      <c r="AN21" s="347">
        <f>-(Balances!AR67+Balances!AR93)</f>
        <v>0</v>
      </c>
      <c r="AO21" s="347">
        <f>-(Balances!DM67+Balances!DM93)</f>
        <v>0</v>
      </c>
      <c r="AP21" s="347">
        <f>-(Balances!DN67+Balances!DN93)</f>
        <v>0</v>
      </c>
      <c r="AQ21" s="347">
        <f>-(Balances!DO67+Balances!DO93)</f>
        <v>0</v>
      </c>
      <c r="AR21" s="347">
        <f>-(Balances!DP67+Balances!DP93)</f>
        <v>0</v>
      </c>
      <c r="AS21" s="347">
        <f>-(Balances!DQ67+Balances!DQ93)</f>
        <v>0</v>
      </c>
      <c r="AT21" s="347">
        <f>-(Balances!DR67+Balances!DR93)</f>
        <v>0</v>
      </c>
      <c r="AU21" s="347">
        <f>-(Balances!DS67+Balances!DS93)</f>
        <v>0</v>
      </c>
      <c r="AV21" s="347">
        <f>-(Balances!DT67+Balances!DT93)</f>
        <v>0</v>
      </c>
      <c r="AW21" s="347">
        <f>-(Balances!DU67+Balances!DU93)</f>
        <v>0</v>
      </c>
      <c r="AX21" s="347">
        <f>-(Balances!DV67+Balances!DV93)</f>
        <v>0</v>
      </c>
      <c r="AY21" s="347">
        <f>-(Balances!DW67+Balances!DW93)</f>
        <v>0</v>
      </c>
      <c r="AZ21" s="347">
        <f>-(Balances!DX67+Balances!DX93)</f>
        <v>0</v>
      </c>
      <c r="BA21" s="347">
        <f>-(Balances!DY67+Balances!DY93)</f>
        <v>0</v>
      </c>
      <c r="BB21" s="347">
        <f>-(Balances!DZ67+Balances!DZ93)</f>
        <v>0</v>
      </c>
      <c r="BC21" s="347">
        <f>-(Balances!EA67+Balances!EA93)</f>
        <v>0</v>
      </c>
      <c r="BD21" s="347">
        <f>-(Balances!EB67+Balances!EB93)</f>
        <v>0</v>
      </c>
      <c r="BE21" s="347">
        <f>-(Balances!EC67+Balances!EC93)</f>
        <v>0</v>
      </c>
      <c r="BF21" s="347">
        <f>-(Balances!ED67+Balances!ED93)</f>
        <v>0</v>
      </c>
      <c r="BG21" s="347">
        <f>-(Balances!EE67+Balances!EE93)</f>
        <v>0</v>
      </c>
      <c r="BH21" s="347">
        <f>-(Balances!EF67+Balances!EF93)</f>
        <v>0</v>
      </c>
      <c r="BI21" s="347">
        <f>-(Balances!EG67+Balances!EG93)</f>
        <v>0</v>
      </c>
      <c r="BJ21" s="347">
        <f>-(Balances!EH67+Balances!EH93)</f>
        <v>0</v>
      </c>
      <c r="BK21" s="347">
        <f>-(Balances!EI67+Balances!EI93)</f>
        <v>0</v>
      </c>
      <c r="BL21" s="347">
        <f>-(Balances!EJ67+Balances!EJ93)</f>
        <v>0</v>
      </c>
      <c r="BM21" s="347">
        <f>-(Balances!EK67+Balances!EK93)</f>
        <v>0</v>
      </c>
      <c r="BN21" s="347">
        <f>-(Balances!EL67+Balances!EL93)</f>
        <v>0</v>
      </c>
      <c r="BO21" s="347">
        <f>-(Balances!EM67+Balances!EM93)</f>
        <v>0</v>
      </c>
      <c r="BP21" s="347">
        <f>-(Balances!EN67+Balances!EN93)</f>
        <v>0</v>
      </c>
      <c r="BQ21" s="347">
        <f>-(Balances!EO67+Balances!EO93)</f>
        <v>0</v>
      </c>
      <c r="BR21" s="347">
        <f>-(Balances!EP67+Balances!EP93)</f>
        <v>0</v>
      </c>
      <c r="BS21" s="347">
        <f>-(Balances!EQ67+Balances!EQ93)</f>
        <v>0</v>
      </c>
      <c r="BT21" s="347">
        <f>-(Balances!ER67+Balances!ER93)</f>
        <v>0</v>
      </c>
      <c r="BU21" s="347">
        <f>-(Balances!ES67+Balances!ES93)</f>
        <v>0</v>
      </c>
      <c r="BV21" s="347">
        <f>-(Balances!ET67+Balances!ET93)</f>
        <v>0</v>
      </c>
      <c r="BW21" s="347">
        <f>-(Balances!EU67+Balances!EU93)</f>
        <v>0</v>
      </c>
      <c r="BX21" s="347">
        <f>-(Balances!EV67+Balances!EV93)</f>
        <v>0</v>
      </c>
      <c r="BY21" s="347">
        <f>-(Balances!EW67+Balances!EW93)</f>
        <v>0</v>
      </c>
      <c r="BZ21" s="347">
        <f>-(Balances!EX67+Balances!EX93)</f>
        <v>0</v>
      </c>
      <c r="CA21" s="347">
        <f>-(Balances!EY67+Balances!EY93)</f>
        <v>0</v>
      </c>
      <c r="CB21" s="347">
        <f>-(Balances!EZ67+Balances!EZ93)</f>
        <v>0</v>
      </c>
      <c r="CC21" s="347">
        <f>-(Balances!FA67+Balances!FA93)</f>
        <v>0</v>
      </c>
      <c r="CD21" s="347">
        <f>-(Balances!FB67+Balances!FB93)</f>
        <v>0</v>
      </c>
      <c r="CE21" s="347">
        <f>-(Balances!FC67+Balances!FC93)</f>
        <v>0</v>
      </c>
      <c r="CF21" s="347">
        <f>-(Balances!FD67+Balances!FD93)</f>
        <v>0</v>
      </c>
      <c r="CG21" s="347">
        <f>-(Balances!FE67+Balances!FE93)</f>
        <v>0</v>
      </c>
      <c r="CH21" s="347">
        <f>-(Balances!FF67+Balances!FF93)</f>
        <v>0</v>
      </c>
      <c r="CI21" s="347">
        <f>-(Balances!FG67+Balances!FG93)</f>
        <v>0</v>
      </c>
      <c r="CJ21" s="347">
        <f>-(Balances!FH67+Balances!FH93)</f>
        <v>0</v>
      </c>
      <c r="CK21" s="347">
        <f>-(Balances!FI67+Balances!FI93)</f>
        <v>0</v>
      </c>
      <c r="CL21" s="347">
        <f>-(Balances!FJ67+Balances!FJ93)</f>
        <v>0</v>
      </c>
      <c r="CM21" s="347">
        <f>-(Balances!FK67+Balances!FK93)</f>
        <v>0</v>
      </c>
      <c r="CN21" s="347">
        <f>-(Balances!FL67+Balances!FL93)</f>
        <v>0</v>
      </c>
      <c r="CO21" s="347">
        <f>-(Balances!FM67+Balances!FM93)</f>
        <v>0</v>
      </c>
      <c r="CP21" s="347">
        <f>-(Balances!FN67+Balances!FN93)</f>
        <v>0</v>
      </c>
      <c r="CQ21" s="347">
        <f>-(Balances!FO67+Balances!FO93)</f>
        <v>0</v>
      </c>
      <c r="CR21" s="347">
        <f>-(Balances!FP67+Balances!FP93)</f>
        <v>0</v>
      </c>
      <c r="CS21" s="347">
        <f>-(Balances!FQ67+Balances!FQ93)</f>
        <v>0</v>
      </c>
      <c r="CT21" s="347">
        <f>-(Balances!FR67+Balances!FR93)</f>
        <v>0</v>
      </c>
      <c r="CU21" s="347">
        <f>-(Balances!FS67+Balances!FS93)</f>
        <v>0</v>
      </c>
      <c r="CV21" s="347">
        <f>-(Balances!FT67+Balances!FT93)</f>
        <v>0</v>
      </c>
      <c r="CW21" s="347">
        <f>-(Balances!FU67+Balances!FU93)</f>
        <v>0</v>
      </c>
      <c r="CX21" s="347">
        <f>-(Balances!FV67+Balances!FV93)</f>
        <v>0</v>
      </c>
      <c r="CY21" s="347">
        <f>-(Balances!FW67+Balances!FW93)</f>
        <v>0</v>
      </c>
      <c r="CZ21" s="347">
        <f>-(Balances!FX67+Balances!FX93)</f>
        <v>0</v>
      </c>
      <c r="DA21" s="347">
        <f>-(Balances!FY67+Balances!FY93)</f>
        <v>0</v>
      </c>
      <c r="DB21" s="347">
        <f>-(Balances!FZ67+Balances!FZ93)</f>
        <v>0</v>
      </c>
      <c r="DC21" s="347">
        <f>-(Balances!GA67+Balances!GA93)</f>
        <v>0</v>
      </c>
      <c r="DD21" s="347">
        <f>-(Balances!GB67+Balances!GB93)</f>
        <v>0</v>
      </c>
      <c r="DE21" s="347">
        <f>-(Balances!GC67+Balances!GC93)</f>
        <v>0</v>
      </c>
      <c r="DF21" s="347">
        <f>-(Balances!GD67+Balances!GD93)</f>
        <v>0</v>
      </c>
      <c r="DG21" s="347">
        <f>-(Balances!GE67+Balances!GE93)</f>
        <v>0</v>
      </c>
      <c r="DH21" s="347">
        <f>-(Balances!GF67+Balances!GF93)</f>
        <v>0</v>
      </c>
      <c r="DI21" s="537"/>
    </row>
    <row r="22" spans="2:113" x14ac:dyDescent="0.3">
      <c r="B22" s="406" t="s">
        <v>521</v>
      </c>
      <c r="E22" s="345">
        <f>E19-E20+E21</f>
        <v>195116.89333333331</v>
      </c>
      <c r="F22" s="345">
        <f t="shared" ref="F22:M22" si="93">F19-F20+F21</f>
        <v>461391.72666666657</v>
      </c>
      <c r="G22" s="345">
        <f t="shared" si="93"/>
        <v>674024.05999999994</v>
      </c>
      <c r="H22" s="345">
        <f t="shared" si="93"/>
        <v>954843.64333333331</v>
      </c>
      <c r="I22" s="345">
        <f t="shared" si="93"/>
        <v>1127750.06</v>
      </c>
      <c r="J22" s="345">
        <f t="shared" si="93"/>
        <v>1127750.06</v>
      </c>
      <c r="K22" s="345">
        <f t="shared" si="93"/>
        <v>1127750.06</v>
      </c>
      <c r="L22" s="345">
        <f t="shared" si="93"/>
        <v>1127750.06</v>
      </c>
      <c r="M22" s="345">
        <f t="shared" si="93"/>
        <v>1127750.06</v>
      </c>
      <c r="N22" s="345">
        <f t="shared" ref="N22" si="94">N19-N20+N21</f>
        <v>1127750.06</v>
      </c>
      <c r="O22" s="345">
        <f t="shared" ref="O22" si="95">O19-O20+O21</f>
        <v>1127750.06</v>
      </c>
      <c r="P22" s="345">
        <f t="shared" ref="P22" si="96">P19-P20+P21</f>
        <v>1127750.06</v>
      </c>
      <c r="Q22" s="345">
        <f t="shared" ref="Q22" si="97">Q19-Q20+Q21</f>
        <v>1127750.06</v>
      </c>
      <c r="R22" s="345">
        <f t="shared" ref="R22" si="98">R19-R20+R21</f>
        <v>1127750.06</v>
      </c>
      <c r="S22" s="345">
        <f t="shared" ref="S22" si="99">S19-S20+S21</f>
        <v>1127750.06</v>
      </c>
      <c r="T22" s="345">
        <f t="shared" ref="T22" si="100">T19-T20+T21</f>
        <v>1127750.06</v>
      </c>
      <c r="U22" s="345">
        <f t="shared" ref="U22" si="101">U19-U20+U21</f>
        <v>1127750.06</v>
      </c>
      <c r="V22" s="345">
        <f t="shared" ref="V22" si="102">V19-V20+V21</f>
        <v>1127750.06</v>
      </c>
      <c r="W22" s="345">
        <f t="shared" ref="W22" si="103">W19-W20+W21</f>
        <v>1127750.06</v>
      </c>
      <c r="X22" s="345">
        <f t="shared" ref="X22" si="104">X19-X20+X21</f>
        <v>1127750.06</v>
      </c>
      <c r="Y22" s="345">
        <f t="shared" ref="Y22" si="105">Y19-Y20+Y21</f>
        <v>1127750.06</v>
      </c>
      <c r="Z22" s="345">
        <f t="shared" ref="Z22" si="106">Z19-Z20+Z21</f>
        <v>1127750.06</v>
      </c>
      <c r="AA22" s="345">
        <f t="shared" ref="AA22" si="107">AA19-AA20+AA21</f>
        <v>1127750.06</v>
      </c>
      <c r="AB22" s="345">
        <f t="shared" ref="AB22" si="108">AB19-AB20+AB21</f>
        <v>1127750.06</v>
      </c>
      <c r="AC22" s="345">
        <f t="shared" ref="AC22" si="109">AC19-AC20+AC21</f>
        <v>1127750.06</v>
      </c>
      <c r="AD22" s="345">
        <f t="shared" ref="AD22" si="110">AD19-AD20+AD21</f>
        <v>1127750.06</v>
      </c>
      <c r="AE22" s="345">
        <f t="shared" ref="AE22" si="111">AE19-AE20+AE21</f>
        <v>1127750.06</v>
      </c>
      <c r="AF22" s="345">
        <f t="shared" ref="AF22" si="112">AF19-AF20+AF21</f>
        <v>1127750.06</v>
      </c>
      <c r="AG22" s="345">
        <f t="shared" ref="AG22" si="113">AG19-AG20+AG21</f>
        <v>1127750.06</v>
      </c>
      <c r="AH22" s="345">
        <f t="shared" ref="AH22" si="114">AH19-AH20+AH21</f>
        <v>1127750.06</v>
      </c>
      <c r="AI22" s="345">
        <f t="shared" ref="AI22" si="115">AI19-AI20+AI21</f>
        <v>1127750.06</v>
      </c>
      <c r="AJ22" s="345">
        <f t="shared" ref="AJ22" si="116">AJ19-AJ20+AJ21</f>
        <v>1127750.06</v>
      </c>
      <c r="AK22" s="345">
        <f t="shared" ref="AK22" si="117">AK19-AK20+AK21</f>
        <v>1127750.06</v>
      </c>
      <c r="AL22" s="345">
        <f t="shared" ref="AL22" si="118">AL19-AL20+AL21</f>
        <v>1127750.06</v>
      </c>
      <c r="AM22" s="345">
        <f t="shared" ref="AM22" si="119">AM19-AM20+AM21</f>
        <v>1127750.06</v>
      </c>
      <c r="AN22" s="345">
        <f t="shared" ref="AN22:AZ22" si="120">AN19-AN20+AN21</f>
        <v>1127750.06</v>
      </c>
      <c r="AO22" s="345">
        <f t="shared" si="120"/>
        <v>1127750.06</v>
      </c>
      <c r="AP22" s="345">
        <f t="shared" si="120"/>
        <v>1127750.06</v>
      </c>
      <c r="AQ22" s="345">
        <f t="shared" si="120"/>
        <v>1127750.06</v>
      </c>
      <c r="AR22" s="345">
        <f t="shared" si="120"/>
        <v>1127750.06</v>
      </c>
      <c r="AS22" s="345">
        <f t="shared" si="120"/>
        <v>1127750.06</v>
      </c>
      <c r="AT22" s="345">
        <f t="shared" si="120"/>
        <v>1127750.06</v>
      </c>
      <c r="AU22" s="345">
        <f t="shared" si="120"/>
        <v>1127750.06</v>
      </c>
      <c r="AV22" s="345">
        <f t="shared" si="120"/>
        <v>1127750.06</v>
      </c>
      <c r="AW22" s="345">
        <f t="shared" si="120"/>
        <v>1127750.06</v>
      </c>
      <c r="AX22" s="345">
        <f t="shared" si="120"/>
        <v>1127750.06</v>
      </c>
      <c r="AY22" s="345">
        <f t="shared" si="120"/>
        <v>1127750.06</v>
      </c>
      <c r="AZ22" s="345">
        <f t="shared" si="120"/>
        <v>1127750.06</v>
      </c>
      <c r="BA22" s="345">
        <f t="shared" ref="BA22:BX22" si="121">BA19-BA20+BA21</f>
        <v>1127750.06</v>
      </c>
      <c r="BB22" s="345">
        <f t="shared" si="121"/>
        <v>1127750.06</v>
      </c>
      <c r="BC22" s="345">
        <f t="shared" si="121"/>
        <v>1127750.06</v>
      </c>
      <c r="BD22" s="345">
        <f t="shared" si="121"/>
        <v>1127750.06</v>
      </c>
      <c r="BE22" s="345">
        <f t="shared" si="121"/>
        <v>1127750.06</v>
      </c>
      <c r="BF22" s="345">
        <f t="shared" si="121"/>
        <v>1127750.06</v>
      </c>
      <c r="BG22" s="345">
        <f t="shared" si="121"/>
        <v>1127750.06</v>
      </c>
      <c r="BH22" s="345">
        <f t="shared" si="121"/>
        <v>1127750.06</v>
      </c>
      <c r="BI22" s="345">
        <f t="shared" si="121"/>
        <v>1127750.06</v>
      </c>
      <c r="BJ22" s="345">
        <f t="shared" si="121"/>
        <v>1127750.06</v>
      </c>
      <c r="BK22" s="345">
        <f t="shared" si="121"/>
        <v>1127750.06</v>
      </c>
      <c r="BL22" s="345">
        <f t="shared" si="121"/>
        <v>1127750.06</v>
      </c>
      <c r="BM22" s="345">
        <f t="shared" si="121"/>
        <v>1127750.06</v>
      </c>
      <c r="BN22" s="345">
        <f t="shared" si="121"/>
        <v>1127750.06</v>
      </c>
      <c r="BO22" s="345">
        <f t="shared" si="121"/>
        <v>1127750.06</v>
      </c>
      <c r="BP22" s="345">
        <f t="shared" si="121"/>
        <v>1127750.06</v>
      </c>
      <c r="BQ22" s="345">
        <f t="shared" si="121"/>
        <v>1127750.06</v>
      </c>
      <c r="BR22" s="345">
        <f t="shared" si="121"/>
        <v>1127750.06</v>
      </c>
      <c r="BS22" s="345">
        <f t="shared" si="121"/>
        <v>1127750.06</v>
      </c>
      <c r="BT22" s="345">
        <f t="shared" si="121"/>
        <v>1127750.06</v>
      </c>
      <c r="BU22" s="345">
        <f t="shared" si="121"/>
        <v>1127750.06</v>
      </c>
      <c r="BV22" s="345">
        <f t="shared" si="121"/>
        <v>1127750.06</v>
      </c>
      <c r="BW22" s="345">
        <f t="shared" si="121"/>
        <v>1127750.06</v>
      </c>
      <c r="BX22" s="345">
        <f t="shared" si="121"/>
        <v>1127750.06</v>
      </c>
      <c r="BY22" s="345">
        <f t="shared" ref="BY22:CJ22" si="122">BY19-BY20+BY21</f>
        <v>1127750.06</v>
      </c>
      <c r="BZ22" s="345">
        <f t="shared" si="122"/>
        <v>1127750.06</v>
      </c>
      <c r="CA22" s="345">
        <f t="shared" si="122"/>
        <v>1127750.06</v>
      </c>
      <c r="CB22" s="345">
        <f t="shared" si="122"/>
        <v>1127750.06</v>
      </c>
      <c r="CC22" s="345">
        <f t="shared" si="122"/>
        <v>1127750.06</v>
      </c>
      <c r="CD22" s="345">
        <f t="shared" si="122"/>
        <v>1127750.06</v>
      </c>
      <c r="CE22" s="345">
        <f t="shared" si="122"/>
        <v>1127750.06</v>
      </c>
      <c r="CF22" s="345">
        <f t="shared" si="122"/>
        <v>1127750.06</v>
      </c>
      <c r="CG22" s="345">
        <f t="shared" si="122"/>
        <v>1127750.06</v>
      </c>
      <c r="CH22" s="345">
        <f t="shared" si="122"/>
        <v>1127750.06</v>
      </c>
      <c r="CI22" s="345">
        <f t="shared" si="122"/>
        <v>1127750.06</v>
      </c>
      <c r="CJ22" s="345">
        <f t="shared" si="122"/>
        <v>1127750.06</v>
      </c>
      <c r="CK22" s="345">
        <f t="shared" ref="CK22:CV22" si="123">CK19-CK20+CK21</f>
        <v>1127750.06</v>
      </c>
      <c r="CL22" s="345">
        <f t="shared" si="123"/>
        <v>1127750.06</v>
      </c>
      <c r="CM22" s="345">
        <f t="shared" si="123"/>
        <v>1127750.06</v>
      </c>
      <c r="CN22" s="345">
        <f t="shared" si="123"/>
        <v>1127750.06</v>
      </c>
      <c r="CO22" s="345">
        <f t="shared" si="123"/>
        <v>1127750.06</v>
      </c>
      <c r="CP22" s="345">
        <f t="shared" si="123"/>
        <v>1127750.06</v>
      </c>
      <c r="CQ22" s="345">
        <f t="shared" si="123"/>
        <v>1127750.06</v>
      </c>
      <c r="CR22" s="345">
        <f t="shared" si="123"/>
        <v>1127750.06</v>
      </c>
      <c r="CS22" s="345">
        <f t="shared" si="123"/>
        <v>1127750.06</v>
      </c>
      <c r="CT22" s="345">
        <f t="shared" si="123"/>
        <v>1127750.06</v>
      </c>
      <c r="CU22" s="345">
        <f t="shared" si="123"/>
        <v>1127750.06</v>
      </c>
      <c r="CV22" s="345">
        <f t="shared" si="123"/>
        <v>1127750.06</v>
      </c>
      <c r="CW22" s="345">
        <f t="shared" ref="CW22:DH22" si="124">CW19-CW20+CW21</f>
        <v>1127750.06</v>
      </c>
      <c r="CX22" s="345">
        <f t="shared" si="124"/>
        <v>1127750.06</v>
      </c>
      <c r="CY22" s="345">
        <f t="shared" si="124"/>
        <v>1127750.06</v>
      </c>
      <c r="CZ22" s="345">
        <f t="shared" si="124"/>
        <v>1127750.06</v>
      </c>
      <c r="DA22" s="345">
        <f t="shared" si="124"/>
        <v>1127750.06</v>
      </c>
      <c r="DB22" s="345">
        <f t="shared" si="124"/>
        <v>1127750.06</v>
      </c>
      <c r="DC22" s="345">
        <f t="shared" si="124"/>
        <v>1127750.06</v>
      </c>
      <c r="DD22" s="345">
        <f t="shared" si="124"/>
        <v>1127750.06</v>
      </c>
      <c r="DE22" s="345">
        <f t="shared" si="124"/>
        <v>1127750.06</v>
      </c>
      <c r="DF22" s="345">
        <f t="shared" si="124"/>
        <v>1127750.06</v>
      </c>
      <c r="DG22" s="345">
        <f t="shared" si="124"/>
        <v>1127750.06</v>
      </c>
      <c r="DH22" s="345">
        <f t="shared" si="124"/>
        <v>1127750.06</v>
      </c>
      <c r="DI22" s="537"/>
    </row>
    <row r="23" spans="2:113" x14ac:dyDescent="0.3">
      <c r="B23" s="406"/>
      <c r="C23" s="375" t="s">
        <v>517</v>
      </c>
      <c r="D23" s="345">
        <f>MAX(E22:BX22)</f>
        <v>1127750.06</v>
      </c>
      <c r="DI23" s="537"/>
    </row>
    <row r="24" spans="2:113" x14ac:dyDescent="0.3">
      <c r="B24" s="409"/>
      <c r="C24" s="384"/>
      <c r="D24" s="342"/>
      <c r="E24" s="342"/>
      <c r="F24" s="342"/>
      <c r="G24" s="342"/>
      <c r="H24" s="342"/>
      <c r="I24" s="342"/>
      <c r="J24" s="342"/>
      <c r="K24" s="342"/>
      <c r="L24" s="342"/>
      <c r="M24" s="342"/>
      <c r="N24" s="342"/>
      <c r="O24" s="342"/>
      <c r="P24" s="342"/>
      <c r="Q24" s="342"/>
      <c r="R24" s="342"/>
      <c r="S24" s="342"/>
      <c r="T24" s="342"/>
      <c r="U24" s="342"/>
      <c r="V24" s="342"/>
      <c r="W24" s="342"/>
      <c r="X24" s="342"/>
      <c r="Y24" s="342"/>
      <c r="Z24" s="342"/>
      <c r="AA24" s="342"/>
      <c r="AB24" s="342"/>
      <c r="AC24" s="342"/>
      <c r="AD24" s="342"/>
      <c r="AE24" s="342"/>
      <c r="AF24" s="342"/>
      <c r="AG24" s="342"/>
      <c r="AH24" s="342"/>
      <c r="AI24" s="342"/>
      <c r="AJ24" s="342"/>
      <c r="AK24" s="342"/>
      <c r="AL24" s="342"/>
      <c r="AM24" s="342"/>
      <c r="AN24" s="342"/>
      <c r="AO24" s="342"/>
      <c r="AP24" s="342"/>
      <c r="AQ24" s="342"/>
      <c r="AR24" s="342"/>
      <c r="AS24" s="342"/>
      <c r="AT24" s="342"/>
      <c r="AU24" s="342"/>
      <c r="AV24" s="342"/>
      <c r="AW24" s="342"/>
      <c r="AX24" s="342"/>
      <c r="AY24" s="342"/>
      <c r="AZ24" s="342"/>
      <c r="BA24" s="342"/>
      <c r="BB24" s="342"/>
      <c r="BC24" s="342"/>
      <c r="BD24" s="342"/>
      <c r="BE24" s="342"/>
      <c r="BF24" s="342"/>
      <c r="BG24" s="342"/>
      <c r="BH24" s="342"/>
      <c r="BI24" s="342"/>
      <c r="BJ24" s="342"/>
      <c r="BK24" s="342"/>
      <c r="BL24" s="342"/>
      <c r="BM24" s="342"/>
      <c r="BN24" s="342"/>
      <c r="BO24" s="342"/>
      <c r="BP24" s="342"/>
      <c r="BQ24" s="342"/>
      <c r="BR24" s="342"/>
      <c r="BS24" s="342"/>
      <c r="BT24" s="342"/>
      <c r="BU24" s="342"/>
      <c r="BV24" s="342"/>
      <c r="BW24" s="342"/>
      <c r="BX24" s="342"/>
      <c r="BY24" s="342"/>
      <c r="BZ24" s="342"/>
      <c r="CA24" s="342"/>
      <c r="CB24" s="342"/>
      <c r="CC24" s="342"/>
      <c r="CD24" s="342"/>
      <c r="CE24" s="342"/>
      <c r="CF24" s="342"/>
      <c r="CG24" s="342"/>
      <c r="CH24" s="342"/>
      <c r="CI24" s="342"/>
      <c r="CJ24" s="342"/>
      <c r="CK24" s="342"/>
      <c r="CL24" s="342"/>
      <c r="CM24" s="342"/>
      <c r="CN24" s="342"/>
      <c r="CO24" s="342"/>
      <c r="CP24" s="342"/>
      <c r="CQ24" s="342"/>
      <c r="CR24" s="342"/>
      <c r="CS24" s="342"/>
      <c r="CT24" s="342"/>
      <c r="CU24" s="342"/>
      <c r="CV24" s="342"/>
      <c r="CW24" s="342"/>
      <c r="CX24" s="342"/>
      <c r="CY24" s="342"/>
      <c r="CZ24" s="342"/>
      <c r="DA24" s="342"/>
      <c r="DB24" s="342"/>
      <c r="DC24" s="342"/>
      <c r="DD24" s="342"/>
      <c r="DE24" s="342"/>
      <c r="DF24" s="342"/>
      <c r="DG24" s="342"/>
      <c r="DH24" s="342"/>
      <c r="DI24" s="410"/>
    </row>
    <row r="27" spans="2:113" x14ac:dyDescent="0.3">
      <c r="B27" s="401"/>
      <c r="C27" s="402"/>
      <c r="D27" s="403"/>
      <c r="E27" s="403"/>
      <c r="F27" s="403"/>
      <c r="G27" s="403"/>
      <c r="H27" s="403"/>
      <c r="I27" s="403"/>
      <c r="J27" s="403"/>
      <c r="K27" s="403"/>
      <c r="L27" s="403"/>
      <c r="M27" s="403"/>
      <c r="N27" s="403"/>
      <c r="O27" s="403"/>
      <c r="P27" s="403"/>
      <c r="Q27" s="403"/>
      <c r="R27" s="403"/>
      <c r="S27" s="403"/>
      <c r="T27" s="403"/>
      <c r="U27" s="403"/>
      <c r="V27" s="403"/>
      <c r="W27" s="403"/>
      <c r="X27" s="403"/>
      <c r="Y27" s="403"/>
      <c r="Z27" s="403"/>
      <c r="AA27" s="403"/>
      <c r="AB27" s="403"/>
      <c r="AC27" s="403"/>
      <c r="AD27" s="403"/>
      <c r="AE27" s="403"/>
      <c r="AF27" s="403"/>
      <c r="AG27" s="403"/>
      <c r="AH27" s="403"/>
      <c r="AI27" s="403"/>
      <c r="AJ27" s="403"/>
      <c r="AK27" s="403"/>
      <c r="AL27" s="403"/>
      <c r="AM27" s="403"/>
      <c r="AN27" s="403"/>
      <c r="AO27" s="403"/>
      <c r="AP27" s="403"/>
      <c r="AQ27" s="403"/>
      <c r="AR27" s="403"/>
      <c r="AS27" s="403"/>
      <c r="AT27" s="403"/>
      <c r="AU27" s="403"/>
      <c r="AV27" s="403"/>
      <c r="AW27" s="403"/>
      <c r="AX27" s="403"/>
      <c r="AY27" s="403"/>
      <c r="AZ27" s="403"/>
      <c r="BA27" s="403"/>
      <c r="BB27" s="403"/>
      <c r="BC27" s="403"/>
      <c r="BD27" s="403"/>
      <c r="BE27" s="403"/>
      <c r="BF27" s="403"/>
      <c r="BG27" s="403"/>
      <c r="BH27" s="403"/>
      <c r="BI27" s="403"/>
      <c r="BJ27" s="403"/>
      <c r="BK27" s="403"/>
      <c r="BL27" s="403"/>
      <c r="BM27" s="403"/>
      <c r="BN27" s="403"/>
      <c r="BO27" s="403"/>
      <c r="BP27" s="403"/>
      <c r="BQ27" s="403"/>
      <c r="BR27" s="403"/>
      <c r="BS27" s="403"/>
      <c r="BT27" s="403"/>
      <c r="BU27" s="403"/>
      <c r="BV27" s="403"/>
      <c r="BW27" s="403"/>
      <c r="BX27" s="403"/>
      <c r="BY27" s="403"/>
      <c r="BZ27" s="403"/>
      <c r="CA27" s="403"/>
      <c r="CB27" s="403"/>
      <c r="CC27" s="403"/>
      <c r="CD27" s="403"/>
      <c r="CE27" s="403"/>
      <c r="CF27" s="403"/>
      <c r="CG27" s="403"/>
      <c r="CH27" s="403"/>
      <c r="CI27" s="403"/>
      <c r="CJ27" s="403"/>
      <c r="CK27" s="403"/>
      <c r="CL27" s="403"/>
      <c r="CM27" s="403"/>
      <c r="CN27" s="403"/>
      <c r="CO27" s="403"/>
      <c r="CP27" s="403"/>
      <c r="CQ27" s="403"/>
      <c r="CR27" s="403"/>
      <c r="CS27" s="403"/>
      <c r="CT27" s="403"/>
      <c r="CU27" s="403"/>
      <c r="CV27" s="403"/>
      <c r="CW27" s="403"/>
      <c r="CX27" s="403"/>
      <c r="CY27" s="403"/>
      <c r="CZ27" s="403"/>
      <c r="DA27" s="403"/>
      <c r="DB27" s="403"/>
      <c r="DC27" s="403"/>
      <c r="DD27" s="403"/>
      <c r="DE27" s="403"/>
      <c r="DF27" s="403"/>
      <c r="DG27" s="403"/>
      <c r="DH27" s="403"/>
      <c r="DI27" s="411"/>
    </row>
    <row r="28" spans="2:113" x14ac:dyDescent="0.3">
      <c r="B28" s="423" t="s">
        <v>515</v>
      </c>
      <c r="C28" s="385"/>
      <c r="D28" s="356"/>
      <c r="E28" s="356"/>
      <c r="F28" s="356"/>
      <c r="G28" s="356"/>
      <c r="H28" s="356"/>
      <c r="I28" s="356"/>
      <c r="J28" s="356"/>
      <c r="K28" s="356"/>
      <c r="L28" s="356"/>
      <c r="M28" s="356"/>
      <c r="N28" s="356"/>
      <c r="O28" s="356"/>
      <c r="P28" s="356"/>
      <c r="Q28" s="356"/>
      <c r="R28" s="356"/>
      <c r="S28" s="356"/>
      <c r="T28" s="356"/>
      <c r="U28" s="356"/>
      <c r="V28" s="356"/>
      <c r="W28" s="356"/>
      <c r="X28" s="356"/>
      <c r="Y28" s="356"/>
      <c r="Z28" s="356"/>
      <c r="AA28" s="356"/>
      <c r="AB28" s="356"/>
      <c r="AC28" s="356"/>
      <c r="AD28" s="356"/>
      <c r="AE28" s="356"/>
      <c r="AF28" s="356"/>
      <c r="AG28" s="356"/>
      <c r="AH28" s="356"/>
      <c r="AI28" s="356"/>
      <c r="AJ28" s="356"/>
      <c r="AK28" s="356"/>
      <c r="AL28" s="356"/>
      <c r="AM28" s="356"/>
      <c r="AN28" s="356"/>
      <c r="AO28" s="356"/>
      <c r="AP28" s="356"/>
      <c r="AQ28" s="356"/>
      <c r="AR28" s="356"/>
      <c r="AS28" s="356"/>
      <c r="AT28" s="356"/>
      <c r="AU28" s="356"/>
      <c r="AV28" s="356"/>
      <c r="AW28" s="356"/>
      <c r="AX28" s="356"/>
      <c r="AY28" s="356"/>
      <c r="AZ28" s="356"/>
      <c r="BA28" s="356"/>
      <c r="BB28" s="356"/>
      <c r="BC28" s="356"/>
      <c r="BD28" s="356"/>
      <c r="BE28" s="356"/>
      <c r="BF28" s="356"/>
      <c r="BG28" s="356"/>
      <c r="BH28" s="356"/>
      <c r="BI28" s="356"/>
      <c r="BJ28" s="356"/>
      <c r="BK28" s="356"/>
      <c r="BL28" s="356"/>
      <c r="BM28" s="356"/>
      <c r="BN28" s="356"/>
      <c r="BO28" s="356"/>
      <c r="BP28" s="356"/>
      <c r="BQ28" s="356"/>
      <c r="BR28" s="356"/>
      <c r="BS28" s="356"/>
      <c r="BT28" s="356"/>
      <c r="BU28" s="356"/>
      <c r="BV28" s="356"/>
      <c r="BW28" s="356"/>
      <c r="BX28" s="356"/>
      <c r="BY28" s="356"/>
      <c r="BZ28" s="356"/>
      <c r="CA28" s="356"/>
      <c r="CB28" s="356"/>
      <c r="CC28" s="356"/>
      <c r="CD28" s="356"/>
      <c r="CE28" s="356"/>
      <c r="CF28" s="356"/>
      <c r="CG28" s="356"/>
      <c r="CH28" s="356"/>
      <c r="CI28" s="356"/>
      <c r="CJ28" s="356"/>
      <c r="CK28" s="356"/>
      <c r="CL28" s="356"/>
      <c r="CM28" s="356"/>
      <c r="CN28" s="356"/>
      <c r="CO28" s="356"/>
      <c r="CP28" s="356"/>
      <c r="CQ28" s="356"/>
      <c r="CR28" s="356"/>
      <c r="CS28" s="356"/>
      <c r="CT28" s="356"/>
      <c r="CU28" s="356"/>
      <c r="CV28" s="356"/>
      <c r="CW28" s="356"/>
      <c r="CX28" s="356"/>
      <c r="CY28" s="356"/>
      <c r="CZ28" s="356"/>
      <c r="DA28" s="356"/>
      <c r="DB28" s="356"/>
      <c r="DC28" s="356"/>
      <c r="DD28" s="356"/>
      <c r="DE28" s="356"/>
      <c r="DF28" s="356"/>
      <c r="DG28" s="356"/>
      <c r="DH28" s="356"/>
      <c r="DI28" s="537"/>
    </row>
    <row r="29" spans="2:113" x14ac:dyDescent="0.3">
      <c r="B29" s="406"/>
      <c r="C29" s="375" t="s">
        <v>272</v>
      </c>
      <c r="E29" s="345">
        <f>Balances!I11</f>
        <v>1175000</v>
      </c>
      <c r="F29" s="345">
        <f>Balances!J11</f>
        <v>1175000</v>
      </c>
      <c r="G29" s="345">
        <f>Balances!K11</f>
        <v>1175000</v>
      </c>
      <c r="H29" s="345">
        <f>Balances!L11</f>
        <v>1175000</v>
      </c>
      <c r="I29" s="345">
        <f>Balances!M11</f>
        <v>1175000</v>
      </c>
      <c r="J29" s="345">
        <f>Balances!N11</f>
        <v>1175000</v>
      </c>
      <c r="K29" s="345">
        <f>Balances!O11</f>
        <v>1175000</v>
      </c>
      <c r="L29" s="345">
        <f>Balances!P11</f>
        <v>1175000</v>
      </c>
      <c r="M29" s="345">
        <f>Balances!Q11</f>
        <v>1175000</v>
      </c>
      <c r="N29" s="345">
        <f>Balances!R11</f>
        <v>1175000</v>
      </c>
      <c r="O29" s="345">
        <f>Balances!S11</f>
        <v>1175000</v>
      </c>
      <c r="P29" s="345">
        <f>Balances!T11</f>
        <v>1175000</v>
      </c>
      <c r="Q29" s="345">
        <f>Balances!U11</f>
        <v>1175000</v>
      </c>
      <c r="R29" s="345">
        <f>Balances!V11</f>
        <v>1175000</v>
      </c>
      <c r="S29" s="345">
        <f>Balances!W11</f>
        <v>1175000</v>
      </c>
      <c r="T29" s="345">
        <f>Balances!X11</f>
        <v>1175000</v>
      </c>
      <c r="U29" s="345">
        <f>Balances!Y11</f>
        <v>1175000</v>
      </c>
      <c r="V29" s="345">
        <f>Balances!Z11</f>
        <v>1175000</v>
      </c>
      <c r="W29" s="345">
        <f>Balances!AA11</f>
        <v>1175000</v>
      </c>
      <c r="X29" s="345">
        <f>Balances!AB11</f>
        <v>1175000</v>
      </c>
      <c r="Y29" s="345">
        <f>Balances!AC11</f>
        <v>1175000</v>
      </c>
      <c r="Z29" s="345">
        <f>Balances!AD11</f>
        <v>1175000</v>
      </c>
      <c r="AA29" s="345">
        <f>Balances!AE11</f>
        <v>1175000</v>
      </c>
      <c r="AB29" s="345">
        <f>Balances!AF11</f>
        <v>965755.59582306445</v>
      </c>
      <c r="AC29" s="345">
        <f>Balances!AG11</f>
        <v>964853.03006945061</v>
      </c>
      <c r="AD29" s="345">
        <f>Balances!AH11</f>
        <v>961532.8690036207</v>
      </c>
      <c r="AE29" s="345">
        <f>Balances!AI11</f>
        <v>954689.57332935289</v>
      </c>
      <c r="AF29" s="345">
        <f>Balances!AJ11</f>
        <v>947792.10156433051</v>
      </c>
      <c r="AG29" s="345">
        <f>Balances!AK11</f>
        <v>942860.04981450166</v>
      </c>
      <c r="AH29" s="345">
        <f>Balances!AL11</f>
        <v>938822.57765498676</v>
      </c>
      <c r="AI29" s="345">
        <f>Balances!AM11</f>
        <v>938249.99217420898</v>
      </c>
      <c r="AJ29" s="345">
        <f>Balances!AN11</f>
        <v>938249.99217420898</v>
      </c>
      <c r="AK29" s="345">
        <f>Balances!AO11</f>
        <v>938249.99217420898</v>
      </c>
      <c r="AL29" s="345">
        <f>Balances!AP11</f>
        <v>938249.99217420898</v>
      </c>
      <c r="AM29" s="345">
        <f>Balances!AQ11</f>
        <v>938249.99217420898</v>
      </c>
      <c r="AN29" s="345">
        <f>Balances!AR11</f>
        <v>938249.99217420898</v>
      </c>
      <c r="AO29" s="345">
        <f>Balances!DM11</f>
        <v>0</v>
      </c>
      <c r="AP29" s="345">
        <f>Balances!DN11</f>
        <v>0</v>
      </c>
      <c r="AQ29" s="345">
        <f>Balances!DO11</f>
        <v>0</v>
      </c>
      <c r="AR29" s="345">
        <f>Balances!DP11</f>
        <v>0</v>
      </c>
      <c r="AS29" s="345">
        <f>Balances!DQ11</f>
        <v>0</v>
      </c>
      <c r="AT29" s="345">
        <f>Balances!DR11</f>
        <v>0</v>
      </c>
      <c r="AU29" s="345">
        <f>Balances!DS11</f>
        <v>0</v>
      </c>
      <c r="AV29" s="345">
        <f>Balances!DT11</f>
        <v>0</v>
      </c>
      <c r="AW29" s="345">
        <f>Balances!DU11</f>
        <v>0</v>
      </c>
      <c r="AX29" s="345">
        <f>Balances!DV11</f>
        <v>0</v>
      </c>
      <c r="AY29" s="345">
        <f>Balances!DW11</f>
        <v>0</v>
      </c>
      <c r="AZ29" s="345">
        <f>Balances!DX11</f>
        <v>0</v>
      </c>
      <c r="BA29" s="345">
        <f>Balances!DY11</f>
        <v>0</v>
      </c>
      <c r="BB29" s="345">
        <f>Balances!DZ11</f>
        <v>0</v>
      </c>
      <c r="BC29" s="345">
        <f>Balances!EA11</f>
        <v>0</v>
      </c>
      <c r="BD29" s="345">
        <f>Balances!EB11</f>
        <v>0</v>
      </c>
      <c r="BE29" s="345">
        <f>Balances!EC11</f>
        <v>0</v>
      </c>
      <c r="BF29" s="345">
        <f>Balances!ED11</f>
        <v>0</v>
      </c>
      <c r="BG29" s="345">
        <f>Balances!EE11</f>
        <v>0</v>
      </c>
      <c r="BH29" s="345">
        <f>Balances!EF11</f>
        <v>0</v>
      </c>
      <c r="BI29" s="345">
        <f>Balances!EG11</f>
        <v>0</v>
      </c>
      <c r="BJ29" s="345">
        <f>Balances!EH11</f>
        <v>0</v>
      </c>
      <c r="BK29" s="345">
        <f>Balances!EI11</f>
        <v>0</v>
      </c>
      <c r="BL29" s="345">
        <f>Balances!EJ11</f>
        <v>0</v>
      </c>
      <c r="BM29" s="345">
        <f>Balances!EK11</f>
        <v>0</v>
      </c>
      <c r="BN29" s="345">
        <f>Balances!EL11</f>
        <v>0</v>
      </c>
      <c r="BO29" s="345">
        <f>Balances!EM11</f>
        <v>0</v>
      </c>
      <c r="BP29" s="345">
        <f>Balances!EN11</f>
        <v>0</v>
      </c>
      <c r="BQ29" s="345">
        <f>Balances!EO11</f>
        <v>0</v>
      </c>
      <c r="BR29" s="345">
        <f>Balances!EP11</f>
        <v>0</v>
      </c>
      <c r="BS29" s="345">
        <f>Balances!EQ11</f>
        <v>0</v>
      </c>
      <c r="BT29" s="345">
        <f>Balances!ER11</f>
        <v>0</v>
      </c>
      <c r="BU29" s="345">
        <f>Balances!ES11</f>
        <v>0</v>
      </c>
      <c r="BV29" s="345">
        <f>Balances!ET11</f>
        <v>0</v>
      </c>
      <c r="BW29" s="345">
        <f>Balances!EU11</f>
        <v>0</v>
      </c>
      <c r="BX29" s="345">
        <f>Balances!EV11</f>
        <v>0</v>
      </c>
      <c r="BY29" s="345">
        <f>Balances!EW11</f>
        <v>0</v>
      </c>
      <c r="BZ29" s="345">
        <f>Balances!EX11</f>
        <v>0</v>
      </c>
      <c r="CA29" s="345">
        <f>Balances!EY11</f>
        <v>0</v>
      </c>
      <c r="CB29" s="345">
        <f>Balances!EZ11</f>
        <v>0</v>
      </c>
      <c r="CC29" s="345">
        <f>Balances!FA11</f>
        <v>0</v>
      </c>
      <c r="CD29" s="345">
        <f>Balances!FB11</f>
        <v>0</v>
      </c>
      <c r="CE29" s="345">
        <f>Balances!FC11</f>
        <v>0</v>
      </c>
      <c r="CF29" s="345">
        <f>Balances!FD11</f>
        <v>0</v>
      </c>
      <c r="CG29" s="345">
        <f>Balances!FE11</f>
        <v>0</v>
      </c>
      <c r="CH29" s="345">
        <f>Balances!FF11</f>
        <v>0</v>
      </c>
      <c r="CI29" s="345">
        <f>Balances!FG11</f>
        <v>0</v>
      </c>
      <c r="CJ29" s="345">
        <f>Balances!FH11</f>
        <v>0</v>
      </c>
      <c r="CK29" s="345">
        <f>Balances!FI11</f>
        <v>0</v>
      </c>
      <c r="CL29" s="345">
        <f>Balances!FJ11</f>
        <v>0</v>
      </c>
      <c r="CM29" s="345">
        <f>Balances!FK11</f>
        <v>0</v>
      </c>
      <c r="CN29" s="345">
        <f>Balances!FL11</f>
        <v>0</v>
      </c>
      <c r="CO29" s="345">
        <f>Balances!FM11</f>
        <v>0</v>
      </c>
      <c r="CP29" s="345">
        <f>Balances!FN11</f>
        <v>0</v>
      </c>
      <c r="CQ29" s="345">
        <f>Balances!FO11</f>
        <v>0</v>
      </c>
      <c r="CR29" s="345">
        <f>Balances!FP11</f>
        <v>0</v>
      </c>
      <c r="CS29" s="345">
        <f>Balances!FQ11</f>
        <v>0</v>
      </c>
      <c r="CT29" s="345">
        <f>Balances!FR11</f>
        <v>0</v>
      </c>
      <c r="CU29" s="345">
        <f>Balances!FS11</f>
        <v>0</v>
      </c>
      <c r="CV29" s="345">
        <f>Balances!FT11</f>
        <v>0</v>
      </c>
      <c r="CW29" s="345">
        <f>Balances!FU11</f>
        <v>0</v>
      </c>
      <c r="CX29" s="345">
        <f>Balances!FV11</f>
        <v>0</v>
      </c>
      <c r="CY29" s="345">
        <f>Balances!FW11</f>
        <v>0</v>
      </c>
      <c r="CZ29" s="345">
        <f>Balances!FX11</f>
        <v>0</v>
      </c>
      <c r="DA29" s="345">
        <f>Balances!FY11</f>
        <v>0</v>
      </c>
      <c r="DB29" s="345">
        <f>Balances!FZ11</f>
        <v>0</v>
      </c>
      <c r="DC29" s="345">
        <f>Balances!GA11</f>
        <v>0</v>
      </c>
      <c r="DD29" s="345">
        <f>Balances!GB11</f>
        <v>0</v>
      </c>
      <c r="DE29" s="345">
        <f>Balances!GC11</f>
        <v>0</v>
      </c>
      <c r="DF29" s="345">
        <f>Balances!GD11</f>
        <v>0</v>
      </c>
      <c r="DG29" s="345">
        <f>Balances!GE11</f>
        <v>0</v>
      </c>
      <c r="DH29" s="345">
        <f>Balances!GF11</f>
        <v>0</v>
      </c>
      <c r="DI29" s="537"/>
    </row>
    <row r="30" spans="2:113" x14ac:dyDescent="0.3">
      <c r="B30" s="406"/>
      <c r="C30" s="375" t="s">
        <v>301</v>
      </c>
      <c r="E30" s="345">
        <f>Balances!I25</f>
        <v>0</v>
      </c>
      <c r="F30" s="345">
        <f>Balances!J25</f>
        <v>0</v>
      </c>
      <c r="G30" s="345">
        <f>Balances!K25</f>
        <v>0</v>
      </c>
      <c r="H30" s="345">
        <f>Balances!L25</f>
        <v>0</v>
      </c>
      <c r="I30" s="345">
        <f>Balances!M25</f>
        <v>81027.416666666541</v>
      </c>
      <c r="J30" s="345">
        <f>Balances!N25</f>
        <v>453089.46704861103</v>
      </c>
      <c r="K30" s="345">
        <f>Balances!O25</f>
        <v>773401.00866274582</v>
      </c>
      <c r="L30" s="345">
        <f>Balances!P25</f>
        <v>1452105.5999813259</v>
      </c>
      <c r="M30" s="345">
        <f>Balances!Q25</f>
        <v>1567669.5193145114</v>
      </c>
      <c r="N30" s="345">
        <f>Balances!R25</f>
        <v>1726655.3196757513</v>
      </c>
      <c r="O30" s="345">
        <f>Balances!S25</f>
        <v>1891254.7576231842</v>
      </c>
      <c r="P30" s="345">
        <f>Balances!T25</f>
        <v>2035990.5244543678</v>
      </c>
      <c r="Q30" s="345">
        <f>Balances!U25</f>
        <v>2039330.1977729648</v>
      </c>
      <c r="R30" s="345">
        <f>Balances!V25</f>
        <v>2040370.2501720008</v>
      </c>
      <c r="S30" s="345">
        <f>Balances!W25</f>
        <v>2038006.0763191958</v>
      </c>
      <c r="T30" s="345">
        <f>Balances!X25</f>
        <v>2035623.1860900561</v>
      </c>
      <c r="U30" s="345">
        <f>Balances!Y25</f>
        <v>2035199.2613132691</v>
      </c>
      <c r="V30" s="345">
        <f>Balances!Z25</f>
        <v>2035663.4104653324</v>
      </c>
      <c r="W30" s="345">
        <f>Balances!AA25</f>
        <v>2039543.6941315164</v>
      </c>
      <c r="X30" s="345">
        <f>Balances!AB25</f>
        <v>2045780.7567100576</v>
      </c>
      <c r="Y30" s="345">
        <f>Balances!AC25</f>
        <v>2105566.4560340121</v>
      </c>
      <c r="Z30" s="345">
        <f>Balances!AD25</f>
        <v>2116825.0588109479</v>
      </c>
      <c r="AA30" s="345">
        <f>Balances!AE25</f>
        <v>2123673.9321932015</v>
      </c>
      <c r="AB30" s="345">
        <f>Balances!AF25</f>
        <v>0</v>
      </c>
      <c r="AC30" s="345">
        <f>Balances!AG25</f>
        <v>0</v>
      </c>
      <c r="AD30" s="345">
        <f>Balances!AH25</f>
        <v>0</v>
      </c>
      <c r="AE30" s="345">
        <f>Balances!AI25</f>
        <v>0</v>
      </c>
      <c r="AF30" s="345">
        <f>Balances!AJ25</f>
        <v>0</v>
      </c>
      <c r="AG30" s="345">
        <f>Balances!AK25</f>
        <v>0</v>
      </c>
      <c r="AH30" s="345">
        <f>Balances!AL25</f>
        <v>0</v>
      </c>
      <c r="AI30" s="345">
        <f>Balances!AM25</f>
        <v>0</v>
      </c>
      <c r="AJ30" s="345">
        <f>Balances!AN25</f>
        <v>1833.3315508327323</v>
      </c>
      <c r="AK30" s="345">
        <f>Balances!AO25</f>
        <v>63223.826976442899</v>
      </c>
      <c r="AL30" s="345">
        <f>Balances!AP25</f>
        <v>70140.930490839135</v>
      </c>
      <c r="AM30" s="345">
        <f>Balances!AQ25</f>
        <v>72529.544408057671</v>
      </c>
      <c r="AN30" s="345">
        <f>Balances!AR25</f>
        <v>59244.476137437101</v>
      </c>
      <c r="AO30" s="345">
        <f>Balances!DM25</f>
        <v>0</v>
      </c>
      <c r="AP30" s="345">
        <f>Balances!DN25</f>
        <v>0</v>
      </c>
      <c r="AQ30" s="345">
        <f>Balances!DO25</f>
        <v>0</v>
      </c>
      <c r="AR30" s="345">
        <f>Balances!DP25</f>
        <v>0</v>
      </c>
      <c r="AS30" s="345">
        <f>Balances!DQ25</f>
        <v>0</v>
      </c>
      <c r="AT30" s="345">
        <f>Balances!DR25</f>
        <v>0</v>
      </c>
      <c r="AU30" s="345">
        <f>Balances!DS25</f>
        <v>0</v>
      </c>
      <c r="AV30" s="345">
        <f>Balances!DT25</f>
        <v>0</v>
      </c>
      <c r="AW30" s="345">
        <f>Balances!DU25</f>
        <v>0</v>
      </c>
      <c r="AX30" s="345">
        <f>Balances!DV25</f>
        <v>0</v>
      </c>
      <c r="AY30" s="345">
        <f>Balances!DW25</f>
        <v>0</v>
      </c>
      <c r="AZ30" s="345">
        <f>Balances!DX25</f>
        <v>0</v>
      </c>
      <c r="BA30" s="345">
        <f>Balances!DY25</f>
        <v>0</v>
      </c>
      <c r="BB30" s="345">
        <f>Balances!DZ25</f>
        <v>0</v>
      </c>
      <c r="BC30" s="345">
        <f>Balances!EA25</f>
        <v>0</v>
      </c>
      <c r="BD30" s="345">
        <f>Balances!EB25</f>
        <v>0</v>
      </c>
      <c r="BE30" s="345">
        <f>Balances!EC25</f>
        <v>0</v>
      </c>
      <c r="BF30" s="345">
        <f>Balances!ED25</f>
        <v>0</v>
      </c>
      <c r="BG30" s="345">
        <f>Balances!EE25</f>
        <v>0</v>
      </c>
      <c r="BH30" s="345">
        <f>Balances!EF25</f>
        <v>0</v>
      </c>
      <c r="BI30" s="345">
        <f>Balances!EG25</f>
        <v>0</v>
      </c>
      <c r="BJ30" s="345">
        <f>Balances!EH25</f>
        <v>0</v>
      </c>
      <c r="BK30" s="345">
        <f>Balances!EI25</f>
        <v>0</v>
      </c>
      <c r="BL30" s="345">
        <f>Balances!EJ25</f>
        <v>0</v>
      </c>
      <c r="BM30" s="345">
        <f>Balances!EK25</f>
        <v>0</v>
      </c>
      <c r="BN30" s="345">
        <f>Balances!EL25</f>
        <v>0</v>
      </c>
      <c r="BO30" s="345">
        <f>Balances!EM25</f>
        <v>0</v>
      </c>
      <c r="BP30" s="345">
        <f>Balances!EN25</f>
        <v>0</v>
      </c>
      <c r="BQ30" s="345">
        <f>Balances!EO25</f>
        <v>0</v>
      </c>
      <c r="BR30" s="345">
        <f>Balances!EP25</f>
        <v>0</v>
      </c>
      <c r="BS30" s="345">
        <f>Balances!EQ25</f>
        <v>0</v>
      </c>
      <c r="BT30" s="345">
        <f>Balances!ER25</f>
        <v>0</v>
      </c>
      <c r="BU30" s="345">
        <f>Balances!ES25</f>
        <v>0</v>
      </c>
      <c r="BV30" s="345">
        <f>Balances!ET25</f>
        <v>0</v>
      </c>
      <c r="BW30" s="345">
        <f>Balances!EU25</f>
        <v>0</v>
      </c>
      <c r="BX30" s="345">
        <f>Balances!EV25</f>
        <v>0</v>
      </c>
      <c r="BY30" s="345">
        <f>Balances!EW25</f>
        <v>0</v>
      </c>
      <c r="BZ30" s="345">
        <f>Balances!EX25</f>
        <v>0</v>
      </c>
      <c r="CA30" s="345">
        <f>Balances!EY25</f>
        <v>0</v>
      </c>
      <c r="CB30" s="345">
        <f>Balances!EZ25</f>
        <v>0</v>
      </c>
      <c r="CC30" s="345">
        <f>Balances!FA25</f>
        <v>0</v>
      </c>
      <c r="CD30" s="345">
        <f>Balances!FB25</f>
        <v>0</v>
      </c>
      <c r="CE30" s="345">
        <f>Balances!FC25</f>
        <v>0</v>
      </c>
      <c r="CF30" s="345">
        <f>Balances!FD25</f>
        <v>0</v>
      </c>
      <c r="CG30" s="345">
        <f>Balances!FE25</f>
        <v>0</v>
      </c>
      <c r="CH30" s="345">
        <f>Balances!FF25</f>
        <v>0</v>
      </c>
      <c r="CI30" s="345">
        <f>Balances!FG25</f>
        <v>0</v>
      </c>
      <c r="CJ30" s="345">
        <f>Balances!FH25</f>
        <v>0</v>
      </c>
      <c r="CK30" s="345">
        <f>Balances!FI25</f>
        <v>0</v>
      </c>
      <c r="CL30" s="345">
        <f>Balances!FJ25</f>
        <v>0</v>
      </c>
      <c r="CM30" s="345">
        <f>Balances!FK25</f>
        <v>0</v>
      </c>
      <c r="CN30" s="345">
        <f>Balances!FL25</f>
        <v>0</v>
      </c>
      <c r="CO30" s="345">
        <f>Balances!FM25</f>
        <v>0</v>
      </c>
      <c r="CP30" s="345">
        <f>Balances!FN25</f>
        <v>0</v>
      </c>
      <c r="CQ30" s="345">
        <f>Balances!FO25</f>
        <v>0</v>
      </c>
      <c r="CR30" s="345">
        <f>Balances!FP25</f>
        <v>0</v>
      </c>
      <c r="CS30" s="345">
        <f>Balances!FQ25</f>
        <v>0</v>
      </c>
      <c r="CT30" s="345">
        <f>Balances!FR25</f>
        <v>0</v>
      </c>
      <c r="CU30" s="345">
        <f>Balances!FS25</f>
        <v>0</v>
      </c>
      <c r="CV30" s="345">
        <f>Balances!FT25</f>
        <v>0</v>
      </c>
      <c r="CW30" s="345">
        <f>Balances!FU25</f>
        <v>0</v>
      </c>
      <c r="CX30" s="345">
        <f>Balances!FV25</f>
        <v>0</v>
      </c>
      <c r="CY30" s="345">
        <f>Balances!FW25</f>
        <v>0</v>
      </c>
      <c r="CZ30" s="345">
        <f>Balances!FX25</f>
        <v>0</v>
      </c>
      <c r="DA30" s="345">
        <f>Balances!FY25</f>
        <v>0</v>
      </c>
      <c r="DB30" s="345">
        <f>Balances!FZ25</f>
        <v>0</v>
      </c>
      <c r="DC30" s="345">
        <f>Balances!GA25</f>
        <v>0</v>
      </c>
      <c r="DD30" s="345">
        <f>Balances!GB25</f>
        <v>0</v>
      </c>
      <c r="DE30" s="345">
        <f>Balances!GC25</f>
        <v>0</v>
      </c>
      <c r="DF30" s="345">
        <f>Balances!GD25</f>
        <v>0</v>
      </c>
      <c r="DG30" s="345">
        <f>Balances!GE25</f>
        <v>0</v>
      </c>
      <c r="DH30" s="345">
        <f>Balances!GF25</f>
        <v>0</v>
      </c>
      <c r="DI30" s="537"/>
    </row>
    <row r="31" spans="2:113" x14ac:dyDescent="0.3">
      <c r="B31" s="406"/>
      <c r="C31" s="375" t="s">
        <v>293</v>
      </c>
      <c r="E31" s="345">
        <f>Balances!I18</f>
        <v>0</v>
      </c>
      <c r="F31" s="345">
        <f>Balances!J18</f>
        <v>0</v>
      </c>
      <c r="G31" s="345">
        <f>Balances!K18</f>
        <v>0</v>
      </c>
      <c r="H31" s="345">
        <f>Balances!L18</f>
        <v>0</v>
      </c>
      <c r="I31" s="345">
        <f>Balances!M18</f>
        <v>0</v>
      </c>
      <c r="J31" s="345">
        <f>Balances!N18</f>
        <v>0</v>
      </c>
      <c r="K31" s="345">
        <f>Balances!O18</f>
        <v>0</v>
      </c>
      <c r="L31" s="345">
        <f>Balances!P18</f>
        <v>0</v>
      </c>
      <c r="M31" s="345">
        <f>Balances!Q18</f>
        <v>0</v>
      </c>
      <c r="N31" s="345">
        <f>Balances!R18</f>
        <v>0</v>
      </c>
      <c r="O31" s="345">
        <f>Balances!S18</f>
        <v>0</v>
      </c>
      <c r="P31" s="345">
        <f>Balances!T18</f>
        <v>0</v>
      </c>
      <c r="Q31" s="345">
        <f>Balances!U18</f>
        <v>0</v>
      </c>
      <c r="R31" s="345">
        <f>Balances!V18</f>
        <v>0</v>
      </c>
      <c r="S31" s="345">
        <f>Balances!W18</f>
        <v>0</v>
      </c>
      <c r="T31" s="345">
        <f>Balances!X18</f>
        <v>0</v>
      </c>
      <c r="U31" s="345">
        <f>Balances!Y18</f>
        <v>0</v>
      </c>
      <c r="V31" s="345">
        <f>Balances!Z18</f>
        <v>0</v>
      </c>
      <c r="W31" s="345">
        <f>Balances!AA18</f>
        <v>0</v>
      </c>
      <c r="X31" s="345">
        <f>Balances!AB18</f>
        <v>0</v>
      </c>
      <c r="Y31" s="345">
        <f>Balances!AC18</f>
        <v>0</v>
      </c>
      <c r="Z31" s="345">
        <f>Balances!AD18</f>
        <v>0</v>
      </c>
      <c r="AA31" s="345">
        <f>Balances!AE18</f>
        <v>0</v>
      </c>
      <c r="AB31" s="345">
        <f>Balances!AF18</f>
        <v>0</v>
      </c>
      <c r="AC31" s="345">
        <f>Balances!AG18</f>
        <v>0</v>
      </c>
      <c r="AD31" s="345">
        <f>Balances!AH18</f>
        <v>0</v>
      </c>
      <c r="AE31" s="345">
        <f>Balances!AI18</f>
        <v>0</v>
      </c>
      <c r="AF31" s="345">
        <f>Balances!AJ18</f>
        <v>0</v>
      </c>
      <c r="AG31" s="345">
        <f>Balances!AK18</f>
        <v>0</v>
      </c>
      <c r="AH31" s="345">
        <f>Balances!AL18</f>
        <v>0</v>
      </c>
      <c r="AI31" s="345">
        <f>Balances!AM18</f>
        <v>0</v>
      </c>
      <c r="AJ31" s="345">
        <f>Balances!AN18</f>
        <v>0</v>
      </c>
      <c r="AK31" s="345">
        <f>Balances!AO18</f>
        <v>0</v>
      </c>
      <c r="AL31" s="345">
        <f>Balances!AP18</f>
        <v>0</v>
      </c>
      <c r="AM31" s="345">
        <f>Balances!AQ18</f>
        <v>0</v>
      </c>
      <c r="AN31" s="345">
        <f>Balances!AR18</f>
        <v>0</v>
      </c>
      <c r="AO31" s="345">
        <f>Balances!AS18</f>
        <v>0</v>
      </c>
      <c r="AP31" s="345">
        <f>Balances!AT18</f>
        <v>0</v>
      </c>
      <c r="AQ31" s="345">
        <f>Balances!AU18</f>
        <v>0</v>
      </c>
      <c r="AR31" s="345">
        <f>Balances!AV18</f>
        <v>0</v>
      </c>
      <c r="AS31" s="345">
        <f>Balances!AW18</f>
        <v>0</v>
      </c>
      <c r="AT31" s="345">
        <f>Balances!AX18</f>
        <v>0</v>
      </c>
      <c r="AU31" s="345">
        <f>Balances!AY18</f>
        <v>0</v>
      </c>
      <c r="AV31" s="345">
        <f>Balances!AZ18</f>
        <v>0</v>
      </c>
      <c r="AW31" s="345">
        <f>Balances!BA18</f>
        <v>0</v>
      </c>
      <c r="AX31" s="345">
        <f>Balances!BB18</f>
        <v>0</v>
      </c>
      <c r="AY31" s="345">
        <f>Balances!BC18</f>
        <v>0</v>
      </c>
      <c r="AZ31" s="345">
        <f>Balances!BD18</f>
        <v>0</v>
      </c>
      <c r="BA31" s="345">
        <f>Balances!BE18</f>
        <v>0</v>
      </c>
      <c r="BB31" s="345">
        <f>Balances!BF18</f>
        <v>0</v>
      </c>
      <c r="BC31" s="345">
        <f>Balances!BG18</f>
        <v>0</v>
      </c>
      <c r="BD31" s="345">
        <f>Balances!BH18</f>
        <v>0</v>
      </c>
      <c r="BE31" s="345">
        <f>Balances!BI18</f>
        <v>0</v>
      </c>
      <c r="BF31" s="345">
        <f>Balances!BJ18</f>
        <v>0</v>
      </c>
      <c r="BG31" s="345">
        <f>Balances!BK18</f>
        <v>0</v>
      </c>
      <c r="BH31" s="345">
        <f>Balances!BL18</f>
        <v>0</v>
      </c>
      <c r="BI31" s="345">
        <f>Balances!BM18</f>
        <v>0</v>
      </c>
      <c r="BJ31" s="345">
        <f>Balances!BN18</f>
        <v>0</v>
      </c>
      <c r="BK31" s="345">
        <f>Balances!BO18</f>
        <v>0</v>
      </c>
      <c r="BL31" s="345">
        <f>Balances!BP18</f>
        <v>0</v>
      </c>
      <c r="BM31" s="345">
        <f>Balances!BQ18</f>
        <v>0</v>
      </c>
      <c r="BN31" s="345">
        <f>Balances!BR18</f>
        <v>0</v>
      </c>
      <c r="BO31" s="345">
        <f>Balances!BS18</f>
        <v>0</v>
      </c>
      <c r="BP31" s="345">
        <f>Balances!BT18</f>
        <v>0</v>
      </c>
      <c r="BQ31" s="345">
        <f>Balances!BU18</f>
        <v>0</v>
      </c>
      <c r="BR31" s="345">
        <f>Balances!BV18</f>
        <v>0</v>
      </c>
      <c r="BS31" s="345">
        <f>Balances!BW18</f>
        <v>0</v>
      </c>
      <c r="BT31" s="345">
        <f>Balances!BX18</f>
        <v>0</v>
      </c>
      <c r="BU31" s="345">
        <f>Balances!BY18</f>
        <v>0</v>
      </c>
      <c r="BV31" s="345">
        <f>Balances!BZ18</f>
        <v>0</v>
      </c>
      <c r="BW31" s="345">
        <f>Balances!CA18</f>
        <v>0</v>
      </c>
      <c r="BX31" s="345">
        <f>Balances!CB18</f>
        <v>0</v>
      </c>
      <c r="BY31" s="345">
        <f>Balances!DM18</f>
        <v>0</v>
      </c>
      <c r="BZ31" s="345">
        <f>Balances!DN18</f>
        <v>0</v>
      </c>
      <c r="CA31" s="345">
        <f>Balances!DO18</f>
        <v>0</v>
      </c>
      <c r="CB31" s="345">
        <f>Balances!DP18</f>
        <v>0</v>
      </c>
      <c r="CC31" s="345">
        <f>Balances!DQ18</f>
        <v>0</v>
      </c>
      <c r="CD31" s="345">
        <f>Balances!DR18</f>
        <v>0</v>
      </c>
      <c r="CE31" s="345">
        <f>Balances!DS18</f>
        <v>0</v>
      </c>
      <c r="CF31" s="345">
        <f>Balances!DT18</f>
        <v>0</v>
      </c>
      <c r="CG31" s="345">
        <f>Balances!DU18</f>
        <v>0</v>
      </c>
      <c r="CH31" s="345">
        <f>Balances!DV18</f>
        <v>0</v>
      </c>
      <c r="CI31" s="345">
        <f>Balances!DW18</f>
        <v>0</v>
      </c>
      <c r="CJ31" s="345">
        <f>Balances!DX18</f>
        <v>0</v>
      </c>
      <c r="CK31" s="345">
        <f>Balances!DY18</f>
        <v>0</v>
      </c>
      <c r="CL31" s="345">
        <f>Balances!DZ18</f>
        <v>0</v>
      </c>
      <c r="CM31" s="345">
        <f>Balances!EA18</f>
        <v>0</v>
      </c>
      <c r="CN31" s="345">
        <f>Balances!EB18</f>
        <v>0</v>
      </c>
      <c r="CO31" s="345">
        <f>Balances!EC18</f>
        <v>0</v>
      </c>
      <c r="CP31" s="345">
        <f>Balances!ED18</f>
        <v>0</v>
      </c>
      <c r="CQ31" s="345">
        <f>Balances!EE18</f>
        <v>0</v>
      </c>
      <c r="CR31" s="345">
        <f>Balances!EF18</f>
        <v>0</v>
      </c>
      <c r="CS31" s="345">
        <f>Balances!EG18</f>
        <v>0</v>
      </c>
      <c r="CT31" s="345">
        <f>Balances!EH18</f>
        <v>0</v>
      </c>
      <c r="CU31" s="345">
        <f>Balances!EI18</f>
        <v>0</v>
      </c>
      <c r="CV31" s="345">
        <f>Balances!EJ18</f>
        <v>0</v>
      </c>
      <c r="CW31" s="345">
        <f>Balances!EK18</f>
        <v>0</v>
      </c>
      <c r="CX31" s="345">
        <f>Balances!EL18</f>
        <v>0</v>
      </c>
      <c r="CY31" s="345">
        <f>Balances!EM18</f>
        <v>0</v>
      </c>
      <c r="CZ31" s="345">
        <f>Balances!EN18</f>
        <v>0</v>
      </c>
      <c r="DA31" s="345">
        <f>Balances!EO18</f>
        <v>0</v>
      </c>
      <c r="DB31" s="345">
        <f>Balances!EP18</f>
        <v>0</v>
      </c>
      <c r="DC31" s="345">
        <f>Balances!EQ18</f>
        <v>0</v>
      </c>
      <c r="DD31" s="345">
        <f>Balances!ER18</f>
        <v>0</v>
      </c>
      <c r="DE31" s="345">
        <f>Balances!ES18</f>
        <v>0</v>
      </c>
      <c r="DF31" s="345">
        <f>Balances!ET18</f>
        <v>0</v>
      </c>
      <c r="DG31" s="345">
        <f>Balances!EU18</f>
        <v>0</v>
      </c>
      <c r="DH31" s="345">
        <f>Balances!EV18</f>
        <v>0</v>
      </c>
      <c r="DI31" s="537"/>
    </row>
    <row r="32" spans="2:113" x14ac:dyDescent="0.3">
      <c r="B32" s="406"/>
      <c r="C32" s="375" t="s">
        <v>670</v>
      </c>
      <c r="E32" s="345">
        <f>Balances!I32</f>
        <v>0</v>
      </c>
      <c r="F32" s="345">
        <f>Balances!J32</f>
        <v>0</v>
      </c>
      <c r="G32" s="345">
        <f>Balances!K32</f>
        <v>0</v>
      </c>
      <c r="H32" s="345">
        <f>Balances!L32</f>
        <v>0</v>
      </c>
      <c r="I32" s="345">
        <f>Balances!M32</f>
        <v>0</v>
      </c>
      <c r="J32" s="345">
        <f>Balances!N32</f>
        <v>0</v>
      </c>
      <c r="K32" s="345">
        <f>Balances!O32</f>
        <v>0</v>
      </c>
      <c r="L32" s="345">
        <f>Balances!P32</f>
        <v>0</v>
      </c>
      <c r="M32" s="345">
        <f>Balances!Q32</f>
        <v>0</v>
      </c>
      <c r="N32" s="345">
        <f>Balances!R32</f>
        <v>0</v>
      </c>
      <c r="O32" s="345">
        <f>Balances!S32</f>
        <v>0</v>
      </c>
      <c r="P32" s="345">
        <f>Balances!T32</f>
        <v>0</v>
      </c>
      <c r="Q32" s="345">
        <f>Balances!U32</f>
        <v>0</v>
      </c>
      <c r="R32" s="345">
        <f>Balances!V32</f>
        <v>0</v>
      </c>
      <c r="S32" s="345">
        <f>Balances!W32</f>
        <v>0</v>
      </c>
      <c r="T32" s="345">
        <f>Balances!X32</f>
        <v>0</v>
      </c>
      <c r="U32" s="345">
        <f>Balances!Y32</f>
        <v>0</v>
      </c>
      <c r="V32" s="345">
        <f>Balances!Z32</f>
        <v>0</v>
      </c>
      <c r="W32" s="345">
        <f>Balances!AA32</f>
        <v>0</v>
      </c>
      <c r="X32" s="345">
        <f>Balances!AB32</f>
        <v>0</v>
      </c>
      <c r="Y32" s="345">
        <f>Balances!AC32</f>
        <v>0</v>
      </c>
      <c r="Z32" s="345">
        <f>Balances!AD32</f>
        <v>0</v>
      </c>
      <c r="AA32" s="345">
        <f>Balances!AE32</f>
        <v>0</v>
      </c>
      <c r="AB32" s="345">
        <f>Balances!AF32</f>
        <v>2370000</v>
      </c>
      <c r="AC32" s="345">
        <f>Balances!AG32</f>
        <v>2367640.6525538797</v>
      </c>
      <c r="AD32" s="345">
        <f>Balances!AH32</f>
        <v>2365269.5083705289</v>
      </c>
      <c r="AE32" s="345">
        <f>Balances!AI32</f>
        <v>2362886.5084662614</v>
      </c>
      <c r="AF32" s="345">
        <f>Balances!AJ32</f>
        <v>2360491.5935624726</v>
      </c>
      <c r="AG32" s="345">
        <f>Balances!AK32</f>
        <v>2358084.7040841649</v>
      </c>
      <c r="AH32" s="345">
        <f>Balances!AL32</f>
        <v>2355665.7801584657</v>
      </c>
      <c r="AI32" s="345">
        <f>Balances!AM32</f>
        <v>2353234.761613138</v>
      </c>
      <c r="AJ32" s="345">
        <f>Balances!AN32</f>
        <v>2350791.5879750834</v>
      </c>
      <c r="AK32" s="345">
        <f>Balances!AO32</f>
        <v>2348336.1984688384</v>
      </c>
      <c r="AL32" s="345">
        <f>Balances!AP32</f>
        <v>2345868.5320150624</v>
      </c>
      <c r="AM32" s="345">
        <f>Balances!AQ32</f>
        <v>2343388.5272290176</v>
      </c>
      <c r="AN32" s="345">
        <f>Balances!AR32</f>
        <v>2360875.0894670594</v>
      </c>
      <c r="AO32" s="345">
        <f>Balances!AS32</f>
        <v>2358349.0845162915</v>
      </c>
      <c r="AP32" s="345">
        <f>Balances!AT32</f>
        <v>2355810.4495407697</v>
      </c>
      <c r="AQ32" s="345">
        <f>Balances!AU32</f>
        <v>2353259.1213903702</v>
      </c>
      <c r="AR32" s="345">
        <f>Balances!AV32</f>
        <v>2350695.0365992188</v>
      </c>
      <c r="AS32" s="345">
        <f>Balances!AW32</f>
        <v>2348118.1313841119</v>
      </c>
      <c r="AT32" s="345">
        <f>Balances!AX32</f>
        <v>2345528.3416429292</v>
      </c>
      <c r="AU32" s="345">
        <f>Balances!AY32</f>
        <v>2342925.602953041</v>
      </c>
      <c r="AV32" s="345">
        <f>Balances!AZ32</f>
        <v>2340309.8505697032</v>
      </c>
      <c r="AW32" s="345">
        <f>Balances!BA32</f>
        <v>2337681.0194244487</v>
      </c>
      <c r="AX32" s="345">
        <f>Balances!BB32</f>
        <v>2335039.044123468</v>
      </c>
      <c r="AY32" s="345">
        <f>Balances!BC32</f>
        <v>2332383.8589459821</v>
      </c>
      <c r="AZ32" s="345">
        <f>Balances!BD32</f>
        <v>2329715.3978426089</v>
      </c>
      <c r="BA32" s="345">
        <f>Balances!BE32</f>
        <v>2327033.5944337188</v>
      </c>
      <c r="BB32" s="345">
        <f>Balances!BF32</f>
        <v>2324338.3820077842</v>
      </c>
      <c r="BC32" s="345">
        <f>Balances!BG32</f>
        <v>2321629.6935197199</v>
      </c>
      <c r="BD32" s="345">
        <f>Balances!BH32</f>
        <v>2318907.4615892153</v>
      </c>
      <c r="BE32" s="345">
        <f>Balances!BI32</f>
        <v>2316171.6184990583</v>
      </c>
      <c r="BF32" s="345">
        <f>Balances!BJ32</f>
        <v>2313422.0961934505</v>
      </c>
      <c r="BG32" s="345">
        <f>Balances!BK32</f>
        <v>2310658.8262763144</v>
      </c>
      <c r="BH32" s="345">
        <f>Balances!BL32</f>
        <v>2307881.7400095928</v>
      </c>
      <c r="BI32" s="345">
        <f>Balances!BM32</f>
        <v>2305090.7683115378</v>
      </c>
      <c r="BJ32" s="345">
        <f>Balances!BN32</f>
        <v>2302285.8417549925</v>
      </c>
      <c r="BK32" s="345">
        <f>Balances!BO32</f>
        <v>2299466.8905656645</v>
      </c>
      <c r="BL32" s="345">
        <f>Balances!BP32</f>
        <v>2276657.5521178395</v>
      </c>
      <c r="BM32" s="345">
        <f>Balances!BQ32</f>
        <v>2273834.1669777753</v>
      </c>
      <c r="BN32" s="345">
        <f>Balances!BR32</f>
        <v>2270996.664912011</v>
      </c>
      <c r="BO32" s="345">
        <f>Balances!BS32</f>
        <v>2268144.9753359179</v>
      </c>
      <c r="BP32" s="345">
        <f>Balances!BT32</f>
        <v>2265279.0273119444</v>
      </c>
      <c r="BQ32" s="345">
        <f>Balances!BU32</f>
        <v>2262398.7495478508</v>
      </c>
      <c r="BR32" s="345">
        <f>Balances!BV32</f>
        <v>2259504.0703949369</v>
      </c>
      <c r="BS32" s="345">
        <f>Balances!BW32</f>
        <v>2256594.9178462583</v>
      </c>
      <c r="BT32" s="345">
        <f>Balances!BX32</f>
        <v>2253671.2195348362</v>
      </c>
      <c r="BU32" s="345">
        <f>Balances!BY32</f>
        <v>2250732.9027318573</v>
      </c>
      <c r="BV32" s="345">
        <f>Balances!BZ32</f>
        <v>2247779.8943448635</v>
      </c>
      <c r="BW32" s="345">
        <f>Balances!CA32</f>
        <v>2244812.1209159344</v>
      </c>
      <c r="BX32" s="345">
        <f>Balances!CB32</f>
        <v>2211867.2632058873</v>
      </c>
      <c r="BY32" s="345">
        <f>Balances!DM32</f>
        <v>0</v>
      </c>
      <c r="BZ32" s="345">
        <f>Balances!DN32</f>
        <v>0</v>
      </c>
      <c r="CA32" s="345">
        <f>Balances!DO32</f>
        <v>0</v>
      </c>
      <c r="CB32" s="345">
        <f>Balances!DP32</f>
        <v>0</v>
      </c>
      <c r="CC32" s="345">
        <f>Balances!DQ32</f>
        <v>0</v>
      </c>
      <c r="CD32" s="345">
        <f>Balances!DR32</f>
        <v>0</v>
      </c>
      <c r="CE32" s="345">
        <f>Balances!DS32</f>
        <v>0</v>
      </c>
      <c r="CF32" s="345">
        <f>Balances!DT32</f>
        <v>0</v>
      </c>
      <c r="CG32" s="345">
        <f>Balances!DU32</f>
        <v>0</v>
      </c>
      <c r="CH32" s="345">
        <f>Balances!DV32</f>
        <v>0</v>
      </c>
      <c r="CI32" s="345">
        <f>Balances!DW32</f>
        <v>0</v>
      </c>
      <c r="CJ32" s="345">
        <f>Balances!DX32</f>
        <v>0</v>
      </c>
      <c r="CK32" s="345">
        <f>Balances!DY32</f>
        <v>0</v>
      </c>
      <c r="CL32" s="345">
        <f>Balances!DZ32</f>
        <v>0</v>
      </c>
      <c r="CM32" s="345">
        <f>Balances!EA32</f>
        <v>0</v>
      </c>
      <c r="CN32" s="345">
        <f>Balances!EB32</f>
        <v>0</v>
      </c>
      <c r="CO32" s="345">
        <f>Balances!EC32</f>
        <v>0</v>
      </c>
      <c r="CP32" s="345">
        <f>Balances!ED32</f>
        <v>0</v>
      </c>
      <c r="CQ32" s="345">
        <f>Balances!EE32</f>
        <v>0</v>
      </c>
      <c r="CR32" s="345">
        <f>Balances!EF32</f>
        <v>0</v>
      </c>
      <c r="CS32" s="345">
        <f>Balances!EG32</f>
        <v>0</v>
      </c>
      <c r="CT32" s="345">
        <f>Balances!EH32</f>
        <v>0</v>
      </c>
      <c r="CU32" s="345">
        <f>Balances!EI32</f>
        <v>0</v>
      </c>
      <c r="CV32" s="345">
        <f>Balances!EJ32</f>
        <v>0</v>
      </c>
      <c r="CW32" s="345">
        <f>Balances!EK32</f>
        <v>0</v>
      </c>
      <c r="CX32" s="345">
        <f>Balances!EL32</f>
        <v>0</v>
      </c>
      <c r="CY32" s="345">
        <f>Balances!EM32</f>
        <v>0</v>
      </c>
      <c r="CZ32" s="345">
        <f>Balances!EN32</f>
        <v>0</v>
      </c>
      <c r="DA32" s="345">
        <f>Balances!EO32</f>
        <v>0</v>
      </c>
      <c r="DB32" s="345">
        <f>Balances!EP32</f>
        <v>0</v>
      </c>
      <c r="DC32" s="345">
        <f>Balances!EQ32</f>
        <v>0</v>
      </c>
      <c r="DD32" s="345">
        <f>Balances!ER32</f>
        <v>0</v>
      </c>
      <c r="DE32" s="345">
        <f>Balances!ES32</f>
        <v>0</v>
      </c>
      <c r="DF32" s="345">
        <f>Balances!ET32</f>
        <v>0</v>
      </c>
      <c r="DG32" s="345">
        <f>Balances!EU32</f>
        <v>0</v>
      </c>
      <c r="DH32" s="345">
        <f>Balances!EV32</f>
        <v>0</v>
      </c>
      <c r="DI32" s="537"/>
    </row>
    <row r="33" spans="2:113" x14ac:dyDescent="0.3">
      <c r="B33" s="406" t="s">
        <v>516</v>
      </c>
      <c r="E33" s="345">
        <f>SUM(E29:E32)</f>
        <v>1175000</v>
      </c>
      <c r="F33" s="345">
        <f t="shared" ref="F33:BQ33" si="125">SUM(F29:F32)</f>
        <v>1175000</v>
      </c>
      <c r="G33" s="345">
        <f t="shared" si="125"/>
        <v>1175000</v>
      </c>
      <c r="H33" s="345">
        <f t="shared" si="125"/>
        <v>1175000</v>
      </c>
      <c r="I33" s="345">
        <f t="shared" si="125"/>
        <v>1256027.4166666665</v>
      </c>
      <c r="J33" s="345">
        <f t="shared" si="125"/>
        <v>1628089.467048611</v>
      </c>
      <c r="K33" s="345">
        <f t="shared" si="125"/>
        <v>1948401.0086627458</v>
      </c>
      <c r="L33" s="345">
        <f t="shared" si="125"/>
        <v>2627105.5999813257</v>
      </c>
      <c r="M33" s="345">
        <f t="shared" si="125"/>
        <v>2742669.5193145117</v>
      </c>
      <c r="N33" s="345">
        <f t="shared" si="125"/>
        <v>2901655.319675751</v>
      </c>
      <c r="O33" s="345">
        <f t="shared" si="125"/>
        <v>3066254.7576231845</v>
      </c>
      <c r="P33" s="345">
        <f t="shared" si="125"/>
        <v>3210990.5244543678</v>
      </c>
      <c r="Q33" s="345">
        <f t="shared" si="125"/>
        <v>3214330.1977729648</v>
      </c>
      <c r="R33" s="345">
        <f t="shared" si="125"/>
        <v>3215370.2501720008</v>
      </c>
      <c r="S33" s="345">
        <f t="shared" si="125"/>
        <v>3213006.0763191958</v>
      </c>
      <c r="T33" s="345">
        <f t="shared" si="125"/>
        <v>3210623.1860900559</v>
      </c>
      <c r="U33" s="345">
        <f t="shared" si="125"/>
        <v>3210199.2613132689</v>
      </c>
      <c r="V33" s="345">
        <f t="shared" si="125"/>
        <v>3210663.4104653327</v>
      </c>
      <c r="W33" s="345">
        <f t="shared" si="125"/>
        <v>3214543.6941315164</v>
      </c>
      <c r="X33" s="345">
        <f t="shared" si="125"/>
        <v>3220780.7567100576</v>
      </c>
      <c r="Y33" s="345">
        <f t="shared" si="125"/>
        <v>3280566.4560340121</v>
      </c>
      <c r="Z33" s="345">
        <f t="shared" si="125"/>
        <v>3291825.0588109479</v>
      </c>
      <c r="AA33" s="345">
        <f t="shared" si="125"/>
        <v>3298673.9321932015</v>
      </c>
      <c r="AB33" s="345">
        <f t="shared" si="125"/>
        <v>3335755.5958230644</v>
      </c>
      <c r="AC33" s="345">
        <f t="shared" si="125"/>
        <v>3332493.6826233305</v>
      </c>
      <c r="AD33" s="345">
        <f t="shared" si="125"/>
        <v>3326802.3773741499</v>
      </c>
      <c r="AE33" s="345">
        <f t="shared" si="125"/>
        <v>3317576.0817956142</v>
      </c>
      <c r="AF33" s="345">
        <f t="shared" si="125"/>
        <v>3308283.6951268031</v>
      </c>
      <c r="AG33" s="345">
        <f t="shared" si="125"/>
        <v>3300944.7538986667</v>
      </c>
      <c r="AH33" s="345">
        <f t="shared" si="125"/>
        <v>3294488.3578134524</v>
      </c>
      <c r="AI33" s="345">
        <f t="shared" si="125"/>
        <v>3291484.7537873471</v>
      </c>
      <c r="AJ33" s="345">
        <f t="shared" si="125"/>
        <v>3290874.9117001249</v>
      </c>
      <c r="AK33" s="345">
        <f t="shared" si="125"/>
        <v>3349810.0176194902</v>
      </c>
      <c r="AL33" s="345">
        <f t="shared" si="125"/>
        <v>3354259.4546801103</v>
      </c>
      <c r="AM33" s="345">
        <f t="shared" si="125"/>
        <v>3354168.0638112845</v>
      </c>
      <c r="AN33" s="345">
        <f t="shared" si="125"/>
        <v>3358369.5577787054</v>
      </c>
      <c r="AO33" s="345">
        <f t="shared" si="125"/>
        <v>2358349.0845162915</v>
      </c>
      <c r="AP33" s="345">
        <f t="shared" si="125"/>
        <v>2355810.4495407697</v>
      </c>
      <c r="AQ33" s="345">
        <f t="shared" si="125"/>
        <v>2353259.1213903702</v>
      </c>
      <c r="AR33" s="345">
        <f t="shared" si="125"/>
        <v>2350695.0365992188</v>
      </c>
      <c r="AS33" s="345">
        <f t="shared" si="125"/>
        <v>2348118.1313841119</v>
      </c>
      <c r="AT33" s="345">
        <f t="shared" si="125"/>
        <v>2345528.3416429292</v>
      </c>
      <c r="AU33" s="345">
        <f t="shared" si="125"/>
        <v>2342925.602953041</v>
      </c>
      <c r="AV33" s="345">
        <f t="shared" si="125"/>
        <v>2340309.8505697032</v>
      </c>
      <c r="AW33" s="345">
        <f t="shared" si="125"/>
        <v>2337681.0194244487</v>
      </c>
      <c r="AX33" s="345">
        <f t="shared" si="125"/>
        <v>2335039.044123468</v>
      </c>
      <c r="AY33" s="345">
        <f t="shared" si="125"/>
        <v>2332383.8589459821</v>
      </c>
      <c r="AZ33" s="345">
        <f t="shared" si="125"/>
        <v>2329715.3978426089</v>
      </c>
      <c r="BA33" s="345">
        <f t="shared" si="125"/>
        <v>2327033.5944337188</v>
      </c>
      <c r="BB33" s="345">
        <f t="shared" si="125"/>
        <v>2324338.3820077842</v>
      </c>
      <c r="BC33" s="345">
        <f t="shared" si="125"/>
        <v>2321629.6935197199</v>
      </c>
      <c r="BD33" s="345">
        <f t="shared" si="125"/>
        <v>2318907.4615892153</v>
      </c>
      <c r="BE33" s="345">
        <f t="shared" si="125"/>
        <v>2316171.6184990583</v>
      </c>
      <c r="BF33" s="345">
        <f t="shared" si="125"/>
        <v>2313422.0961934505</v>
      </c>
      <c r="BG33" s="345">
        <f t="shared" si="125"/>
        <v>2310658.8262763144</v>
      </c>
      <c r="BH33" s="345">
        <f t="shared" si="125"/>
        <v>2307881.7400095928</v>
      </c>
      <c r="BI33" s="345">
        <f t="shared" si="125"/>
        <v>2305090.7683115378</v>
      </c>
      <c r="BJ33" s="345">
        <f t="shared" si="125"/>
        <v>2302285.8417549925</v>
      </c>
      <c r="BK33" s="345">
        <f t="shared" si="125"/>
        <v>2299466.8905656645</v>
      </c>
      <c r="BL33" s="345">
        <f t="shared" si="125"/>
        <v>2276657.5521178395</v>
      </c>
      <c r="BM33" s="345">
        <f t="shared" si="125"/>
        <v>2273834.1669777753</v>
      </c>
      <c r="BN33" s="345">
        <f t="shared" si="125"/>
        <v>2270996.664912011</v>
      </c>
      <c r="BO33" s="345">
        <f t="shared" si="125"/>
        <v>2268144.9753359179</v>
      </c>
      <c r="BP33" s="345">
        <f t="shared" si="125"/>
        <v>2265279.0273119444</v>
      </c>
      <c r="BQ33" s="345">
        <f t="shared" si="125"/>
        <v>2262398.7495478508</v>
      </c>
      <c r="BR33" s="345">
        <f t="shared" ref="BR33:BX33" si="126">SUM(BR29:BR32)</f>
        <v>2259504.0703949369</v>
      </c>
      <c r="BS33" s="345">
        <f t="shared" si="126"/>
        <v>2256594.9178462583</v>
      </c>
      <c r="BT33" s="345">
        <f t="shared" si="126"/>
        <v>2253671.2195348362</v>
      </c>
      <c r="BU33" s="345">
        <f t="shared" si="126"/>
        <v>2250732.9027318573</v>
      </c>
      <c r="BV33" s="345">
        <f t="shared" si="126"/>
        <v>2247779.8943448635</v>
      </c>
      <c r="BW33" s="345">
        <f t="shared" si="126"/>
        <v>2244812.1209159344</v>
      </c>
      <c r="BX33" s="345">
        <f t="shared" si="126"/>
        <v>2211867.2632058873</v>
      </c>
      <c r="BY33" s="345">
        <f t="shared" ref="BY33:CJ33" si="127">SUM(BY29:BY32)</f>
        <v>0</v>
      </c>
      <c r="BZ33" s="345">
        <f t="shared" si="127"/>
        <v>0</v>
      </c>
      <c r="CA33" s="345">
        <f t="shared" si="127"/>
        <v>0</v>
      </c>
      <c r="CB33" s="345">
        <f t="shared" si="127"/>
        <v>0</v>
      </c>
      <c r="CC33" s="345">
        <f t="shared" si="127"/>
        <v>0</v>
      </c>
      <c r="CD33" s="345">
        <f t="shared" si="127"/>
        <v>0</v>
      </c>
      <c r="CE33" s="345">
        <f t="shared" si="127"/>
        <v>0</v>
      </c>
      <c r="CF33" s="345">
        <f t="shared" si="127"/>
        <v>0</v>
      </c>
      <c r="CG33" s="345">
        <f t="shared" si="127"/>
        <v>0</v>
      </c>
      <c r="CH33" s="345">
        <f t="shared" si="127"/>
        <v>0</v>
      </c>
      <c r="CI33" s="345">
        <f t="shared" si="127"/>
        <v>0</v>
      </c>
      <c r="CJ33" s="345">
        <f t="shared" si="127"/>
        <v>0</v>
      </c>
      <c r="CK33" s="345">
        <f t="shared" ref="CK33:CV33" si="128">SUM(CK29:CK32)</f>
        <v>0</v>
      </c>
      <c r="CL33" s="345">
        <f t="shared" si="128"/>
        <v>0</v>
      </c>
      <c r="CM33" s="345">
        <f t="shared" si="128"/>
        <v>0</v>
      </c>
      <c r="CN33" s="345">
        <f t="shared" si="128"/>
        <v>0</v>
      </c>
      <c r="CO33" s="345">
        <f t="shared" si="128"/>
        <v>0</v>
      </c>
      <c r="CP33" s="345">
        <f t="shared" si="128"/>
        <v>0</v>
      </c>
      <c r="CQ33" s="345">
        <f t="shared" si="128"/>
        <v>0</v>
      </c>
      <c r="CR33" s="345">
        <f t="shared" si="128"/>
        <v>0</v>
      </c>
      <c r="CS33" s="345">
        <f t="shared" si="128"/>
        <v>0</v>
      </c>
      <c r="CT33" s="345">
        <f t="shared" si="128"/>
        <v>0</v>
      </c>
      <c r="CU33" s="345">
        <f t="shared" si="128"/>
        <v>0</v>
      </c>
      <c r="CV33" s="345">
        <f t="shared" si="128"/>
        <v>0</v>
      </c>
      <c r="CW33" s="345">
        <f t="shared" ref="CW33:DH33" si="129">SUM(CW29:CW32)</f>
        <v>0</v>
      </c>
      <c r="CX33" s="345">
        <f t="shared" si="129"/>
        <v>0</v>
      </c>
      <c r="CY33" s="345">
        <f t="shared" si="129"/>
        <v>0</v>
      </c>
      <c r="CZ33" s="345">
        <f t="shared" si="129"/>
        <v>0</v>
      </c>
      <c r="DA33" s="345">
        <f t="shared" si="129"/>
        <v>0</v>
      </c>
      <c r="DB33" s="345">
        <f t="shared" si="129"/>
        <v>0</v>
      </c>
      <c r="DC33" s="345">
        <f t="shared" si="129"/>
        <v>0</v>
      </c>
      <c r="DD33" s="345">
        <f t="shared" si="129"/>
        <v>0</v>
      </c>
      <c r="DE33" s="345">
        <f t="shared" si="129"/>
        <v>0</v>
      </c>
      <c r="DF33" s="345">
        <f t="shared" si="129"/>
        <v>0</v>
      </c>
      <c r="DG33" s="345">
        <f t="shared" si="129"/>
        <v>0</v>
      </c>
      <c r="DH33" s="345">
        <f t="shared" si="129"/>
        <v>0</v>
      </c>
      <c r="DI33" s="537"/>
    </row>
    <row r="34" spans="2:113" x14ac:dyDescent="0.3">
      <c r="B34" s="406"/>
      <c r="C34" s="375" t="s">
        <v>517</v>
      </c>
      <c r="D34" s="345">
        <f>MAX(E33:BX33)</f>
        <v>3358369.5577787054</v>
      </c>
      <c r="DI34" s="537"/>
    </row>
    <row r="35" spans="2:113" x14ac:dyDescent="0.3">
      <c r="B35" s="409"/>
      <c r="C35" s="384"/>
      <c r="D35" s="342"/>
      <c r="E35" s="342"/>
      <c r="F35" s="342"/>
      <c r="G35" s="342"/>
      <c r="H35" s="342"/>
      <c r="I35" s="342"/>
      <c r="J35" s="342"/>
      <c r="K35" s="342"/>
      <c r="L35" s="342"/>
      <c r="M35" s="342"/>
      <c r="N35" s="342"/>
      <c r="O35" s="342"/>
      <c r="P35" s="342"/>
      <c r="Q35" s="342"/>
      <c r="R35" s="342"/>
      <c r="S35" s="342"/>
      <c r="T35" s="342"/>
      <c r="U35" s="342"/>
      <c r="V35" s="342"/>
      <c r="W35" s="342"/>
      <c r="X35" s="342"/>
      <c r="Y35" s="342"/>
      <c r="Z35" s="342"/>
      <c r="AA35" s="342"/>
      <c r="AB35" s="342"/>
      <c r="AC35" s="342"/>
      <c r="AD35" s="342"/>
      <c r="AE35" s="342"/>
      <c r="AF35" s="342"/>
      <c r="AG35" s="342"/>
      <c r="AH35" s="342"/>
      <c r="AI35" s="342"/>
      <c r="AJ35" s="342"/>
      <c r="AK35" s="342"/>
      <c r="AL35" s="342"/>
      <c r="AM35" s="342"/>
      <c r="AN35" s="342"/>
      <c r="AO35" s="342"/>
      <c r="AP35" s="342"/>
      <c r="AQ35" s="342"/>
      <c r="AR35" s="342"/>
      <c r="AS35" s="342"/>
      <c r="AT35" s="342"/>
      <c r="AU35" s="342"/>
      <c r="AV35" s="342"/>
      <c r="AW35" s="342"/>
      <c r="AX35" s="342"/>
      <c r="AY35" s="342"/>
      <c r="AZ35" s="342"/>
      <c r="BA35" s="342"/>
      <c r="BB35" s="342"/>
      <c r="BC35" s="342"/>
      <c r="BD35" s="342"/>
      <c r="BE35" s="342"/>
      <c r="BF35" s="342"/>
      <c r="BG35" s="342"/>
      <c r="BH35" s="342"/>
      <c r="BI35" s="342"/>
      <c r="BJ35" s="342"/>
      <c r="BK35" s="342"/>
      <c r="BL35" s="342"/>
      <c r="BM35" s="342"/>
      <c r="BN35" s="342"/>
      <c r="BO35" s="342"/>
      <c r="BP35" s="342"/>
      <c r="BQ35" s="342"/>
      <c r="BR35" s="342"/>
      <c r="BS35" s="342"/>
      <c r="BT35" s="342"/>
      <c r="BU35" s="342"/>
      <c r="BV35" s="342"/>
      <c r="BW35" s="342"/>
      <c r="BX35" s="342"/>
      <c r="BY35" s="342"/>
      <c r="BZ35" s="342"/>
      <c r="CA35" s="342"/>
      <c r="CB35" s="342"/>
      <c r="CC35" s="342"/>
      <c r="CD35" s="342"/>
      <c r="CE35" s="342"/>
      <c r="CF35" s="342"/>
      <c r="CG35" s="342"/>
      <c r="CH35" s="342"/>
      <c r="CI35" s="342"/>
      <c r="CJ35" s="342"/>
      <c r="CK35" s="342"/>
      <c r="CL35" s="342"/>
      <c r="CM35" s="342"/>
      <c r="CN35" s="342"/>
      <c r="CO35" s="342"/>
      <c r="CP35" s="342"/>
      <c r="CQ35" s="342"/>
      <c r="CR35" s="342"/>
      <c r="CS35" s="342"/>
      <c r="CT35" s="342"/>
      <c r="CU35" s="342"/>
      <c r="CV35" s="342"/>
      <c r="CW35" s="342"/>
      <c r="CX35" s="342"/>
      <c r="CY35" s="342"/>
      <c r="CZ35" s="342"/>
      <c r="DA35" s="342"/>
      <c r="DB35" s="342"/>
      <c r="DC35" s="342"/>
      <c r="DD35" s="342"/>
      <c r="DE35" s="342"/>
      <c r="DF35" s="342"/>
      <c r="DG35" s="342"/>
      <c r="DH35" s="342"/>
      <c r="DI35" s="410"/>
    </row>
    <row r="38" spans="2:113" x14ac:dyDescent="0.3">
      <c r="B38" s="401"/>
      <c r="C38" s="402"/>
      <c r="D38" s="403"/>
      <c r="E38" s="403"/>
      <c r="F38" s="403"/>
      <c r="G38" s="403"/>
      <c r="H38" s="403"/>
      <c r="I38" s="403"/>
      <c r="J38" s="403"/>
      <c r="K38" s="403"/>
      <c r="L38" s="403"/>
      <c r="M38" s="403"/>
      <c r="N38" s="403"/>
      <c r="O38" s="403"/>
      <c r="P38" s="403"/>
      <c r="Q38" s="403"/>
      <c r="R38" s="403"/>
      <c r="S38" s="403"/>
      <c r="T38" s="403"/>
      <c r="U38" s="403"/>
      <c r="V38" s="403"/>
      <c r="W38" s="403"/>
      <c r="X38" s="403"/>
      <c r="Y38" s="403"/>
      <c r="Z38" s="403"/>
      <c r="AA38" s="403"/>
      <c r="AB38" s="403"/>
      <c r="AC38" s="403"/>
      <c r="AD38" s="403"/>
      <c r="AE38" s="403"/>
      <c r="AF38" s="403"/>
      <c r="AG38" s="403"/>
      <c r="AH38" s="403"/>
      <c r="AI38" s="403"/>
      <c r="AJ38" s="403"/>
      <c r="AK38" s="403"/>
      <c r="AL38" s="403"/>
      <c r="AM38" s="403"/>
      <c r="AN38" s="403"/>
      <c r="AO38" s="403"/>
      <c r="AP38" s="403"/>
      <c r="AQ38" s="403"/>
      <c r="AR38" s="403"/>
      <c r="AS38" s="403"/>
      <c r="AT38" s="403"/>
      <c r="AU38" s="403"/>
      <c r="AV38" s="403"/>
      <c r="AW38" s="403"/>
      <c r="AX38" s="403"/>
      <c r="AY38" s="403"/>
      <c r="AZ38" s="403"/>
      <c r="BA38" s="403"/>
      <c r="BB38" s="403"/>
      <c r="BC38" s="403"/>
      <c r="BD38" s="403"/>
      <c r="BE38" s="403"/>
      <c r="BF38" s="403"/>
      <c r="BG38" s="403"/>
      <c r="BH38" s="403"/>
      <c r="BI38" s="403"/>
      <c r="BJ38" s="403"/>
      <c r="BK38" s="403"/>
      <c r="BL38" s="403"/>
      <c r="BM38" s="403"/>
      <c r="BN38" s="403"/>
      <c r="BO38" s="403"/>
      <c r="BP38" s="403"/>
      <c r="BQ38" s="403"/>
      <c r="BR38" s="403"/>
      <c r="BS38" s="403"/>
      <c r="BT38" s="403"/>
      <c r="BU38" s="403"/>
      <c r="BV38" s="403"/>
      <c r="BW38" s="403"/>
      <c r="BX38" s="403"/>
      <c r="BY38" s="403"/>
      <c r="BZ38" s="403"/>
      <c r="CA38" s="403"/>
      <c r="CB38" s="403"/>
      <c r="CC38" s="403"/>
      <c r="CD38" s="403"/>
      <c r="CE38" s="403"/>
      <c r="CF38" s="403"/>
      <c r="CG38" s="403"/>
      <c r="CH38" s="403"/>
      <c r="CI38" s="403"/>
      <c r="CJ38" s="403"/>
      <c r="CK38" s="403"/>
      <c r="CL38" s="403"/>
      <c r="CM38" s="403"/>
      <c r="CN38" s="403"/>
      <c r="CO38" s="403"/>
      <c r="CP38" s="403"/>
      <c r="CQ38" s="403"/>
      <c r="CR38" s="403"/>
      <c r="CS38" s="403"/>
      <c r="CT38" s="403"/>
      <c r="CU38" s="403"/>
      <c r="CV38" s="403"/>
      <c r="CW38" s="403"/>
      <c r="CX38" s="403"/>
      <c r="CY38" s="403"/>
      <c r="CZ38" s="403"/>
      <c r="DA38" s="403"/>
      <c r="DB38" s="403"/>
      <c r="DC38" s="403"/>
      <c r="DD38" s="403"/>
      <c r="DE38" s="403"/>
      <c r="DF38" s="403"/>
      <c r="DG38" s="403"/>
      <c r="DH38" s="403"/>
      <c r="DI38" s="411"/>
    </row>
    <row r="39" spans="2:113" ht="14.4" thickBot="1" x14ac:dyDescent="0.35">
      <c r="B39" s="718" t="s">
        <v>681</v>
      </c>
      <c r="C39" s="719"/>
      <c r="D39" s="368"/>
      <c r="E39" s="969">
        <f>E3</f>
        <v>45413</v>
      </c>
      <c r="F39" s="969">
        <f t="shared" ref="F39:BQ39" si="130">F3</f>
        <v>45444</v>
      </c>
      <c r="G39" s="969">
        <f t="shared" si="130"/>
        <v>45474</v>
      </c>
      <c r="H39" s="969">
        <f t="shared" si="130"/>
        <v>45505</v>
      </c>
      <c r="I39" s="969">
        <f t="shared" si="130"/>
        <v>45536</v>
      </c>
      <c r="J39" s="969">
        <f t="shared" si="130"/>
        <v>45566</v>
      </c>
      <c r="K39" s="969">
        <f t="shared" si="130"/>
        <v>45597</v>
      </c>
      <c r="L39" s="969">
        <f t="shared" si="130"/>
        <v>45627</v>
      </c>
      <c r="M39" s="969">
        <f t="shared" si="130"/>
        <v>45658</v>
      </c>
      <c r="N39" s="969">
        <f t="shared" si="130"/>
        <v>45689</v>
      </c>
      <c r="O39" s="969">
        <f t="shared" si="130"/>
        <v>45717</v>
      </c>
      <c r="P39" s="969">
        <f t="shared" si="130"/>
        <v>45748</v>
      </c>
      <c r="Q39" s="969">
        <f t="shared" si="130"/>
        <v>45778</v>
      </c>
      <c r="R39" s="969">
        <f t="shared" si="130"/>
        <v>45809</v>
      </c>
      <c r="S39" s="969">
        <f t="shared" si="130"/>
        <v>45839</v>
      </c>
      <c r="T39" s="969">
        <f t="shared" si="130"/>
        <v>45870</v>
      </c>
      <c r="U39" s="969">
        <f t="shared" si="130"/>
        <v>45901</v>
      </c>
      <c r="V39" s="969">
        <f t="shared" si="130"/>
        <v>45931</v>
      </c>
      <c r="W39" s="969">
        <f t="shared" si="130"/>
        <v>45962</v>
      </c>
      <c r="X39" s="969">
        <f t="shared" si="130"/>
        <v>45992</v>
      </c>
      <c r="Y39" s="969">
        <f t="shared" si="130"/>
        <v>46023</v>
      </c>
      <c r="Z39" s="969">
        <f t="shared" si="130"/>
        <v>46054</v>
      </c>
      <c r="AA39" s="969">
        <f t="shared" si="130"/>
        <v>46082</v>
      </c>
      <c r="AB39" s="969">
        <f t="shared" si="130"/>
        <v>46113</v>
      </c>
      <c r="AC39" s="969">
        <f t="shared" si="130"/>
        <v>46143</v>
      </c>
      <c r="AD39" s="969">
        <f t="shared" si="130"/>
        <v>46174</v>
      </c>
      <c r="AE39" s="969">
        <f t="shared" si="130"/>
        <v>46204</v>
      </c>
      <c r="AF39" s="969">
        <f t="shared" si="130"/>
        <v>46235</v>
      </c>
      <c r="AG39" s="969">
        <f t="shared" si="130"/>
        <v>46266</v>
      </c>
      <c r="AH39" s="969">
        <f t="shared" si="130"/>
        <v>46296</v>
      </c>
      <c r="AI39" s="969">
        <f t="shared" si="130"/>
        <v>46327</v>
      </c>
      <c r="AJ39" s="969">
        <f t="shared" si="130"/>
        <v>46357</v>
      </c>
      <c r="AK39" s="969">
        <f t="shared" si="130"/>
        <v>46388</v>
      </c>
      <c r="AL39" s="969">
        <f t="shared" si="130"/>
        <v>46419</v>
      </c>
      <c r="AM39" s="969">
        <f t="shared" si="130"/>
        <v>46447</v>
      </c>
      <c r="AN39" s="969">
        <f t="shared" si="130"/>
        <v>46478</v>
      </c>
      <c r="AO39" s="969">
        <f t="shared" si="130"/>
        <v>46508</v>
      </c>
      <c r="AP39" s="969">
        <f t="shared" si="130"/>
        <v>46539</v>
      </c>
      <c r="AQ39" s="969">
        <f t="shared" si="130"/>
        <v>46569</v>
      </c>
      <c r="AR39" s="969">
        <f t="shared" si="130"/>
        <v>46600</v>
      </c>
      <c r="AS39" s="969">
        <f t="shared" si="130"/>
        <v>46631</v>
      </c>
      <c r="AT39" s="969">
        <f t="shared" si="130"/>
        <v>46661</v>
      </c>
      <c r="AU39" s="969">
        <f t="shared" si="130"/>
        <v>46692</v>
      </c>
      <c r="AV39" s="969">
        <f t="shared" si="130"/>
        <v>46722</v>
      </c>
      <c r="AW39" s="969">
        <f t="shared" si="130"/>
        <v>46753</v>
      </c>
      <c r="AX39" s="969">
        <f t="shared" si="130"/>
        <v>46784</v>
      </c>
      <c r="AY39" s="969">
        <f t="shared" si="130"/>
        <v>46813</v>
      </c>
      <c r="AZ39" s="969">
        <f t="shared" si="130"/>
        <v>46844</v>
      </c>
      <c r="BA39" s="969">
        <f t="shared" si="130"/>
        <v>46874</v>
      </c>
      <c r="BB39" s="969">
        <f t="shared" si="130"/>
        <v>46905</v>
      </c>
      <c r="BC39" s="969">
        <f t="shared" si="130"/>
        <v>46935</v>
      </c>
      <c r="BD39" s="969">
        <f t="shared" si="130"/>
        <v>46966</v>
      </c>
      <c r="BE39" s="969">
        <f t="shared" si="130"/>
        <v>46997</v>
      </c>
      <c r="BF39" s="969">
        <f t="shared" si="130"/>
        <v>47027</v>
      </c>
      <c r="BG39" s="969">
        <f t="shared" si="130"/>
        <v>47058</v>
      </c>
      <c r="BH39" s="969">
        <f t="shared" si="130"/>
        <v>47088</v>
      </c>
      <c r="BI39" s="969">
        <f t="shared" si="130"/>
        <v>47119</v>
      </c>
      <c r="BJ39" s="969">
        <f t="shared" si="130"/>
        <v>47150</v>
      </c>
      <c r="BK39" s="969">
        <f t="shared" si="130"/>
        <v>47178</v>
      </c>
      <c r="BL39" s="969">
        <f t="shared" si="130"/>
        <v>47209</v>
      </c>
      <c r="BM39" s="969">
        <f t="shared" si="130"/>
        <v>47239</v>
      </c>
      <c r="BN39" s="969">
        <f t="shared" si="130"/>
        <v>47270</v>
      </c>
      <c r="BO39" s="969">
        <f t="shared" si="130"/>
        <v>47300</v>
      </c>
      <c r="BP39" s="969">
        <f t="shared" si="130"/>
        <v>47331</v>
      </c>
      <c r="BQ39" s="969">
        <f t="shared" si="130"/>
        <v>47362</v>
      </c>
      <c r="BR39" s="969">
        <f t="shared" ref="BR39:DH39" si="131">BR3</f>
        <v>47392</v>
      </c>
      <c r="BS39" s="969">
        <f t="shared" si="131"/>
        <v>47423</v>
      </c>
      <c r="BT39" s="969">
        <f t="shared" si="131"/>
        <v>47453</v>
      </c>
      <c r="BU39" s="969">
        <f t="shared" si="131"/>
        <v>47484</v>
      </c>
      <c r="BV39" s="969">
        <f t="shared" si="131"/>
        <v>47515</v>
      </c>
      <c r="BW39" s="969">
        <f t="shared" si="131"/>
        <v>47543</v>
      </c>
      <c r="BX39" s="969">
        <f t="shared" si="131"/>
        <v>47574</v>
      </c>
      <c r="BY39" s="969">
        <f t="shared" si="131"/>
        <v>47604</v>
      </c>
      <c r="BZ39" s="969">
        <f t="shared" si="131"/>
        <v>47635</v>
      </c>
      <c r="CA39" s="969">
        <f t="shared" si="131"/>
        <v>47665</v>
      </c>
      <c r="CB39" s="969">
        <f t="shared" si="131"/>
        <v>47696</v>
      </c>
      <c r="CC39" s="969">
        <f t="shared" si="131"/>
        <v>47727</v>
      </c>
      <c r="CD39" s="969">
        <f t="shared" si="131"/>
        <v>47757</v>
      </c>
      <c r="CE39" s="969">
        <f t="shared" si="131"/>
        <v>47788</v>
      </c>
      <c r="CF39" s="969">
        <f t="shared" si="131"/>
        <v>47818</v>
      </c>
      <c r="CG39" s="969">
        <f t="shared" si="131"/>
        <v>47849</v>
      </c>
      <c r="CH39" s="969">
        <f t="shared" si="131"/>
        <v>47880</v>
      </c>
      <c r="CI39" s="969">
        <f t="shared" si="131"/>
        <v>47908</v>
      </c>
      <c r="CJ39" s="969">
        <f t="shared" si="131"/>
        <v>47939</v>
      </c>
      <c r="CK39" s="969">
        <f t="shared" si="131"/>
        <v>47969</v>
      </c>
      <c r="CL39" s="969">
        <f t="shared" si="131"/>
        <v>48000</v>
      </c>
      <c r="CM39" s="969">
        <f t="shared" si="131"/>
        <v>48030</v>
      </c>
      <c r="CN39" s="969">
        <f t="shared" si="131"/>
        <v>48061</v>
      </c>
      <c r="CO39" s="969">
        <f t="shared" si="131"/>
        <v>48092</v>
      </c>
      <c r="CP39" s="969">
        <f t="shared" si="131"/>
        <v>48122</v>
      </c>
      <c r="CQ39" s="969">
        <f t="shared" si="131"/>
        <v>48153</v>
      </c>
      <c r="CR39" s="969">
        <f t="shared" si="131"/>
        <v>48183</v>
      </c>
      <c r="CS39" s="969">
        <f t="shared" si="131"/>
        <v>48214</v>
      </c>
      <c r="CT39" s="969">
        <f t="shared" si="131"/>
        <v>48245</v>
      </c>
      <c r="CU39" s="969">
        <f t="shared" si="131"/>
        <v>48274</v>
      </c>
      <c r="CV39" s="969">
        <f t="shared" si="131"/>
        <v>48305</v>
      </c>
      <c r="CW39" s="969">
        <f t="shared" si="131"/>
        <v>48335</v>
      </c>
      <c r="CX39" s="969">
        <f t="shared" si="131"/>
        <v>48366</v>
      </c>
      <c r="CY39" s="969">
        <f t="shared" si="131"/>
        <v>48396</v>
      </c>
      <c r="CZ39" s="969">
        <f t="shared" si="131"/>
        <v>48427</v>
      </c>
      <c r="DA39" s="969">
        <f t="shared" si="131"/>
        <v>48458</v>
      </c>
      <c r="DB39" s="969">
        <f t="shared" si="131"/>
        <v>48488</v>
      </c>
      <c r="DC39" s="969">
        <f t="shared" si="131"/>
        <v>48519</v>
      </c>
      <c r="DD39" s="969">
        <f t="shared" si="131"/>
        <v>48549</v>
      </c>
      <c r="DE39" s="969">
        <f t="shared" si="131"/>
        <v>48580</v>
      </c>
      <c r="DF39" s="969">
        <f t="shared" si="131"/>
        <v>48611</v>
      </c>
      <c r="DG39" s="969">
        <f t="shared" si="131"/>
        <v>48639</v>
      </c>
      <c r="DH39" s="969">
        <f t="shared" si="131"/>
        <v>48670</v>
      </c>
      <c r="DI39" s="537"/>
    </row>
    <row r="40" spans="2:113" x14ac:dyDescent="0.3">
      <c r="B40" s="406"/>
      <c r="DI40" s="537"/>
    </row>
    <row r="41" spans="2:113" x14ac:dyDescent="0.3">
      <c r="B41" s="406"/>
      <c r="C41" s="384" t="s">
        <v>683</v>
      </c>
      <c r="D41" s="342"/>
      <c r="E41" s="344"/>
      <c r="F41" s="344"/>
      <c r="G41" s="344"/>
      <c r="H41" s="344"/>
      <c r="I41" s="344"/>
      <c r="J41" s="344"/>
      <c r="K41" s="344"/>
      <c r="L41" s="344"/>
      <c r="M41" s="344"/>
      <c r="N41" s="344"/>
      <c r="O41" s="344"/>
      <c r="P41" s="344"/>
      <c r="Q41" s="344"/>
      <c r="R41" s="344"/>
      <c r="S41" s="344"/>
      <c r="T41" s="344"/>
      <c r="U41" s="344"/>
      <c r="V41" s="344"/>
      <c r="W41" s="344"/>
      <c r="X41" s="344"/>
      <c r="Y41" s="344"/>
      <c r="Z41" s="344"/>
      <c r="AA41" s="344"/>
      <c r="AB41" s="344"/>
      <c r="AC41" s="344"/>
      <c r="AD41" s="344"/>
      <c r="AE41" s="344"/>
      <c r="AF41" s="344"/>
      <c r="AG41" s="344"/>
      <c r="AH41" s="344"/>
      <c r="AI41" s="344"/>
      <c r="AJ41" s="344"/>
      <c r="AK41" s="344"/>
      <c r="AL41" s="344"/>
      <c r="AM41" s="344"/>
      <c r="AN41" s="344"/>
      <c r="AO41" s="344"/>
      <c r="AP41" s="344"/>
      <c r="AQ41" s="344"/>
      <c r="AR41" s="344"/>
      <c r="AS41" s="344"/>
      <c r="AT41" s="344"/>
      <c r="AU41" s="344"/>
      <c r="AV41" s="344"/>
      <c r="AW41" s="344"/>
      <c r="AX41" s="344"/>
      <c r="AY41" s="344"/>
      <c r="AZ41" s="344"/>
      <c r="BA41" s="344"/>
      <c r="BB41" s="344"/>
      <c r="BC41" s="344"/>
      <c r="BD41" s="344"/>
      <c r="BE41" s="344"/>
      <c r="BF41" s="344"/>
      <c r="BG41" s="344"/>
      <c r="BH41" s="344"/>
      <c r="BI41" s="344"/>
      <c r="BJ41" s="344"/>
      <c r="BK41" s="344"/>
      <c r="BL41" s="344"/>
      <c r="BM41" s="344"/>
      <c r="BN41" s="344"/>
      <c r="BO41" s="344"/>
      <c r="BP41" s="344"/>
      <c r="BQ41" s="344"/>
      <c r="BR41" s="344"/>
      <c r="BS41" s="344"/>
      <c r="BT41" s="344"/>
      <c r="BU41" s="344"/>
      <c r="BV41" s="344"/>
      <c r="BW41" s="344"/>
      <c r="BX41" s="344"/>
      <c r="BY41" s="344"/>
      <c r="BZ41" s="344"/>
      <c r="CA41" s="344"/>
      <c r="CB41" s="344"/>
      <c r="CC41" s="344"/>
      <c r="CD41" s="344"/>
      <c r="CE41" s="344"/>
      <c r="CF41" s="344"/>
      <c r="CG41" s="344"/>
      <c r="CH41" s="344"/>
      <c r="CI41" s="344"/>
      <c r="CJ41" s="344"/>
      <c r="CK41" s="344"/>
      <c r="CL41" s="344"/>
      <c r="CM41" s="344"/>
      <c r="CN41" s="344"/>
      <c r="CO41" s="344"/>
      <c r="CP41" s="344"/>
      <c r="CQ41" s="344"/>
      <c r="CR41" s="344"/>
      <c r="CS41" s="344"/>
      <c r="CT41" s="344"/>
      <c r="CU41" s="344"/>
      <c r="CV41" s="344"/>
      <c r="CW41" s="344"/>
      <c r="CX41" s="344"/>
      <c r="CY41" s="344"/>
      <c r="CZ41" s="344"/>
      <c r="DA41" s="344"/>
      <c r="DB41" s="344"/>
      <c r="DC41" s="344"/>
      <c r="DD41" s="344"/>
      <c r="DE41" s="344"/>
      <c r="DF41" s="344"/>
      <c r="DG41" s="344"/>
      <c r="DH41" s="344"/>
      <c r="DI41" s="537"/>
    </row>
    <row r="42" spans="2:113" x14ac:dyDescent="0.3">
      <c r="B42" s="406"/>
      <c r="C42" s="375" t="s">
        <v>117</v>
      </c>
      <c r="E42" s="340">
        <f>SUM(E41:E41)</f>
        <v>0</v>
      </c>
      <c r="F42" s="340">
        <f t="shared" ref="F42:BQ42" si="132">SUM(F41:F41)</f>
        <v>0</v>
      </c>
      <c r="G42" s="340">
        <f t="shared" si="132"/>
        <v>0</v>
      </c>
      <c r="H42" s="340">
        <f t="shared" si="132"/>
        <v>0</v>
      </c>
      <c r="I42" s="340">
        <f t="shared" si="132"/>
        <v>0</v>
      </c>
      <c r="J42" s="340">
        <f t="shared" si="132"/>
        <v>0</v>
      </c>
      <c r="K42" s="340">
        <f t="shared" si="132"/>
        <v>0</v>
      </c>
      <c r="L42" s="340">
        <f t="shared" si="132"/>
        <v>0</v>
      </c>
      <c r="M42" s="340">
        <f t="shared" si="132"/>
        <v>0</v>
      </c>
      <c r="N42" s="340">
        <f t="shared" si="132"/>
        <v>0</v>
      </c>
      <c r="O42" s="340">
        <f t="shared" si="132"/>
        <v>0</v>
      </c>
      <c r="P42" s="340">
        <f t="shared" si="132"/>
        <v>0</v>
      </c>
      <c r="Q42" s="340">
        <f t="shared" si="132"/>
        <v>0</v>
      </c>
      <c r="R42" s="340">
        <f t="shared" si="132"/>
        <v>0</v>
      </c>
      <c r="S42" s="340">
        <f t="shared" si="132"/>
        <v>0</v>
      </c>
      <c r="T42" s="340">
        <f t="shared" si="132"/>
        <v>0</v>
      </c>
      <c r="U42" s="340">
        <f t="shared" si="132"/>
        <v>0</v>
      </c>
      <c r="V42" s="340">
        <f t="shared" si="132"/>
        <v>0</v>
      </c>
      <c r="W42" s="340">
        <f t="shared" si="132"/>
        <v>0</v>
      </c>
      <c r="X42" s="340">
        <f t="shared" si="132"/>
        <v>0</v>
      </c>
      <c r="Y42" s="340">
        <f t="shared" si="132"/>
        <v>0</v>
      </c>
      <c r="Z42" s="340">
        <f t="shared" si="132"/>
        <v>0</v>
      </c>
      <c r="AA42" s="340">
        <f t="shared" si="132"/>
        <v>0</v>
      </c>
      <c r="AB42" s="340">
        <f t="shared" si="132"/>
        <v>0</v>
      </c>
      <c r="AC42" s="340">
        <f t="shared" si="132"/>
        <v>0</v>
      </c>
      <c r="AD42" s="340">
        <f t="shared" si="132"/>
        <v>0</v>
      </c>
      <c r="AE42" s="340">
        <f t="shared" si="132"/>
        <v>0</v>
      </c>
      <c r="AF42" s="340">
        <f t="shared" si="132"/>
        <v>0</v>
      </c>
      <c r="AG42" s="340">
        <f t="shared" si="132"/>
        <v>0</v>
      </c>
      <c r="AH42" s="340">
        <f t="shared" si="132"/>
        <v>0</v>
      </c>
      <c r="AI42" s="340">
        <f t="shared" si="132"/>
        <v>0</v>
      </c>
      <c r="AJ42" s="340">
        <f t="shared" si="132"/>
        <v>0</v>
      </c>
      <c r="AK42" s="340">
        <f t="shared" si="132"/>
        <v>0</v>
      </c>
      <c r="AL42" s="340">
        <f t="shared" si="132"/>
        <v>0</v>
      </c>
      <c r="AM42" s="340">
        <f t="shared" si="132"/>
        <v>0</v>
      </c>
      <c r="AN42" s="340">
        <f t="shared" si="132"/>
        <v>0</v>
      </c>
      <c r="AO42" s="340">
        <f t="shared" si="132"/>
        <v>0</v>
      </c>
      <c r="AP42" s="340">
        <f t="shared" si="132"/>
        <v>0</v>
      </c>
      <c r="AQ42" s="340">
        <f t="shared" si="132"/>
        <v>0</v>
      </c>
      <c r="AR42" s="340">
        <f t="shared" si="132"/>
        <v>0</v>
      </c>
      <c r="AS42" s="340">
        <f t="shared" si="132"/>
        <v>0</v>
      </c>
      <c r="AT42" s="340">
        <f t="shared" si="132"/>
        <v>0</v>
      </c>
      <c r="AU42" s="340">
        <f t="shared" si="132"/>
        <v>0</v>
      </c>
      <c r="AV42" s="340">
        <f t="shared" si="132"/>
        <v>0</v>
      </c>
      <c r="AW42" s="340">
        <f t="shared" si="132"/>
        <v>0</v>
      </c>
      <c r="AX42" s="340">
        <f t="shared" si="132"/>
        <v>0</v>
      </c>
      <c r="AY42" s="340">
        <f t="shared" si="132"/>
        <v>0</v>
      </c>
      <c r="AZ42" s="340">
        <f t="shared" si="132"/>
        <v>0</v>
      </c>
      <c r="BA42" s="340">
        <f t="shared" si="132"/>
        <v>0</v>
      </c>
      <c r="BB42" s="340">
        <f t="shared" si="132"/>
        <v>0</v>
      </c>
      <c r="BC42" s="340">
        <f t="shared" si="132"/>
        <v>0</v>
      </c>
      <c r="BD42" s="340">
        <f t="shared" si="132"/>
        <v>0</v>
      </c>
      <c r="BE42" s="340">
        <f t="shared" si="132"/>
        <v>0</v>
      </c>
      <c r="BF42" s="340">
        <f t="shared" si="132"/>
        <v>0</v>
      </c>
      <c r="BG42" s="340">
        <f t="shared" si="132"/>
        <v>0</v>
      </c>
      <c r="BH42" s="340">
        <f t="shared" si="132"/>
        <v>0</v>
      </c>
      <c r="BI42" s="340">
        <f t="shared" si="132"/>
        <v>0</v>
      </c>
      <c r="BJ42" s="340">
        <f t="shared" si="132"/>
        <v>0</v>
      </c>
      <c r="BK42" s="340">
        <f t="shared" si="132"/>
        <v>0</v>
      </c>
      <c r="BL42" s="340">
        <f t="shared" si="132"/>
        <v>0</v>
      </c>
      <c r="BM42" s="340">
        <f t="shared" si="132"/>
        <v>0</v>
      </c>
      <c r="BN42" s="340">
        <f t="shared" si="132"/>
        <v>0</v>
      </c>
      <c r="BO42" s="340">
        <f t="shared" si="132"/>
        <v>0</v>
      </c>
      <c r="BP42" s="340">
        <f t="shared" si="132"/>
        <v>0</v>
      </c>
      <c r="BQ42" s="340">
        <f t="shared" si="132"/>
        <v>0</v>
      </c>
      <c r="BR42" s="340">
        <f t="shared" ref="BR42:CV42" si="133">SUM(BR41:BR41)</f>
        <v>0</v>
      </c>
      <c r="BS42" s="340">
        <f t="shared" si="133"/>
        <v>0</v>
      </c>
      <c r="BT42" s="340">
        <f t="shared" si="133"/>
        <v>0</v>
      </c>
      <c r="BU42" s="340">
        <f t="shared" si="133"/>
        <v>0</v>
      </c>
      <c r="BV42" s="340">
        <f t="shared" si="133"/>
        <v>0</v>
      </c>
      <c r="BW42" s="340">
        <f t="shared" si="133"/>
        <v>0</v>
      </c>
      <c r="BX42" s="340">
        <f t="shared" si="133"/>
        <v>0</v>
      </c>
      <c r="BY42" s="340">
        <f t="shared" si="133"/>
        <v>0</v>
      </c>
      <c r="BZ42" s="340">
        <f t="shared" si="133"/>
        <v>0</v>
      </c>
      <c r="CA42" s="340">
        <f t="shared" si="133"/>
        <v>0</v>
      </c>
      <c r="CB42" s="340">
        <f t="shared" si="133"/>
        <v>0</v>
      </c>
      <c r="CC42" s="340">
        <f t="shared" si="133"/>
        <v>0</v>
      </c>
      <c r="CD42" s="340">
        <f t="shared" si="133"/>
        <v>0</v>
      </c>
      <c r="CE42" s="340">
        <f t="shared" si="133"/>
        <v>0</v>
      </c>
      <c r="CF42" s="340">
        <f t="shared" si="133"/>
        <v>0</v>
      </c>
      <c r="CG42" s="340">
        <f t="shared" si="133"/>
        <v>0</v>
      </c>
      <c r="CH42" s="340">
        <f t="shared" si="133"/>
        <v>0</v>
      </c>
      <c r="CI42" s="340">
        <f t="shared" si="133"/>
        <v>0</v>
      </c>
      <c r="CJ42" s="340">
        <f t="shared" si="133"/>
        <v>0</v>
      </c>
      <c r="CK42" s="340">
        <f t="shared" si="133"/>
        <v>0</v>
      </c>
      <c r="CL42" s="340">
        <f t="shared" si="133"/>
        <v>0</v>
      </c>
      <c r="CM42" s="340">
        <f t="shared" si="133"/>
        <v>0</v>
      </c>
      <c r="CN42" s="340">
        <f t="shared" si="133"/>
        <v>0</v>
      </c>
      <c r="CO42" s="340">
        <f t="shared" si="133"/>
        <v>0</v>
      </c>
      <c r="CP42" s="340">
        <f t="shared" si="133"/>
        <v>0</v>
      </c>
      <c r="CQ42" s="340">
        <f t="shared" si="133"/>
        <v>0</v>
      </c>
      <c r="CR42" s="340">
        <f t="shared" si="133"/>
        <v>0</v>
      </c>
      <c r="CS42" s="340">
        <f t="shared" si="133"/>
        <v>0</v>
      </c>
      <c r="CT42" s="340">
        <f t="shared" si="133"/>
        <v>0</v>
      </c>
      <c r="CU42" s="340">
        <f t="shared" si="133"/>
        <v>0</v>
      </c>
      <c r="CV42" s="340">
        <f t="shared" si="133"/>
        <v>0</v>
      </c>
      <c r="CW42" s="340">
        <f t="shared" ref="CW42:DH42" si="134">SUM(CW41:CW41)</f>
        <v>0</v>
      </c>
      <c r="CX42" s="340">
        <f t="shared" si="134"/>
        <v>0</v>
      </c>
      <c r="CY42" s="340">
        <f t="shared" si="134"/>
        <v>0</v>
      </c>
      <c r="CZ42" s="340">
        <f t="shared" si="134"/>
        <v>0</v>
      </c>
      <c r="DA42" s="340">
        <f t="shared" si="134"/>
        <v>0</v>
      </c>
      <c r="DB42" s="340">
        <f t="shared" si="134"/>
        <v>0</v>
      </c>
      <c r="DC42" s="340">
        <f t="shared" si="134"/>
        <v>0</v>
      </c>
      <c r="DD42" s="340">
        <f t="shared" si="134"/>
        <v>0</v>
      </c>
      <c r="DE42" s="340">
        <f t="shared" si="134"/>
        <v>0</v>
      </c>
      <c r="DF42" s="340">
        <f t="shared" si="134"/>
        <v>0</v>
      </c>
      <c r="DG42" s="340">
        <f t="shared" si="134"/>
        <v>0</v>
      </c>
      <c r="DH42" s="340">
        <f t="shared" si="134"/>
        <v>0</v>
      </c>
      <c r="DI42" s="537"/>
    </row>
    <row r="43" spans="2:113" x14ac:dyDescent="0.3">
      <c r="B43" s="406"/>
      <c r="C43" s="389" t="s">
        <v>682</v>
      </c>
      <c r="D43" s="705">
        <f>Monthly!H100</f>
        <v>0</v>
      </c>
      <c r="E43" s="340">
        <f>IF(SUM(E41:E41)=0,0,IF(E42&lt;$D43,$D43-E42,0))</f>
        <v>0</v>
      </c>
      <c r="F43" s="340">
        <f t="shared" ref="F43:BQ43" si="135">IF(SUM(F41:F41)=0,0,IF(F42&lt;$D43,$D43-F42,0))</f>
        <v>0</v>
      </c>
      <c r="G43" s="340">
        <f t="shared" si="135"/>
        <v>0</v>
      </c>
      <c r="H43" s="340">
        <f t="shared" si="135"/>
        <v>0</v>
      </c>
      <c r="I43" s="340">
        <f t="shared" si="135"/>
        <v>0</v>
      </c>
      <c r="J43" s="340">
        <f t="shared" si="135"/>
        <v>0</v>
      </c>
      <c r="K43" s="340">
        <f t="shared" si="135"/>
        <v>0</v>
      </c>
      <c r="L43" s="340">
        <f t="shared" si="135"/>
        <v>0</v>
      </c>
      <c r="M43" s="340">
        <f t="shared" si="135"/>
        <v>0</v>
      </c>
      <c r="N43" s="340">
        <f t="shared" si="135"/>
        <v>0</v>
      </c>
      <c r="O43" s="340">
        <f t="shared" si="135"/>
        <v>0</v>
      </c>
      <c r="P43" s="340">
        <f t="shared" si="135"/>
        <v>0</v>
      </c>
      <c r="Q43" s="340">
        <f t="shared" si="135"/>
        <v>0</v>
      </c>
      <c r="R43" s="340">
        <f t="shared" si="135"/>
        <v>0</v>
      </c>
      <c r="S43" s="340">
        <f t="shared" si="135"/>
        <v>0</v>
      </c>
      <c r="T43" s="340">
        <f t="shared" si="135"/>
        <v>0</v>
      </c>
      <c r="U43" s="340">
        <f t="shared" si="135"/>
        <v>0</v>
      </c>
      <c r="V43" s="340">
        <f t="shared" si="135"/>
        <v>0</v>
      </c>
      <c r="W43" s="340">
        <f t="shared" si="135"/>
        <v>0</v>
      </c>
      <c r="X43" s="340">
        <f t="shared" si="135"/>
        <v>0</v>
      </c>
      <c r="Y43" s="340">
        <f t="shared" si="135"/>
        <v>0</v>
      </c>
      <c r="Z43" s="340">
        <f t="shared" si="135"/>
        <v>0</v>
      </c>
      <c r="AA43" s="340">
        <f t="shared" si="135"/>
        <v>0</v>
      </c>
      <c r="AB43" s="340">
        <f t="shared" si="135"/>
        <v>0</v>
      </c>
      <c r="AC43" s="340">
        <f t="shared" si="135"/>
        <v>0</v>
      </c>
      <c r="AD43" s="340">
        <f t="shared" si="135"/>
        <v>0</v>
      </c>
      <c r="AE43" s="340">
        <f t="shared" si="135"/>
        <v>0</v>
      </c>
      <c r="AF43" s="340">
        <f t="shared" si="135"/>
        <v>0</v>
      </c>
      <c r="AG43" s="340">
        <f t="shared" si="135"/>
        <v>0</v>
      </c>
      <c r="AH43" s="340">
        <f t="shared" si="135"/>
        <v>0</v>
      </c>
      <c r="AI43" s="340">
        <f t="shared" si="135"/>
        <v>0</v>
      </c>
      <c r="AJ43" s="340">
        <f t="shared" si="135"/>
        <v>0</v>
      </c>
      <c r="AK43" s="340">
        <f t="shared" si="135"/>
        <v>0</v>
      </c>
      <c r="AL43" s="340">
        <f t="shared" si="135"/>
        <v>0</v>
      </c>
      <c r="AM43" s="340">
        <f t="shared" si="135"/>
        <v>0</v>
      </c>
      <c r="AN43" s="340">
        <f t="shared" si="135"/>
        <v>0</v>
      </c>
      <c r="AO43" s="340">
        <f t="shared" si="135"/>
        <v>0</v>
      </c>
      <c r="AP43" s="340">
        <f t="shared" si="135"/>
        <v>0</v>
      </c>
      <c r="AQ43" s="340">
        <f t="shared" si="135"/>
        <v>0</v>
      </c>
      <c r="AR43" s="340">
        <f t="shared" si="135"/>
        <v>0</v>
      </c>
      <c r="AS43" s="340">
        <f t="shared" si="135"/>
        <v>0</v>
      </c>
      <c r="AT43" s="340">
        <f t="shared" si="135"/>
        <v>0</v>
      </c>
      <c r="AU43" s="340">
        <f t="shared" si="135"/>
        <v>0</v>
      </c>
      <c r="AV43" s="340">
        <f t="shared" si="135"/>
        <v>0</v>
      </c>
      <c r="AW43" s="340">
        <f t="shared" si="135"/>
        <v>0</v>
      </c>
      <c r="AX43" s="340">
        <f t="shared" si="135"/>
        <v>0</v>
      </c>
      <c r="AY43" s="340">
        <f t="shared" si="135"/>
        <v>0</v>
      </c>
      <c r="AZ43" s="340">
        <f t="shared" si="135"/>
        <v>0</v>
      </c>
      <c r="BA43" s="340">
        <f t="shared" si="135"/>
        <v>0</v>
      </c>
      <c r="BB43" s="340">
        <f t="shared" si="135"/>
        <v>0</v>
      </c>
      <c r="BC43" s="340">
        <f t="shared" si="135"/>
        <v>0</v>
      </c>
      <c r="BD43" s="340">
        <f t="shared" si="135"/>
        <v>0</v>
      </c>
      <c r="BE43" s="340">
        <f t="shared" si="135"/>
        <v>0</v>
      </c>
      <c r="BF43" s="340">
        <f t="shared" si="135"/>
        <v>0</v>
      </c>
      <c r="BG43" s="340">
        <f t="shared" si="135"/>
        <v>0</v>
      </c>
      <c r="BH43" s="340">
        <f t="shared" si="135"/>
        <v>0</v>
      </c>
      <c r="BI43" s="340">
        <f t="shared" si="135"/>
        <v>0</v>
      </c>
      <c r="BJ43" s="340">
        <f t="shared" si="135"/>
        <v>0</v>
      </c>
      <c r="BK43" s="340">
        <f t="shared" si="135"/>
        <v>0</v>
      </c>
      <c r="BL43" s="340">
        <f t="shared" si="135"/>
        <v>0</v>
      </c>
      <c r="BM43" s="340">
        <f t="shared" si="135"/>
        <v>0</v>
      </c>
      <c r="BN43" s="340">
        <f t="shared" si="135"/>
        <v>0</v>
      </c>
      <c r="BO43" s="340">
        <f t="shared" si="135"/>
        <v>0</v>
      </c>
      <c r="BP43" s="340">
        <f t="shared" si="135"/>
        <v>0</v>
      </c>
      <c r="BQ43" s="340">
        <f t="shared" si="135"/>
        <v>0</v>
      </c>
      <c r="BR43" s="340">
        <f t="shared" ref="BR43:CV43" si="136">IF(SUM(BR41:BR41)=0,0,IF(BR42&lt;$D43,$D43-BR42,0))</f>
        <v>0</v>
      </c>
      <c r="BS43" s="340">
        <f t="shared" si="136"/>
        <v>0</v>
      </c>
      <c r="BT43" s="340">
        <f t="shared" si="136"/>
        <v>0</v>
      </c>
      <c r="BU43" s="340">
        <f t="shared" si="136"/>
        <v>0</v>
      </c>
      <c r="BV43" s="340">
        <f t="shared" si="136"/>
        <v>0</v>
      </c>
      <c r="BW43" s="340">
        <f t="shared" si="136"/>
        <v>0</v>
      </c>
      <c r="BX43" s="340">
        <f t="shared" si="136"/>
        <v>0</v>
      </c>
      <c r="BY43" s="340">
        <f t="shared" si="136"/>
        <v>0</v>
      </c>
      <c r="BZ43" s="340">
        <f t="shared" si="136"/>
        <v>0</v>
      </c>
      <c r="CA43" s="340">
        <f t="shared" si="136"/>
        <v>0</v>
      </c>
      <c r="CB43" s="340">
        <f t="shared" si="136"/>
        <v>0</v>
      </c>
      <c r="CC43" s="340">
        <f t="shared" si="136"/>
        <v>0</v>
      </c>
      <c r="CD43" s="340">
        <f t="shared" si="136"/>
        <v>0</v>
      </c>
      <c r="CE43" s="340">
        <f t="shared" si="136"/>
        <v>0</v>
      </c>
      <c r="CF43" s="340">
        <f t="shared" si="136"/>
        <v>0</v>
      </c>
      <c r="CG43" s="340">
        <f t="shared" si="136"/>
        <v>0</v>
      </c>
      <c r="CH43" s="340">
        <f t="shared" si="136"/>
        <v>0</v>
      </c>
      <c r="CI43" s="340">
        <f t="shared" si="136"/>
        <v>0</v>
      </c>
      <c r="CJ43" s="340">
        <f t="shared" si="136"/>
        <v>0</v>
      </c>
      <c r="CK43" s="340">
        <f t="shared" si="136"/>
        <v>0</v>
      </c>
      <c r="CL43" s="340">
        <f t="shared" si="136"/>
        <v>0</v>
      </c>
      <c r="CM43" s="340">
        <f t="shared" si="136"/>
        <v>0</v>
      </c>
      <c r="CN43" s="340">
        <f t="shared" si="136"/>
        <v>0</v>
      </c>
      <c r="CO43" s="340">
        <f t="shared" si="136"/>
        <v>0</v>
      </c>
      <c r="CP43" s="340">
        <f t="shared" si="136"/>
        <v>0</v>
      </c>
      <c r="CQ43" s="340">
        <f t="shared" si="136"/>
        <v>0</v>
      </c>
      <c r="CR43" s="340">
        <f t="shared" si="136"/>
        <v>0</v>
      </c>
      <c r="CS43" s="340">
        <f t="shared" si="136"/>
        <v>0</v>
      </c>
      <c r="CT43" s="340">
        <f t="shared" si="136"/>
        <v>0</v>
      </c>
      <c r="CU43" s="340">
        <f t="shared" si="136"/>
        <v>0</v>
      </c>
      <c r="CV43" s="340">
        <f t="shared" si="136"/>
        <v>0</v>
      </c>
      <c r="CW43" s="340">
        <f t="shared" ref="CW43:DH43" si="137">IF(SUM(CW41:CW41)=0,0,IF(CW42&lt;$D43,$D43-CW42,0))</f>
        <v>0</v>
      </c>
      <c r="CX43" s="340">
        <f t="shared" si="137"/>
        <v>0</v>
      </c>
      <c r="CY43" s="340">
        <f t="shared" si="137"/>
        <v>0</v>
      </c>
      <c r="CZ43" s="340">
        <f t="shared" si="137"/>
        <v>0</v>
      </c>
      <c r="DA43" s="340">
        <f t="shared" si="137"/>
        <v>0</v>
      </c>
      <c r="DB43" s="340">
        <f t="shared" si="137"/>
        <v>0</v>
      </c>
      <c r="DC43" s="340">
        <f t="shared" si="137"/>
        <v>0</v>
      </c>
      <c r="DD43" s="340">
        <f t="shared" si="137"/>
        <v>0</v>
      </c>
      <c r="DE43" s="340">
        <f t="shared" si="137"/>
        <v>0</v>
      </c>
      <c r="DF43" s="340">
        <f t="shared" si="137"/>
        <v>0</v>
      </c>
      <c r="DG43" s="340">
        <f t="shared" si="137"/>
        <v>0</v>
      </c>
      <c r="DH43" s="340">
        <f t="shared" si="137"/>
        <v>0</v>
      </c>
      <c r="DI43" s="537"/>
    </row>
    <row r="44" spans="2:113" x14ac:dyDescent="0.3">
      <c r="B44" s="409"/>
      <c r="C44" s="384"/>
      <c r="D44" s="342"/>
      <c r="E44" s="342"/>
      <c r="F44" s="342"/>
      <c r="G44" s="342"/>
      <c r="H44" s="342"/>
      <c r="I44" s="342"/>
      <c r="J44" s="342"/>
      <c r="K44" s="342"/>
      <c r="L44" s="342"/>
      <c r="M44" s="342"/>
      <c r="N44" s="342"/>
      <c r="O44" s="342"/>
      <c r="P44" s="342"/>
      <c r="Q44" s="342"/>
      <c r="R44" s="342"/>
      <c r="S44" s="342"/>
      <c r="T44" s="342"/>
      <c r="U44" s="342"/>
      <c r="V44" s="342"/>
      <c r="W44" s="342"/>
      <c r="X44" s="342"/>
      <c r="Y44" s="342"/>
      <c r="Z44" s="342"/>
      <c r="AA44" s="342"/>
      <c r="AB44" s="342"/>
      <c r="AC44" s="342"/>
      <c r="AD44" s="342"/>
      <c r="AE44" s="342"/>
      <c r="AF44" s="342"/>
      <c r="AG44" s="342"/>
      <c r="AH44" s="342"/>
      <c r="AI44" s="342"/>
      <c r="AJ44" s="342"/>
      <c r="AK44" s="342"/>
      <c r="AL44" s="342"/>
      <c r="AM44" s="342"/>
      <c r="AN44" s="342"/>
      <c r="AO44" s="342"/>
      <c r="AP44" s="342"/>
      <c r="AQ44" s="342"/>
      <c r="AR44" s="342"/>
      <c r="AS44" s="342"/>
      <c r="AT44" s="342"/>
      <c r="AU44" s="342"/>
      <c r="AV44" s="342"/>
      <c r="AW44" s="342"/>
      <c r="AX44" s="342"/>
      <c r="AY44" s="342"/>
      <c r="AZ44" s="342"/>
      <c r="BA44" s="342"/>
      <c r="BB44" s="342"/>
      <c r="BC44" s="342"/>
      <c r="BD44" s="342"/>
      <c r="BE44" s="342"/>
      <c r="BF44" s="342"/>
      <c r="BG44" s="342"/>
      <c r="BH44" s="342"/>
      <c r="BI44" s="342"/>
      <c r="BJ44" s="342"/>
      <c r="BK44" s="342"/>
      <c r="BL44" s="342"/>
      <c r="BM44" s="342"/>
      <c r="BN44" s="342"/>
      <c r="BO44" s="342"/>
      <c r="BP44" s="342"/>
      <c r="BQ44" s="342"/>
      <c r="BR44" s="342"/>
      <c r="BS44" s="342"/>
      <c r="BT44" s="342"/>
      <c r="BU44" s="342"/>
      <c r="BV44" s="342"/>
      <c r="BW44" s="342"/>
      <c r="BX44" s="342"/>
      <c r="BY44" s="342"/>
      <c r="BZ44" s="342"/>
      <c r="CA44" s="342"/>
      <c r="CB44" s="342"/>
      <c r="CC44" s="342"/>
      <c r="CD44" s="342"/>
      <c r="CE44" s="342"/>
      <c r="CF44" s="342"/>
      <c r="CG44" s="342"/>
      <c r="CH44" s="342"/>
      <c r="CI44" s="342"/>
      <c r="CJ44" s="342"/>
      <c r="CK44" s="342"/>
      <c r="CL44" s="342"/>
      <c r="CM44" s="342"/>
      <c r="CN44" s="342"/>
      <c r="CO44" s="342"/>
      <c r="CP44" s="342"/>
      <c r="CQ44" s="342"/>
      <c r="CR44" s="342"/>
      <c r="CS44" s="342"/>
      <c r="CT44" s="342"/>
      <c r="CU44" s="342"/>
      <c r="CV44" s="342"/>
      <c r="CW44" s="342"/>
      <c r="CX44" s="342"/>
      <c r="CY44" s="342"/>
      <c r="CZ44" s="342"/>
      <c r="DA44" s="342"/>
      <c r="DB44" s="342"/>
      <c r="DC44" s="342"/>
      <c r="DD44" s="342"/>
      <c r="DE44" s="342"/>
      <c r="DF44" s="342"/>
      <c r="DG44" s="342"/>
      <c r="DH44" s="342"/>
      <c r="DI44" s="410"/>
    </row>
  </sheetData>
  <mergeCells count="9">
    <mergeCell ref="CW2:DH2"/>
    <mergeCell ref="E2:P2"/>
    <mergeCell ref="Q2:AB2"/>
    <mergeCell ref="AC2:AN2"/>
    <mergeCell ref="BY2:CJ2"/>
    <mergeCell ref="CK2:CV2"/>
    <mergeCell ref="BA2:BL2"/>
    <mergeCell ref="BM2:BX2"/>
    <mergeCell ref="AO2:AZ2"/>
  </mergeCells>
  <phoneticPr fontId="13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B2:H29"/>
  <sheetViews>
    <sheetView workbookViewId="0"/>
  </sheetViews>
  <sheetFormatPr defaultColWidth="9.109375" defaultRowHeight="13.8" x14ac:dyDescent="0.3"/>
  <cols>
    <col min="1" max="3" width="1.77734375" style="323" customWidth="1"/>
    <col min="4" max="4" width="17.44140625" style="323" bestFit="1" customWidth="1"/>
    <col min="5" max="5" width="19" style="323" bestFit="1" customWidth="1"/>
    <col min="6" max="6" width="9.109375" style="323"/>
    <col min="7" max="7" width="10.77734375" style="323" bestFit="1" customWidth="1"/>
    <col min="8" max="8" width="1.77734375" style="323" customWidth="1"/>
    <col min="9" max="16384" width="9.109375" style="323"/>
  </cols>
  <sheetData>
    <row r="2" spans="2:8" ht="14.4" thickBot="1" x14ac:dyDescent="0.35"/>
    <row r="3" spans="2:8" ht="14.4" thickBot="1" x14ac:dyDescent="0.35">
      <c r="B3" s="1009" t="s">
        <v>290</v>
      </c>
      <c r="C3" s="1010"/>
      <c r="D3" s="1010"/>
      <c r="E3" s="1010"/>
      <c r="F3" s="1010"/>
      <c r="G3" s="1010"/>
      <c r="H3" s="1011"/>
    </row>
    <row r="4" spans="2:8" ht="14.4" thickBot="1" x14ac:dyDescent="0.35">
      <c r="B4" s="329"/>
      <c r="C4" s="325" t="s">
        <v>258</v>
      </c>
      <c r="D4" s="325"/>
      <c r="E4" s="325"/>
      <c r="F4" s="326" t="s">
        <v>263</v>
      </c>
      <c r="G4" s="326" t="s">
        <v>117</v>
      </c>
      <c r="H4" s="330"/>
    </row>
    <row r="5" spans="2:8" x14ac:dyDescent="0.3">
      <c r="B5" s="329"/>
      <c r="C5" s="323" t="s">
        <v>280</v>
      </c>
      <c r="G5" s="331">
        <f>SUM(F6:F9)</f>
        <v>0</v>
      </c>
      <c r="H5" s="330"/>
    </row>
    <row r="6" spans="2:8" ht="14.4" x14ac:dyDescent="0.3">
      <c r="B6" s="329"/>
      <c r="D6" s="323" t="s">
        <v>281</v>
      </c>
      <c r="E6" s="336" t="s">
        <v>295</v>
      </c>
      <c r="F6" s="324"/>
      <c r="H6" s="330"/>
    </row>
    <row r="7" spans="2:8" ht="14.4" x14ac:dyDescent="0.3">
      <c r="B7" s="329"/>
      <c r="D7" s="323" t="s">
        <v>282</v>
      </c>
      <c r="F7" s="324"/>
      <c r="H7" s="330"/>
    </row>
    <row r="8" spans="2:8" ht="14.4" x14ac:dyDescent="0.3">
      <c r="B8" s="329"/>
      <c r="D8" s="323" t="s">
        <v>283</v>
      </c>
      <c r="E8" s="336" t="s">
        <v>295</v>
      </c>
      <c r="F8" s="324"/>
      <c r="H8" s="330"/>
    </row>
    <row r="9" spans="2:8" ht="14.4" x14ac:dyDescent="0.3">
      <c r="B9" s="329"/>
      <c r="D9" s="323" t="s">
        <v>289</v>
      </c>
      <c r="E9" s="494"/>
      <c r="F9" s="495">
        <v>0</v>
      </c>
      <c r="H9" s="330"/>
    </row>
    <row r="10" spans="2:8" x14ac:dyDescent="0.3">
      <c r="B10" s="329"/>
      <c r="E10" s="494"/>
      <c r="F10" s="494"/>
      <c r="H10" s="330"/>
    </row>
    <row r="11" spans="2:8" ht="14.4" x14ac:dyDescent="0.3">
      <c r="B11" s="329"/>
      <c r="C11" s="323" t="s">
        <v>385</v>
      </c>
      <c r="E11" s="496">
        <v>0.01</v>
      </c>
      <c r="F11" s="494"/>
      <c r="G11" s="331">
        <f>E11*'Table 3.0'!G5</f>
        <v>13342.872800000001</v>
      </c>
      <c r="H11" s="330"/>
    </row>
    <row r="12" spans="2:8" x14ac:dyDescent="0.3">
      <c r="B12" s="329"/>
      <c r="E12" s="494"/>
      <c r="F12" s="494"/>
      <c r="G12" s="331"/>
      <c r="H12" s="330"/>
    </row>
    <row r="13" spans="2:8" x14ac:dyDescent="0.3">
      <c r="B13" s="329"/>
      <c r="C13" s="323" t="s">
        <v>161</v>
      </c>
      <c r="E13" s="494"/>
      <c r="F13" s="494"/>
      <c r="G13" s="331">
        <f>SUM(F14:F18)</f>
        <v>2500</v>
      </c>
      <c r="H13" s="330"/>
    </row>
    <row r="14" spans="2:8" ht="14.4" x14ac:dyDescent="0.3">
      <c r="B14" s="329"/>
      <c r="D14" s="323" t="s">
        <v>400</v>
      </c>
      <c r="E14" s="494"/>
      <c r="F14" s="495">
        <v>0</v>
      </c>
      <c r="H14" s="330"/>
    </row>
    <row r="15" spans="2:8" ht="14.4" x14ac:dyDescent="0.3">
      <c r="B15" s="329"/>
      <c r="D15" s="323" t="s">
        <v>284</v>
      </c>
      <c r="E15" s="494"/>
      <c r="F15" s="495">
        <v>1250</v>
      </c>
      <c r="H15" s="330"/>
    </row>
    <row r="16" spans="2:8" ht="14.4" x14ac:dyDescent="0.3">
      <c r="B16" s="329"/>
      <c r="D16" s="323" t="s">
        <v>285</v>
      </c>
      <c r="E16" s="494"/>
      <c r="F16" s="495">
        <v>1250</v>
      </c>
      <c r="H16" s="330"/>
    </row>
    <row r="17" spans="2:8" ht="14.4" x14ac:dyDescent="0.3">
      <c r="B17" s="329"/>
      <c r="D17" s="323" t="s">
        <v>286</v>
      </c>
      <c r="E17" s="494"/>
      <c r="F17" s="495">
        <v>0</v>
      </c>
      <c r="H17" s="330"/>
    </row>
    <row r="18" spans="2:8" ht="14.4" x14ac:dyDescent="0.3">
      <c r="B18" s="329"/>
      <c r="D18" s="323" t="s">
        <v>289</v>
      </c>
      <c r="E18" s="494"/>
      <c r="F18" s="495">
        <v>0</v>
      </c>
      <c r="H18" s="330"/>
    </row>
    <row r="19" spans="2:8" ht="14.4" x14ac:dyDescent="0.3">
      <c r="B19" s="329"/>
      <c r="E19" s="494"/>
      <c r="F19" s="495"/>
      <c r="H19" s="330"/>
    </row>
    <row r="20" spans="2:8" ht="14.4" x14ac:dyDescent="0.3">
      <c r="B20" s="329"/>
      <c r="C20" s="323" t="s">
        <v>498</v>
      </c>
      <c r="E20" s="494"/>
      <c r="F20" s="495"/>
      <c r="G20" s="437">
        <f>SUM(F21:F22)</f>
        <v>0</v>
      </c>
      <c r="H20" s="330"/>
    </row>
    <row r="21" spans="2:8" ht="14.4" x14ac:dyDescent="0.3">
      <c r="B21" s="329"/>
      <c r="E21" s="494"/>
      <c r="F21" s="437"/>
      <c r="G21" s="324"/>
      <c r="H21" s="330"/>
    </row>
    <row r="22" spans="2:8" ht="14.4" x14ac:dyDescent="0.3">
      <c r="B22" s="329"/>
      <c r="E22" s="494"/>
      <c r="F22" s="437"/>
      <c r="G22" s="324"/>
      <c r="H22" s="330"/>
    </row>
    <row r="23" spans="2:8" ht="14.4" thickBot="1" x14ac:dyDescent="0.35">
      <c r="B23" s="329"/>
      <c r="C23" s="327"/>
      <c r="D23" s="327"/>
      <c r="E23" s="497"/>
      <c r="F23" s="497"/>
      <c r="G23" s="327"/>
      <c r="H23" s="330"/>
    </row>
    <row r="24" spans="2:8" x14ac:dyDescent="0.3">
      <c r="B24" s="329"/>
      <c r="C24" s="323" t="s">
        <v>252</v>
      </c>
      <c r="E24" s="494"/>
      <c r="F24" s="494"/>
      <c r="G24" s="331">
        <f>SUM(G5:G23)</f>
        <v>15842.872800000001</v>
      </c>
      <c r="H24" s="330"/>
    </row>
    <row r="25" spans="2:8" ht="15" thickBot="1" x14ac:dyDescent="0.35">
      <c r="B25" s="329"/>
      <c r="C25" s="327"/>
      <c r="D25" s="327" t="s">
        <v>287</v>
      </c>
      <c r="E25" s="498">
        <v>0.1</v>
      </c>
      <c r="F25" s="497"/>
      <c r="G25" s="328">
        <f>E25*G24</f>
        <v>1584.2872800000002</v>
      </c>
      <c r="H25" s="330"/>
    </row>
    <row r="26" spans="2:8" x14ac:dyDescent="0.3">
      <c r="B26" s="329"/>
      <c r="C26" s="323" t="s">
        <v>117</v>
      </c>
      <c r="G26" s="331">
        <f>SUM(G24:G25)</f>
        <v>17427.160080000001</v>
      </c>
      <c r="H26" s="330"/>
    </row>
    <row r="27" spans="2:8" x14ac:dyDescent="0.3">
      <c r="B27" s="329"/>
      <c r="H27" s="330"/>
    </row>
    <row r="28" spans="2:8" ht="14.4" thickBot="1" x14ac:dyDescent="0.35">
      <c r="B28" s="329"/>
      <c r="C28" s="334" t="s">
        <v>288</v>
      </c>
      <c r="D28" s="334"/>
      <c r="E28" s="334"/>
      <c r="F28" s="334"/>
      <c r="G28" s="335">
        <f>ROUND(G26,-3)</f>
        <v>17000</v>
      </c>
      <c r="H28" s="330"/>
    </row>
    <row r="29" spans="2:8" ht="15" thickTop="1" thickBot="1" x14ac:dyDescent="0.35">
      <c r="B29" s="332"/>
      <c r="C29" s="327"/>
      <c r="D29" s="327"/>
      <c r="E29" s="327"/>
      <c r="F29" s="327"/>
      <c r="G29" s="327"/>
      <c r="H29" s="333"/>
    </row>
  </sheetData>
  <mergeCells count="1">
    <mergeCell ref="B3:H3"/>
  </mergeCells>
  <pageMargins left="0.7" right="0.7" top="0.75" bottom="0.75" header="0.3" footer="0.3"/>
  <pageSetup orientation="portrait" r:id="rId1"/>
  <headerFooter>
    <oddHeader>&amp;C&amp;"Arial,Bold"&amp;12 2400 Enfield
Organizational and Closing Costs</oddHeader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9DBF1-74C8-468B-876B-7AF1DE0FD4E8}">
  <dimension ref="C1:DN19"/>
  <sheetViews>
    <sheetView workbookViewId="0">
      <selection activeCell="O35" sqref="O35"/>
    </sheetView>
  </sheetViews>
  <sheetFormatPr defaultRowHeight="13.2" outlineLevelRow="2" x14ac:dyDescent="0.25"/>
  <cols>
    <col min="3" max="3" width="18.44140625" bestFit="1" customWidth="1"/>
    <col min="4" max="4" width="11.5546875" bestFit="1" customWidth="1"/>
    <col min="5" max="5" width="23.44140625" bestFit="1" customWidth="1"/>
    <col min="6" max="6" width="32" bestFit="1" customWidth="1"/>
    <col min="7" max="7" width="10.88671875" bestFit="1" customWidth="1"/>
    <col min="9" max="9" width="9.88671875" bestFit="1" customWidth="1"/>
    <col min="10" max="13" width="8.77734375" bestFit="1" customWidth="1"/>
    <col min="14" max="17" width="9.77734375" bestFit="1" customWidth="1"/>
    <col min="18" max="26" width="8.77734375" bestFit="1" customWidth="1"/>
    <col min="27" max="29" width="9.77734375" bestFit="1" customWidth="1"/>
    <col min="30" max="38" width="8.77734375" bestFit="1" customWidth="1"/>
    <col min="39" max="41" width="9.77734375" bestFit="1" customWidth="1"/>
    <col min="42" max="50" width="8.77734375" bestFit="1" customWidth="1"/>
    <col min="51" max="53" width="9.77734375" bestFit="1" customWidth="1"/>
    <col min="54" max="61" width="8.77734375" bestFit="1" customWidth="1"/>
    <col min="62" max="65" width="9.77734375" bestFit="1" customWidth="1"/>
    <col min="66" max="74" width="8.77734375" bestFit="1" customWidth="1"/>
    <col min="75" max="77" width="9.77734375" bestFit="1" customWidth="1"/>
    <col min="78" max="86" width="8.77734375" bestFit="1" customWidth="1"/>
    <col min="87" max="89" width="9.77734375" bestFit="1" customWidth="1"/>
    <col min="90" max="97" width="8.77734375" bestFit="1" customWidth="1"/>
    <col min="98" max="101" width="9.77734375" bestFit="1" customWidth="1"/>
    <col min="102" max="109" width="8.77734375" bestFit="1" customWidth="1"/>
    <col min="110" max="113" width="9.77734375" bestFit="1" customWidth="1"/>
    <col min="114" max="116" width="8.77734375" bestFit="1" customWidth="1"/>
    <col min="117" max="117" width="1.77734375" customWidth="1"/>
    <col min="118" max="118" width="5.109375" bestFit="1" customWidth="1"/>
  </cols>
  <sheetData>
    <row r="1" spans="3:118" ht="13.8" thickBot="1" x14ac:dyDescent="0.3"/>
    <row r="2" spans="3:118" ht="14.4" thickBot="1" x14ac:dyDescent="0.35">
      <c r="I2" s="1009" t="str">
        <f>Monthly!K3</f>
        <v>Year 1</v>
      </c>
      <c r="J2" s="1010"/>
      <c r="K2" s="1010"/>
      <c r="L2" s="1010"/>
      <c r="M2" s="1010"/>
      <c r="N2" s="1010"/>
      <c r="O2" s="1010"/>
      <c r="P2" s="1010"/>
      <c r="Q2" s="1010"/>
      <c r="R2" s="1010"/>
      <c r="S2" s="1010"/>
      <c r="T2" s="1011"/>
      <c r="U2" s="1009" t="str">
        <f>Monthly!W3</f>
        <v>Year 2</v>
      </c>
      <c r="V2" s="1010"/>
      <c r="W2" s="1010"/>
      <c r="X2" s="1010"/>
      <c r="Y2" s="1010"/>
      <c r="Z2" s="1010"/>
      <c r="AA2" s="1010"/>
      <c r="AB2" s="1010"/>
      <c r="AC2" s="1010"/>
      <c r="AD2" s="1010"/>
      <c r="AE2" s="1010"/>
      <c r="AF2" s="1011"/>
      <c r="AG2" s="1009" t="str">
        <f>Monthly!AI3</f>
        <v>Year 3</v>
      </c>
      <c r="AH2" s="1010"/>
      <c r="AI2" s="1010"/>
      <c r="AJ2" s="1010"/>
      <c r="AK2" s="1010"/>
      <c r="AL2" s="1010"/>
      <c r="AM2" s="1010"/>
      <c r="AN2" s="1010"/>
      <c r="AO2" s="1010"/>
      <c r="AP2" s="1010"/>
      <c r="AQ2" s="1010"/>
      <c r="AR2" s="1011"/>
      <c r="AS2" s="1009" t="str">
        <f>Monthly!AU3</f>
        <v>Year 4</v>
      </c>
      <c r="AT2" s="1010"/>
      <c r="AU2" s="1010"/>
      <c r="AV2" s="1010"/>
      <c r="AW2" s="1010"/>
      <c r="AX2" s="1010"/>
      <c r="AY2" s="1010"/>
      <c r="AZ2" s="1010"/>
      <c r="BA2" s="1010"/>
      <c r="BB2" s="1010"/>
      <c r="BC2" s="1010"/>
      <c r="BD2" s="1011"/>
      <c r="BE2" s="1009" t="str">
        <f>Monthly!BG3</f>
        <v>Year 5</v>
      </c>
      <c r="BF2" s="1010"/>
      <c r="BG2" s="1010"/>
      <c r="BH2" s="1010"/>
      <c r="BI2" s="1010"/>
      <c r="BJ2" s="1010"/>
      <c r="BK2" s="1010"/>
      <c r="BL2" s="1010"/>
      <c r="BM2" s="1010"/>
      <c r="BN2" s="1010"/>
      <c r="BO2" s="1010"/>
      <c r="BP2" s="1011"/>
      <c r="BQ2" s="1009" t="str">
        <f>Monthly!BS3</f>
        <v>Year 6</v>
      </c>
      <c r="BR2" s="1010"/>
      <c r="BS2" s="1010"/>
      <c r="BT2" s="1010"/>
      <c r="BU2" s="1010"/>
      <c r="BV2" s="1010"/>
      <c r="BW2" s="1010"/>
      <c r="BX2" s="1010"/>
      <c r="BY2" s="1010"/>
      <c r="BZ2" s="1010"/>
      <c r="CA2" s="1010"/>
      <c r="CB2" s="1011"/>
      <c r="CC2" s="1009" t="str">
        <f>Monthly!CE3</f>
        <v>Year 7</v>
      </c>
      <c r="CD2" s="1010"/>
      <c r="CE2" s="1010"/>
      <c r="CF2" s="1010"/>
      <c r="CG2" s="1010"/>
      <c r="CH2" s="1010"/>
      <c r="CI2" s="1010"/>
      <c r="CJ2" s="1010"/>
      <c r="CK2" s="1010"/>
      <c r="CL2" s="1010"/>
      <c r="CM2" s="1010"/>
      <c r="CN2" s="1011"/>
      <c r="CO2" s="1009" t="str">
        <f>Monthly!CQ3</f>
        <v>Year 8</v>
      </c>
      <c r="CP2" s="1010"/>
      <c r="CQ2" s="1010"/>
      <c r="CR2" s="1010"/>
      <c r="CS2" s="1010"/>
      <c r="CT2" s="1010"/>
      <c r="CU2" s="1010"/>
      <c r="CV2" s="1010"/>
      <c r="CW2" s="1010"/>
      <c r="CX2" s="1010"/>
      <c r="CY2" s="1010"/>
      <c r="CZ2" s="1011"/>
      <c r="DA2" s="1009" t="str">
        <f>Monthly!DC3</f>
        <v>Year 9</v>
      </c>
      <c r="DB2" s="1010"/>
      <c r="DC2" s="1010"/>
      <c r="DD2" s="1010"/>
      <c r="DE2" s="1010"/>
      <c r="DF2" s="1010"/>
      <c r="DG2" s="1010"/>
      <c r="DH2" s="1010"/>
      <c r="DI2" s="1010"/>
      <c r="DJ2" s="1010"/>
      <c r="DK2" s="1010"/>
      <c r="DL2" s="1011"/>
    </row>
    <row r="3" spans="3:118" s="323" customFormat="1" ht="14.4" thickBot="1" x14ac:dyDescent="0.35">
      <c r="C3" s="327"/>
      <c r="D3" s="327"/>
      <c r="E3" s="327"/>
      <c r="F3" s="327"/>
      <c r="G3" s="327"/>
      <c r="H3" s="327"/>
      <c r="I3" s="891">
        <f>Monthly!K4</f>
        <v>45413</v>
      </c>
      <c r="J3" s="891">
        <f>Monthly!L4</f>
        <v>45444</v>
      </c>
      <c r="K3" s="891">
        <f>Monthly!M4</f>
        <v>45474</v>
      </c>
      <c r="L3" s="891">
        <f>Monthly!N4</f>
        <v>45505</v>
      </c>
      <c r="M3" s="891">
        <f>Monthly!O4</f>
        <v>45536</v>
      </c>
      <c r="N3" s="891">
        <f>Monthly!P4</f>
        <v>45566</v>
      </c>
      <c r="O3" s="891">
        <f>Monthly!Q4</f>
        <v>45597</v>
      </c>
      <c r="P3" s="891">
        <f>Monthly!R4</f>
        <v>45627</v>
      </c>
      <c r="Q3" s="891">
        <f>Monthly!S4</f>
        <v>45658</v>
      </c>
      <c r="R3" s="891">
        <f>Monthly!T4</f>
        <v>45689</v>
      </c>
      <c r="S3" s="891">
        <f>Monthly!U4</f>
        <v>45717</v>
      </c>
      <c r="T3" s="891">
        <f>Monthly!V4</f>
        <v>45748</v>
      </c>
      <c r="U3" s="891">
        <f>Monthly!W4</f>
        <v>45778</v>
      </c>
      <c r="V3" s="891">
        <f>Monthly!X4</f>
        <v>45809</v>
      </c>
      <c r="W3" s="891">
        <f>Monthly!Y4</f>
        <v>45839</v>
      </c>
      <c r="X3" s="891">
        <f>Monthly!Z4</f>
        <v>45870</v>
      </c>
      <c r="Y3" s="891">
        <f>Monthly!AA4</f>
        <v>45901</v>
      </c>
      <c r="Z3" s="891">
        <f>Monthly!AB4</f>
        <v>45931</v>
      </c>
      <c r="AA3" s="891">
        <f>Monthly!AC4</f>
        <v>45962</v>
      </c>
      <c r="AB3" s="891">
        <f>Monthly!AD4</f>
        <v>45992</v>
      </c>
      <c r="AC3" s="891">
        <f>Monthly!AE4</f>
        <v>46023</v>
      </c>
      <c r="AD3" s="891">
        <f>Monthly!AF4</f>
        <v>46054</v>
      </c>
      <c r="AE3" s="891">
        <f>Monthly!AG4</f>
        <v>46082</v>
      </c>
      <c r="AF3" s="891">
        <f>Monthly!AH4</f>
        <v>46113</v>
      </c>
      <c r="AG3" s="891">
        <f>Monthly!AI4</f>
        <v>46143</v>
      </c>
      <c r="AH3" s="891">
        <f>Monthly!AJ4</f>
        <v>46174</v>
      </c>
      <c r="AI3" s="891">
        <f>Monthly!AK4</f>
        <v>46204</v>
      </c>
      <c r="AJ3" s="891">
        <f>Monthly!AL4</f>
        <v>46235</v>
      </c>
      <c r="AK3" s="891">
        <f>Monthly!AM4</f>
        <v>46266</v>
      </c>
      <c r="AL3" s="891">
        <f>Monthly!AN4</f>
        <v>46296</v>
      </c>
      <c r="AM3" s="891">
        <f>Monthly!AO4</f>
        <v>46327</v>
      </c>
      <c r="AN3" s="891">
        <f>Monthly!AP4</f>
        <v>46357</v>
      </c>
      <c r="AO3" s="891">
        <f>Monthly!AQ4</f>
        <v>46388</v>
      </c>
      <c r="AP3" s="891">
        <f>Monthly!AR4</f>
        <v>46419</v>
      </c>
      <c r="AQ3" s="891">
        <f>Monthly!AS4</f>
        <v>46447</v>
      </c>
      <c r="AR3" s="891">
        <f>Monthly!AT4</f>
        <v>46478</v>
      </c>
      <c r="AS3" s="891">
        <f>Monthly!AU4</f>
        <v>46508</v>
      </c>
      <c r="AT3" s="891">
        <f>Monthly!AV4</f>
        <v>46539</v>
      </c>
      <c r="AU3" s="891">
        <f>Monthly!AW4</f>
        <v>46569</v>
      </c>
      <c r="AV3" s="891">
        <f>Monthly!AX4</f>
        <v>46600</v>
      </c>
      <c r="AW3" s="891">
        <f>Monthly!AY4</f>
        <v>46631</v>
      </c>
      <c r="AX3" s="891">
        <f>Monthly!AZ4</f>
        <v>46661</v>
      </c>
      <c r="AY3" s="891">
        <f>Monthly!BA4</f>
        <v>46692</v>
      </c>
      <c r="AZ3" s="891">
        <f>Monthly!BB4</f>
        <v>46722</v>
      </c>
      <c r="BA3" s="891">
        <f>Monthly!BC4</f>
        <v>46753</v>
      </c>
      <c r="BB3" s="891">
        <f>Monthly!BD4</f>
        <v>46784</v>
      </c>
      <c r="BC3" s="891">
        <f>Monthly!BE4</f>
        <v>46813</v>
      </c>
      <c r="BD3" s="891">
        <f>Monthly!BF4</f>
        <v>46844</v>
      </c>
      <c r="BE3" s="891">
        <f>Monthly!BG4</f>
        <v>46874</v>
      </c>
      <c r="BF3" s="891">
        <f>Monthly!BH4</f>
        <v>46905</v>
      </c>
      <c r="BG3" s="891">
        <f>Monthly!BI4</f>
        <v>46935</v>
      </c>
      <c r="BH3" s="891">
        <f>Monthly!BJ4</f>
        <v>46966</v>
      </c>
      <c r="BI3" s="891">
        <f>Monthly!BK4</f>
        <v>46997</v>
      </c>
      <c r="BJ3" s="891">
        <f>Monthly!BL4</f>
        <v>47027</v>
      </c>
      <c r="BK3" s="891">
        <f>Monthly!BM4</f>
        <v>47058</v>
      </c>
      <c r="BL3" s="891">
        <f>Monthly!BN4</f>
        <v>47088</v>
      </c>
      <c r="BM3" s="891">
        <f>Monthly!BO4</f>
        <v>47119</v>
      </c>
      <c r="BN3" s="891">
        <f>Monthly!BP4</f>
        <v>47150</v>
      </c>
      <c r="BO3" s="891">
        <f>Monthly!BQ4</f>
        <v>47178</v>
      </c>
      <c r="BP3" s="891">
        <f>Monthly!BR4</f>
        <v>47209</v>
      </c>
      <c r="BQ3" s="891">
        <f>Monthly!BS4</f>
        <v>47239</v>
      </c>
      <c r="BR3" s="891">
        <f>Monthly!BT4</f>
        <v>47270</v>
      </c>
      <c r="BS3" s="891">
        <f>Monthly!BU4</f>
        <v>47300</v>
      </c>
      <c r="BT3" s="891">
        <f>Monthly!BV4</f>
        <v>47331</v>
      </c>
      <c r="BU3" s="891">
        <f>Monthly!BW4</f>
        <v>47362</v>
      </c>
      <c r="BV3" s="891">
        <f>Monthly!BX4</f>
        <v>47392</v>
      </c>
      <c r="BW3" s="891">
        <f>Monthly!BY4</f>
        <v>47423</v>
      </c>
      <c r="BX3" s="891">
        <f>Monthly!BZ4</f>
        <v>47453</v>
      </c>
      <c r="BY3" s="891">
        <f>Monthly!CA4</f>
        <v>47484</v>
      </c>
      <c r="BZ3" s="891">
        <f>Monthly!CB4</f>
        <v>47515</v>
      </c>
      <c r="CA3" s="891">
        <f>Monthly!CC4</f>
        <v>47543</v>
      </c>
      <c r="CB3" s="891">
        <f>Monthly!CD4</f>
        <v>47574</v>
      </c>
      <c r="CC3" s="891">
        <f>Monthly!CE4</f>
        <v>47604</v>
      </c>
      <c r="CD3" s="891">
        <f>Monthly!CF4</f>
        <v>47635</v>
      </c>
      <c r="CE3" s="891">
        <f>Monthly!CG4</f>
        <v>47665</v>
      </c>
      <c r="CF3" s="891">
        <f>Monthly!CH4</f>
        <v>47696</v>
      </c>
      <c r="CG3" s="891">
        <f>Monthly!CI4</f>
        <v>47727</v>
      </c>
      <c r="CH3" s="891">
        <f>Monthly!CJ4</f>
        <v>47757</v>
      </c>
      <c r="CI3" s="891">
        <f>Monthly!CK4</f>
        <v>47788</v>
      </c>
      <c r="CJ3" s="891">
        <f>Monthly!CL4</f>
        <v>47818</v>
      </c>
      <c r="CK3" s="891">
        <f>Monthly!CM4</f>
        <v>47849</v>
      </c>
      <c r="CL3" s="891">
        <f>Monthly!CN4</f>
        <v>47880</v>
      </c>
      <c r="CM3" s="891">
        <f>Monthly!CO4</f>
        <v>47908</v>
      </c>
      <c r="CN3" s="891">
        <f>Monthly!CP4</f>
        <v>47939</v>
      </c>
      <c r="CO3" s="891">
        <f>Monthly!CQ4</f>
        <v>47969</v>
      </c>
      <c r="CP3" s="891">
        <f>Monthly!CR4</f>
        <v>48000</v>
      </c>
      <c r="CQ3" s="891">
        <f>Monthly!CS4</f>
        <v>48030</v>
      </c>
      <c r="CR3" s="891">
        <f>Monthly!CT4</f>
        <v>48061</v>
      </c>
      <c r="CS3" s="891">
        <f>Monthly!CU4</f>
        <v>48092</v>
      </c>
      <c r="CT3" s="891">
        <f>Monthly!CV4</f>
        <v>48122</v>
      </c>
      <c r="CU3" s="891">
        <f>Monthly!CW4</f>
        <v>48153</v>
      </c>
      <c r="CV3" s="891">
        <f>Monthly!CX4</f>
        <v>48183</v>
      </c>
      <c r="CW3" s="891">
        <f>Monthly!CY4</f>
        <v>48214</v>
      </c>
      <c r="CX3" s="891">
        <f>Monthly!CZ4</f>
        <v>48245</v>
      </c>
      <c r="CY3" s="891">
        <f>Monthly!DA4</f>
        <v>48274</v>
      </c>
      <c r="CZ3" s="891">
        <f>Monthly!DB4</f>
        <v>48305</v>
      </c>
      <c r="DA3" s="891">
        <f>Monthly!DC4</f>
        <v>48335</v>
      </c>
      <c r="DB3" s="891">
        <f>Monthly!DD4</f>
        <v>48366</v>
      </c>
      <c r="DC3" s="891">
        <f>Monthly!DE4</f>
        <v>48396</v>
      </c>
      <c r="DD3" s="891">
        <f>Monthly!DF4</f>
        <v>48427</v>
      </c>
      <c r="DE3" s="891">
        <f>Monthly!DG4</f>
        <v>48458</v>
      </c>
      <c r="DF3" s="891">
        <f>Monthly!DH4</f>
        <v>48488</v>
      </c>
      <c r="DG3" s="891">
        <f>Monthly!DI4</f>
        <v>48519</v>
      </c>
      <c r="DH3" s="891">
        <f>Monthly!DJ4</f>
        <v>48549</v>
      </c>
      <c r="DI3" s="891">
        <f>Monthly!DK4</f>
        <v>48580</v>
      </c>
      <c r="DJ3" s="891">
        <f>Monthly!DL4</f>
        <v>48611</v>
      </c>
      <c r="DK3" s="891">
        <f>Monthly!DM4</f>
        <v>48639</v>
      </c>
      <c r="DL3" s="891">
        <f>Monthly!DN4</f>
        <v>48670</v>
      </c>
      <c r="DM3" s="327"/>
      <c r="DN3" s="326" t="s">
        <v>117</v>
      </c>
    </row>
    <row r="4" spans="3:118" ht="13.8" thickBot="1" x14ac:dyDescent="0.3"/>
    <row r="5" spans="3:118" s="323" customFormat="1" ht="13.8" outlineLevel="1" x14ac:dyDescent="0.3">
      <c r="C5" s="351" t="s">
        <v>318</v>
      </c>
      <c r="D5" s="352"/>
      <c r="E5" s="352"/>
      <c r="F5" s="352"/>
      <c r="G5" s="352"/>
      <c r="H5" s="352"/>
      <c r="I5" s="353"/>
      <c r="J5" s="353"/>
      <c r="K5" s="353"/>
      <c r="L5" s="353"/>
      <c r="M5" s="353"/>
      <c r="N5" s="353"/>
      <c r="O5" s="353"/>
      <c r="P5" s="353"/>
      <c r="Q5" s="353"/>
      <c r="R5" s="353"/>
      <c r="S5" s="353"/>
      <c r="T5" s="353"/>
      <c r="U5" s="353"/>
      <c r="V5" s="353"/>
      <c r="W5" s="353"/>
      <c r="X5" s="353"/>
      <c r="Y5" s="353"/>
      <c r="Z5" s="353"/>
      <c r="AA5" s="353"/>
      <c r="AB5" s="353"/>
      <c r="AC5" s="353"/>
      <c r="AD5" s="353"/>
      <c r="AE5" s="353"/>
      <c r="AF5" s="353"/>
      <c r="AG5" s="353"/>
      <c r="AH5" s="353"/>
      <c r="AI5" s="353"/>
      <c r="AJ5" s="353"/>
      <c r="AK5" s="353"/>
      <c r="AL5" s="353"/>
      <c r="AM5" s="353"/>
      <c r="AN5" s="353"/>
      <c r="AO5" s="353"/>
      <c r="AP5" s="353"/>
      <c r="AQ5" s="353"/>
      <c r="AR5" s="353"/>
      <c r="AS5" s="353"/>
      <c r="AT5" s="353"/>
      <c r="AU5" s="353"/>
      <c r="AV5" s="353"/>
      <c r="AW5" s="353"/>
      <c r="AX5" s="353"/>
      <c r="AY5" s="353"/>
      <c r="AZ5" s="353"/>
      <c r="BA5" s="353"/>
      <c r="BB5" s="353"/>
      <c r="BC5" s="353"/>
      <c r="BD5" s="353"/>
      <c r="BE5" s="353"/>
      <c r="BF5" s="353"/>
      <c r="BG5" s="353"/>
      <c r="BH5" s="353"/>
      <c r="BI5" s="353"/>
      <c r="BJ5" s="353"/>
      <c r="BK5" s="353"/>
      <c r="BL5" s="353"/>
      <c r="BM5" s="353"/>
      <c r="BN5" s="353"/>
      <c r="BO5" s="353"/>
      <c r="BP5" s="353"/>
      <c r="BQ5" s="353"/>
      <c r="BR5" s="353"/>
      <c r="BS5" s="353"/>
      <c r="BT5" s="353"/>
      <c r="BU5" s="353"/>
      <c r="BV5" s="353"/>
      <c r="BW5" s="353"/>
      <c r="BX5" s="353"/>
      <c r="BY5" s="353"/>
      <c r="BZ5" s="353"/>
      <c r="CA5" s="353"/>
      <c r="CB5" s="353"/>
      <c r="CC5" s="353"/>
      <c r="CD5" s="353"/>
      <c r="CE5" s="353"/>
      <c r="CF5" s="353"/>
      <c r="CG5" s="353"/>
      <c r="CH5" s="353"/>
      <c r="CI5" s="353"/>
      <c r="CJ5" s="353"/>
      <c r="CK5" s="353"/>
      <c r="CL5" s="353"/>
      <c r="CM5" s="353"/>
      <c r="CN5" s="353"/>
      <c r="CO5" s="353"/>
      <c r="CP5" s="353"/>
      <c r="CQ5" s="353"/>
      <c r="CR5" s="353"/>
      <c r="CS5" s="353"/>
      <c r="CT5" s="353"/>
      <c r="CU5" s="353"/>
      <c r="CV5" s="353"/>
      <c r="CW5" s="353"/>
      <c r="CX5" s="353"/>
      <c r="CY5" s="353"/>
      <c r="CZ5" s="353"/>
      <c r="DA5" s="353"/>
      <c r="DB5" s="353"/>
      <c r="DC5" s="353"/>
      <c r="DD5" s="353"/>
      <c r="DE5" s="353"/>
      <c r="DF5" s="353"/>
      <c r="DG5" s="353"/>
      <c r="DH5" s="353"/>
      <c r="DI5" s="353"/>
      <c r="DJ5" s="353"/>
      <c r="DK5" s="353"/>
      <c r="DL5" s="353"/>
      <c r="DM5" s="353"/>
      <c r="DN5" s="354"/>
    </row>
    <row r="6" spans="3:118" s="323" customFormat="1" ht="13.8" outlineLevel="1" x14ac:dyDescent="0.3">
      <c r="C6" s="355"/>
      <c r="D6" s="356" t="s">
        <v>259</v>
      </c>
      <c r="E6" s="356"/>
      <c r="F6" s="356"/>
      <c r="G6" s="356"/>
      <c r="H6" s="356"/>
      <c r="I6" s="357"/>
      <c r="J6" s="357"/>
      <c r="K6" s="357"/>
      <c r="L6" s="357"/>
      <c r="M6" s="357"/>
      <c r="N6" s="357"/>
      <c r="O6" s="357"/>
      <c r="P6" s="357"/>
      <c r="Q6" s="357"/>
      <c r="R6" s="357"/>
      <c r="S6" s="357"/>
      <c r="T6" s="357"/>
      <c r="U6" s="357"/>
      <c r="V6" s="357"/>
      <c r="W6" s="357"/>
      <c r="X6" s="357"/>
      <c r="Y6" s="357"/>
      <c r="Z6" s="357"/>
      <c r="AA6" s="357"/>
      <c r="AB6" s="357"/>
      <c r="AC6" s="357"/>
      <c r="AD6" s="357"/>
      <c r="AE6" s="357"/>
      <c r="AF6" s="357"/>
      <c r="AG6" s="357"/>
      <c r="AH6" s="357"/>
      <c r="AI6" s="357"/>
      <c r="AJ6" s="357"/>
      <c r="AK6" s="357"/>
      <c r="AL6" s="357"/>
      <c r="AM6" s="357"/>
      <c r="AN6" s="357"/>
      <c r="AO6" s="357"/>
      <c r="AP6" s="357"/>
      <c r="AQ6" s="357"/>
      <c r="AR6" s="357"/>
      <c r="AS6" s="357"/>
      <c r="AT6" s="357"/>
      <c r="AU6" s="357"/>
      <c r="AV6" s="357"/>
      <c r="AW6" s="357"/>
      <c r="AX6" s="357"/>
      <c r="AY6" s="357"/>
      <c r="AZ6" s="357"/>
      <c r="BA6" s="357"/>
      <c r="BB6" s="357"/>
      <c r="BC6" s="357"/>
      <c r="BD6" s="357"/>
      <c r="BE6" s="357"/>
      <c r="BF6" s="357"/>
      <c r="BG6" s="357"/>
      <c r="BH6" s="357"/>
      <c r="BI6" s="357"/>
      <c r="BJ6" s="357"/>
      <c r="BK6" s="357"/>
      <c r="BL6" s="357"/>
      <c r="BM6" s="357"/>
      <c r="BN6" s="357"/>
      <c r="BO6" s="357"/>
      <c r="BP6" s="357"/>
      <c r="BQ6" s="357"/>
      <c r="BR6" s="357"/>
      <c r="BS6" s="357"/>
      <c r="BT6" s="357"/>
      <c r="BU6" s="357"/>
      <c r="BV6" s="357"/>
      <c r="BW6" s="357"/>
      <c r="BX6" s="357"/>
      <c r="BY6" s="357"/>
      <c r="BZ6" s="357"/>
      <c r="CA6" s="357"/>
      <c r="CB6" s="357"/>
      <c r="CC6" s="357"/>
      <c r="CD6" s="357"/>
      <c r="CE6" s="357"/>
      <c r="CF6" s="357"/>
      <c r="CG6" s="357"/>
      <c r="CH6" s="357"/>
      <c r="CI6" s="357"/>
      <c r="CJ6" s="357"/>
      <c r="CK6" s="357"/>
      <c r="CL6" s="357"/>
      <c r="CM6" s="357"/>
      <c r="CN6" s="357"/>
      <c r="CO6" s="357"/>
      <c r="CP6" s="357"/>
      <c r="CQ6" s="357"/>
      <c r="CR6" s="357"/>
      <c r="CS6" s="357"/>
      <c r="CT6" s="357"/>
      <c r="CU6" s="357"/>
      <c r="CV6" s="357"/>
      <c r="CW6" s="357"/>
      <c r="CX6" s="357"/>
      <c r="CY6" s="357"/>
      <c r="CZ6" s="357"/>
      <c r="DA6" s="357"/>
      <c r="DB6" s="357"/>
      <c r="DC6" s="357"/>
      <c r="DD6" s="357"/>
      <c r="DE6" s="357"/>
      <c r="DF6" s="357"/>
      <c r="DG6" s="357"/>
      <c r="DH6" s="357"/>
      <c r="DI6" s="357"/>
      <c r="DJ6" s="357"/>
      <c r="DK6" s="357"/>
      <c r="DL6" s="357"/>
      <c r="DM6" s="357"/>
      <c r="DN6" s="358"/>
    </row>
    <row r="7" spans="3:118" s="323" customFormat="1" ht="13.8" outlineLevel="1" x14ac:dyDescent="0.3">
      <c r="C7" s="355"/>
      <c r="D7" s="356"/>
      <c r="E7" s="356" t="s">
        <v>326</v>
      </c>
      <c r="F7" s="356"/>
      <c r="G7" s="356"/>
      <c r="H7" s="356"/>
      <c r="I7" s="357">
        <f>IF(I14&gt;0,'Table 3.0'!$G$20,0)</f>
        <v>0</v>
      </c>
      <c r="J7" s="357">
        <f>IF(J14&gt;0,'Table 3.0'!$G$20,0)</f>
        <v>0</v>
      </c>
      <c r="K7" s="357">
        <f>IF(K14&gt;0,'Table 3.0'!$G$20,0)</f>
        <v>0</v>
      </c>
      <c r="L7" s="357">
        <f>IF(L14&gt;0,'Table 3.0'!$G$20,0)</f>
        <v>0</v>
      </c>
      <c r="M7" s="357">
        <f>IF(M14&gt;0,'Table 3.0'!$G$20,0)</f>
        <v>0</v>
      </c>
      <c r="N7" s="357">
        <f>IF(N14&gt;0,'Table 3.0'!$G$20,0)</f>
        <v>0</v>
      </c>
      <c r="O7" s="357">
        <f>IF(O14&gt;0,'Table 3.0'!$G$20,0)</f>
        <v>0</v>
      </c>
      <c r="P7" s="357">
        <f>IF(P14&gt;0,'Table 3.0'!$G$20,0)</f>
        <v>0</v>
      </c>
      <c r="Q7" s="357">
        <f>IF(Q14&gt;0,'Table 3.0'!$G$20,0)</f>
        <v>0</v>
      </c>
      <c r="R7" s="357">
        <f>IF(R14&gt;0,'Table 3.0'!$G$20,0)</f>
        <v>0</v>
      </c>
      <c r="S7" s="357">
        <f>IF(S14&gt;0,'Table 3.0'!$G$20,0)</f>
        <v>0</v>
      </c>
      <c r="T7" s="357">
        <f>IF(T14&gt;0,'Table 3.0'!$G$20,0)</f>
        <v>0</v>
      </c>
      <c r="U7" s="357">
        <f>IF(U14&gt;0,'Table 3.0'!$G$20,0)</f>
        <v>0</v>
      </c>
      <c r="V7" s="357">
        <f>IF(V14&gt;0,'Table 3.0'!$G$20,0)</f>
        <v>0</v>
      </c>
      <c r="W7" s="357">
        <f>IF(W14&gt;0,'Table 3.0'!$G$20,0)</f>
        <v>0</v>
      </c>
      <c r="X7" s="357">
        <f>IF(X14&gt;0,'Table 3.0'!$G$20,0)</f>
        <v>0</v>
      </c>
      <c r="Y7" s="357">
        <f>IF(Y14&gt;0,'Table 3.0'!$G$20,0)</f>
        <v>0</v>
      </c>
      <c r="Z7" s="357">
        <f>IF(Z14&gt;0,'Table 3.0'!$G$20,0)</f>
        <v>0</v>
      </c>
      <c r="AA7" s="357">
        <f>IF(AA14&gt;0,'Table 3.0'!$G$20,0)</f>
        <v>0</v>
      </c>
      <c r="AB7" s="357">
        <f>IF(AB14&gt;0,'Table 3.0'!$G$20,0)</f>
        <v>0</v>
      </c>
      <c r="AC7" s="357">
        <f>IF(AC14&gt;0,'Table 3.0'!$G$20,0)</f>
        <v>0</v>
      </c>
      <c r="AD7" s="357">
        <f>IF(AD14&gt;0,'Table 3.0'!$G$20,0)</f>
        <v>0</v>
      </c>
      <c r="AE7" s="357">
        <f>IF(AE14&gt;0,'Table 3.0'!$G$20,0)</f>
        <v>0</v>
      </c>
      <c r="AF7" s="357">
        <f>IF(AF14&gt;0,'Table 3.0'!$G$20,0)</f>
        <v>0</v>
      </c>
      <c r="AG7" s="357">
        <f>IF(AG14&gt;0,'Table 3.0'!$G$20,0)</f>
        <v>0</v>
      </c>
      <c r="AH7" s="357">
        <f>IF(AH14&gt;0,'Table 3.0'!$G$20,0)</f>
        <v>0</v>
      </c>
      <c r="AI7" s="357">
        <f>IF(AI14&gt;0,'Table 3.0'!$G$20,0)</f>
        <v>0</v>
      </c>
      <c r="AJ7" s="357">
        <f>IF(AJ14&gt;0,'Table 3.0'!$G$20,0)</f>
        <v>0</v>
      </c>
      <c r="AK7" s="357">
        <f>IF(AK14&gt;0,'Table 3.0'!$G$20,0)</f>
        <v>0</v>
      </c>
      <c r="AL7" s="357">
        <f>IF(AL14&gt;0,'Table 3.0'!$G$20,0)</f>
        <v>0</v>
      </c>
      <c r="AM7" s="357">
        <f>IF(AM14&gt;0,'Table 3.0'!$G$20,0)</f>
        <v>0</v>
      </c>
      <c r="AN7" s="357">
        <f>IF(AN14&gt;0,'Table 3.0'!$G$20,0)</f>
        <v>0</v>
      </c>
      <c r="AO7" s="357">
        <f>IF(AO14&gt;0,'Table 3.0'!$G$20,0)</f>
        <v>0</v>
      </c>
      <c r="AP7" s="357">
        <f>IF(AP14&gt;0,'Table 3.0'!$G$20,0)</f>
        <v>0</v>
      </c>
      <c r="AQ7" s="357">
        <f>IF(AQ14&gt;0,'Table 3.0'!$G$20,0)</f>
        <v>0</v>
      </c>
      <c r="AR7" s="357">
        <f>IF(AR14&gt;0,'Table 3.0'!$G$20,0)</f>
        <v>0</v>
      </c>
      <c r="AS7" s="357">
        <f>IF(AS14&gt;0,'Table 3.0'!$G$20,0)</f>
        <v>0</v>
      </c>
      <c r="AT7" s="357">
        <f>IF(AT14&gt;0,'Table 3.0'!$G$20,0)</f>
        <v>0</v>
      </c>
      <c r="AU7" s="357">
        <f>IF(AU14&gt;0,'Table 3.0'!$G$20,0)</f>
        <v>0</v>
      </c>
      <c r="AV7" s="357">
        <f>IF(AV14&gt;0,'Table 3.0'!$G$20,0)</f>
        <v>0</v>
      </c>
      <c r="AW7" s="357">
        <f>IF(AW14&gt;0,'Table 3.0'!$G$20,0)</f>
        <v>0</v>
      </c>
      <c r="AX7" s="357">
        <f>IF(AX14&gt;0,'Table 3.0'!$G$20,0)</f>
        <v>0</v>
      </c>
      <c r="AY7" s="357">
        <f>IF(AY14&gt;0,'Table 3.0'!$G$20,0)</f>
        <v>0</v>
      </c>
      <c r="AZ7" s="357">
        <f>IF(AZ14&gt;0,'Table 3.0'!$G$20,0)</f>
        <v>0</v>
      </c>
      <c r="BA7" s="357">
        <f>IF(BA14&gt;0,'Table 3.0'!$G$20,0)</f>
        <v>0</v>
      </c>
      <c r="BB7" s="357">
        <f>IF(BB14&gt;0,'Table 3.0'!$G$20,0)</f>
        <v>0</v>
      </c>
      <c r="BC7" s="357">
        <f>IF(BC14&gt;0,'Table 3.0'!$G$20,0)</f>
        <v>0</v>
      </c>
      <c r="BD7" s="357">
        <f>IF(BD14&gt;0,'Table 3.0'!$G$20,0)</f>
        <v>0</v>
      </c>
      <c r="BE7" s="357">
        <f>IF(BE14&gt;0,'Table 3.0'!$G$20,0)</f>
        <v>0</v>
      </c>
      <c r="BF7" s="357">
        <f>IF(BF14&gt;0,'Table 3.0'!$G$20,0)</f>
        <v>0</v>
      </c>
      <c r="BG7" s="357">
        <f>IF(BG14&gt;0,'Table 3.0'!$G$20,0)</f>
        <v>0</v>
      </c>
      <c r="BH7" s="357">
        <f>IF(BH14&gt;0,'Table 3.0'!$G$20,0)</f>
        <v>0</v>
      </c>
      <c r="BI7" s="357">
        <f>IF(BI14&gt;0,'Table 3.0'!$G$20,0)</f>
        <v>0</v>
      </c>
      <c r="BJ7" s="357">
        <f>IF(BJ14&gt;0,'Table 3.0'!$G$20,0)</f>
        <v>0</v>
      </c>
      <c r="BK7" s="357">
        <f>IF(BK14&gt;0,'Table 3.0'!$G$20,0)</f>
        <v>0</v>
      </c>
      <c r="BL7" s="357">
        <f>IF(BL14&gt;0,'Table 3.0'!$G$20,0)</f>
        <v>0</v>
      </c>
      <c r="BM7" s="357">
        <f>IF(BM14&gt;0,'Table 3.0'!$G$20,0)</f>
        <v>0</v>
      </c>
      <c r="BN7" s="357">
        <f>IF(BN14&gt;0,'Table 3.0'!$G$20,0)</f>
        <v>0</v>
      </c>
      <c r="BO7" s="357">
        <f>IF(BO14&gt;0,'Table 3.0'!$G$20,0)</f>
        <v>0</v>
      </c>
      <c r="BP7" s="357">
        <f>IF(BP14&gt;0,'Table 3.0'!$G$20,0)</f>
        <v>0</v>
      </c>
      <c r="BQ7" s="357">
        <f>IF(BQ14&gt;0,'Table 3.0'!$G$20,0)</f>
        <v>0</v>
      </c>
      <c r="BR7" s="357">
        <f>IF(BR14&gt;0,'Table 3.0'!$G$20,0)</f>
        <v>0</v>
      </c>
      <c r="BS7" s="357">
        <f>IF(BS14&gt;0,'Table 3.0'!$G$20,0)</f>
        <v>0</v>
      </c>
      <c r="BT7" s="357">
        <f>IF(BT14&gt;0,'Table 3.0'!$G$20,0)</f>
        <v>0</v>
      </c>
      <c r="BU7" s="357">
        <f>IF(BU14&gt;0,'Table 3.0'!$G$20,0)</f>
        <v>0</v>
      </c>
      <c r="BV7" s="357">
        <f>IF(BV14&gt;0,'Table 3.0'!$G$20,0)</f>
        <v>0</v>
      </c>
      <c r="BW7" s="357">
        <f>IF(BW14&gt;0,'Table 3.0'!$G$20,0)</f>
        <v>0</v>
      </c>
      <c r="BX7" s="357">
        <f>IF(BX14&gt;0,'Table 3.0'!$G$20,0)</f>
        <v>0</v>
      </c>
      <c r="BY7" s="357">
        <f>IF(BY14&gt;0,'Table 3.0'!$G$20,0)</f>
        <v>0</v>
      </c>
      <c r="BZ7" s="357">
        <f>IF(BZ14&gt;0,'Table 3.0'!$G$20,0)</f>
        <v>0</v>
      </c>
      <c r="CA7" s="357">
        <f>IF(CA14&gt;0,'Table 3.0'!$G$20,0)</f>
        <v>0</v>
      </c>
      <c r="CB7" s="357">
        <f>IF(CB14&gt;0,'Table 3.0'!$G$20,0)</f>
        <v>0</v>
      </c>
      <c r="CC7" s="357">
        <f>IF(CC14&gt;0,'Table 3.0'!$G$20,0)</f>
        <v>0</v>
      </c>
      <c r="CD7" s="357">
        <f>IF(CD14&gt;0,'Table 3.0'!$G$20,0)</f>
        <v>0</v>
      </c>
      <c r="CE7" s="357">
        <f>IF(CE14&gt;0,'Table 3.0'!$G$20,0)</f>
        <v>0</v>
      </c>
      <c r="CF7" s="357">
        <f>IF(CF14&gt;0,'Table 3.0'!$G$20,0)</f>
        <v>0</v>
      </c>
      <c r="CG7" s="357">
        <f>IF(CG14&gt;0,'Table 3.0'!$G$20,0)</f>
        <v>0</v>
      </c>
      <c r="CH7" s="357">
        <f>IF(CH14&gt;0,'Table 3.0'!$G$20,0)</f>
        <v>0</v>
      </c>
      <c r="CI7" s="357">
        <f>IF(CI14&gt;0,'Table 3.0'!$G$20,0)</f>
        <v>0</v>
      </c>
      <c r="CJ7" s="357">
        <f>IF(CJ14&gt;0,'Table 3.0'!$G$20,0)</f>
        <v>0</v>
      </c>
      <c r="CK7" s="357">
        <f>IF(CK14&gt;0,'Table 3.0'!$G$20,0)</f>
        <v>0</v>
      </c>
      <c r="CL7" s="357">
        <f>IF(CL14&gt;0,'Table 3.0'!$G$20,0)</f>
        <v>0</v>
      </c>
      <c r="CM7" s="357">
        <f>IF(CM14&gt;0,'Table 3.0'!$G$20,0)</f>
        <v>0</v>
      </c>
      <c r="CN7" s="357">
        <f>IF(CN14&gt;0,'Table 3.0'!$G$20,0)</f>
        <v>0</v>
      </c>
      <c r="CO7" s="357">
        <f>IF(CO14&gt;0,'Table 3.0'!$G$20,0)</f>
        <v>0</v>
      </c>
      <c r="CP7" s="357">
        <f>IF(CP14&gt;0,'Table 3.0'!$G$20,0)</f>
        <v>0</v>
      </c>
      <c r="CQ7" s="357">
        <f>IF(CQ14&gt;0,'Table 3.0'!$G$20,0)</f>
        <v>0</v>
      </c>
      <c r="CR7" s="357">
        <f>IF(CR14&gt;0,'Table 3.0'!$G$20,0)</f>
        <v>0</v>
      </c>
      <c r="CS7" s="357">
        <f>IF(CS14&gt;0,'Table 3.0'!$G$20,0)</f>
        <v>0</v>
      </c>
      <c r="CT7" s="357">
        <f>IF(CT14&gt;0,'Table 3.0'!$G$20,0)</f>
        <v>0</v>
      </c>
      <c r="CU7" s="357">
        <f>IF(CU14&gt;0,'Table 3.0'!$G$20,0)</f>
        <v>0</v>
      </c>
      <c r="CV7" s="357">
        <f>IF(CV14&gt;0,'Table 3.0'!$G$20,0)</f>
        <v>0</v>
      </c>
      <c r="CW7" s="357">
        <f>IF(CW14&gt;0,'Table 3.0'!$G$20,0)</f>
        <v>0</v>
      </c>
      <c r="CX7" s="357">
        <f>IF(CX14&gt;0,'Table 3.0'!$G$20,0)</f>
        <v>0</v>
      </c>
      <c r="CY7" s="357">
        <f>IF(CY14&gt;0,'Table 3.0'!$G$20,0)</f>
        <v>0</v>
      </c>
      <c r="CZ7" s="357">
        <f>IF(CZ14&gt;0,'Table 3.0'!$G$20,0)</f>
        <v>0</v>
      </c>
      <c r="DA7" s="357">
        <f>IF(DA14&gt;0,'Table 3.0'!$G$20,0)</f>
        <v>0</v>
      </c>
      <c r="DB7" s="357">
        <f>IF(DB14&gt;0,'Table 3.0'!$G$20,0)</f>
        <v>0</v>
      </c>
      <c r="DC7" s="357">
        <f>IF(DC14&gt;0,'Table 3.0'!$G$20,0)</f>
        <v>0</v>
      </c>
      <c r="DD7" s="357">
        <f>IF(DD14&gt;0,'Table 3.0'!$G$20,0)</f>
        <v>0</v>
      </c>
      <c r="DE7" s="357">
        <f>IF(DE14&gt;0,'Table 3.0'!$G$20,0)</f>
        <v>0</v>
      </c>
      <c r="DF7" s="357">
        <f>IF(DF14&gt;0,'Table 3.0'!$G$20,0)</f>
        <v>0</v>
      </c>
      <c r="DG7" s="357">
        <f>IF(DG14&gt;0,'Table 3.0'!$G$20,0)</f>
        <v>0</v>
      </c>
      <c r="DH7" s="357">
        <f>IF(DH14&gt;0,'Table 3.0'!$G$20,0)</f>
        <v>0</v>
      </c>
      <c r="DI7" s="357">
        <f>IF(DI14&gt;0,'Table 3.0'!$G$20,0)</f>
        <v>0</v>
      </c>
      <c r="DJ7" s="357">
        <f>IF(DJ14&gt;0,'Table 3.0'!$G$20,0)</f>
        <v>0</v>
      </c>
      <c r="DK7" s="357">
        <f>IF(DK14&gt;0,'Table 3.0'!$G$20,0)</f>
        <v>0</v>
      </c>
      <c r="DL7" s="357">
        <f>IF(DL14&gt;0,'Table 3.0'!$G$20,0)</f>
        <v>0</v>
      </c>
      <c r="DM7" s="357"/>
      <c r="DN7" s="358">
        <f>SUM(I7:AR7)</f>
        <v>0</v>
      </c>
    </row>
    <row r="8" spans="3:118" s="323" customFormat="1" ht="13.8" outlineLevel="1" x14ac:dyDescent="0.3">
      <c r="C8" s="355"/>
      <c r="D8" s="359"/>
      <c r="E8" s="359" t="s">
        <v>327</v>
      </c>
      <c r="F8" s="359"/>
      <c r="G8" s="359"/>
      <c r="H8" s="359"/>
      <c r="I8" s="513">
        <f>Monthly!K118</f>
        <v>0</v>
      </c>
      <c r="J8" s="513">
        <f>Monthly!L118</f>
        <v>0</v>
      </c>
      <c r="K8" s="513">
        <f>Monthly!M118</f>
        <v>0</v>
      </c>
      <c r="L8" s="513">
        <f>Monthly!N118</f>
        <v>0</v>
      </c>
      <c r="M8" s="513">
        <f>Monthly!O118</f>
        <v>81027.416666666541</v>
      </c>
      <c r="N8" s="513">
        <f>Monthly!P118</f>
        <v>372062.05038194446</v>
      </c>
      <c r="O8" s="513">
        <f>Monthly!Q118</f>
        <v>320311.54161413485</v>
      </c>
      <c r="P8" s="513">
        <f>Monthly!R118</f>
        <v>678704.59131858009</v>
      </c>
      <c r="Q8" s="513">
        <f>Monthly!S118</f>
        <v>115563.91933318551</v>
      </c>
      <c r="R8" s="513">
        <f>Monthly!T118</f>
        <v>158985.80036123988</v>
      </c>
      <c r="S8" s="513">
        <f>Monthly!U118</f>
        <v>164599.43794743303</v>
      </c>
      <c r="T8" s="513">
        <f>Monthly!V118</f>
        <v>144735.76683118354</v>
      </c>
      <c r="U8" s="513">
        <f>Monthly!W118</f>
        <v>3339.6733185970879</v>
      </c>
      <c r="V8" s="513">
        <f>Monthly!X118</f>
        <v>1040.0523990359725</v>
      </c>
      <c r="W8" s="513">
        <f>Monthly!Y118</f>
        <v>0</v>
      </c>
      <c r="X8" s="513">
        <f>Monthly!Z118</f>
        <v>0</v>
      </c>
      <c r="Y8" s="513">
        <f>Monthly!AA118</f>
        <v>0</v>
      </c>
      <c r="Z8" s="513">
        <f>Monthly!AB118</f>
        <v>464.14915206338628</v>
      </c>
      <c r="AA8" s="513">
        <f>Monthly!AC118</f>
        <v>3880.2836661838883</v>
      </c>
      <c r="AB8" s="513">
        <f>Monthly!AD118</f>
        <v>6237.062578541183</v>
      </c>
      <c r="AC8" s="513">
        <f>Monthly!AE118</f>
        <v>59785.699323954643</v>
      </c>
      <c r="AD8" s="513">
        <f>Monthly!AF118</f>
        <v>11258.602776935943</v>
      </c>
      <c r="AE8" s="513">
        <f>Monthly!AG118</f>
        <v>6848.8733822533468</v>
      </c>
      <c r="AF8" s="513">
        <f>Monthly!AH118</f>
        <v>37081.663629862851</v>
      </c>
      <c r="AG8" s="513">
        <f>Monthly!AI118</f>
        <v>0</v>
      </c>
      <c r="AH8" s="513">
        <f>Monthly!AJ118</f>
        <v>0</v>
      </c>
      <c r="AI8" s="513">
        <f>Monthly!AK118</f>
        <v>0</v>
      </c>
      <c r="AJ8" s="513">
        <f>Monthly!AL118</f>
        <v>0</v>
      </c>
      <c r="AK8" s="513">
        <f>Monthly!AM118</f>
        <v>0</v>
      </c>
      <c r="AL8" s="513">
        <f>Monthly!AN118</f>
        <v>0</v>
      </c>
      <c r="AM8" s="513">
        <f>Monthly!AO118</f>
        <v>0</v>
      </c>
      <c r="AN8" s="513">
        <f>Monthly!AP118</f>
        <v>1833.3315508327323</v>
      </c>
      <c r="AO8" s="513">
        <f>Monthly!AQ118</f>
        <v>61390.495425610163</v>
      </c>
      <c r="AP8" s="513">
        <f>Monthly!AR118</f>
        <v>6917.1035143962408</v>
      </c>
      <c r="AQ8" s="513">
        <f>Monthly!AS118</f>
        <v>2388.6139172185417</v>
      </c>
      <c r="AR8" s="513">
        <f>Monthly!AT118</f>
        <v>6714.9317293794338</v>
      </c>
      <c r="AS8" s="513">
        <f>Monthly!AU118</f>
        <v>0</v>
      </c>
      <c r="AT8" s="513">
        <f>Monthly!AV118</f>
        <v>0</v>
      </c>
      <c r="AU8" s="513">
        <f>Monthly!AW118</f>
        <v>0</v>
      </c>
      <c r="AV8" s="513">
        <f>Monthly!AX118</f>
        <v>0</v>
      </c>
      <c r="AW8" s="513">
        <f>Monthly!AY118</f>
        <v>0</v>
      </c>
      <c r="AX8" s="513">
        <f>Monthly!AZ118</f>
        <v>0</v>
      </c>
      <c r="AY8" s="513">
        <f>Monthly!BA118</f>
        <v>0</v>
      </c>
      <c r="AZ8" s="513">
        <f>Monthly!BB118</f>
        <v>1625.706740288168</v>
      </c>
      <c r="BA8" s="513">
        <f>Monthly!BC118</f>
        <v>67928.03691864881</v>
      </c>
      <c r="BB8" s="513">
        <f>Monthly!BD118</f>
        <v>6300.7805442547506</v>
      </c>
      <c r="BC8" s="513">
        <f>Monthly!BE118</f>
        <v>2226.221723563438</v>
      </c>
      <c r="BD8" s="513">
        <f>Monthly!BF118</f>
        <v>1268.0259788749759</v>
      </c>
      <c r="BE8" s="513">
        <f>Monthly!BG118</f>
        <v>0</v>
      </c>
      <c r="BF8" s="513">
        <f>Monthly!BH118</f>
        <v>0</v>
      </c>
      <c r="BG8" s="513">
        <f>Monthly!BI118</f>
        <v>0</v>
      </c>
      <c r="BH8" s="513">
        <f>Monthly!BJ118</f>
        <v>0</v>
      </c>
      <c r="BI8" s="513">
        <f>Monthly!BK118</f>
        <v>0</v>
      </c>
      <c r="BJ8" s="513">
        <f>Monthly!BL118</f>
        <v>0</v>
      </c>
      <c r="BK8" s="513">
        <f>Monthly!BM118</f>
        <v>0</v>
      </c>
      <c r="BL8" s="513">
        <f>Monthly!BN118</f>
        <v>1472.6243006259219</v>
      </c>
      <c r="BM8" s="513">
        <f>Monthly!BO118</f>
        <v>75307.216976339245</v>
      </c>
      <c r="BN8" s="513">
        <f>Monthly!BP118</f>
        <v>6832.4947107352309</v>
      </c>
      <c r="BO8" s="513">
        <f>Monthly!BQ118</f>
        <v>2134.5552938618821</v>
      </c>
      <c r="BP8" s="513">
        <f>Monthly!BR118</f>
        <v>1109.7313591549546</v>
      </c>
      <c r="BQ8" s="513">
        <f>Monthly!BS118</f>
        <v>0</v>
      </c>
      <c r="BR8" s="513">
        <f>Monthly!BT118</f>
        <v>0</v>
      </c>
      <c r="BS8" s="513">
        <f>Monthly!BU118</f>
        <v>0</v>
      </c>
      <c r="BT8" s="513">
        <f>Monthly!BV118</f>
        <v>0</v>
      </c>
      <c r="BU8" s="513">
        <f>Monthly!BW118</f>
        <v>0</v>
      </c>
      <c r="BV8" s="513">
        <f>Monthly!BX118</f>
        <v>0</v>
      </c>
      <c r="BW8" s="513">
        <f>Monthly!BY118</f>
        <v>0</v>
      </c>
      <c r="BX8" s="513">
        <f>Monthly!BZ118</f>
        <v>21270.050842285516</v>
      </c>
      <c r="BY8" s="513">
        <f>Monthly!CA118</f>
        <v>83674.629072786993</v>
      </c>
      <c r="BZ8" s="513">
        <f>Monthly!CB118</f>
        <v>6937.2828916131675</v>
      </c>
      <c r="CA8" s="513">
        <f>Monthly!CC118</f>
        <v>2155.7830478384431</v>
      </c>
      <c r="CB8" s="513">
        <f>Monthly!CD118</f>
        <v>1074.8850776075756</v>
      </c>
      <c r="CC8" s="513">
        <f>Monthly!CE118</f>
        <v>0</v>
      </c>
      <c r="CD8" s="513">
        <f>Monthly!CF118</f>
        <v>0</v>
      </c>
      <c r="CE8" s="513">
        <f>Monthly!CG118</f>
        <v>0</v>
      </c>
      <c r="CF8" s="513">
        <f>Monthly!CH118</f>
        <v>0</v>
      </c>
      <c r="CG8" s="513">
        <f>Monthly!CI118</f>
        <v>0</v>
      </c>
      <c r="CH8" s="513">
        <f>Monthly!CJ118</f>
        <v>0</v>
      </c>
      <c r="CI8" s="513">
        <f>Monthly!CK118</f>
        <v>0</v>
      </c>
      <c r="CJ8" s="513">
        <f>Monthly!CL118</f>
        <v>31252.912837728745</v>
      </c>
      <c r="CK8" s="513">
        <f>Monthly!CM118</f>
        <v>93133.722438387456</v>
      </c>
      <c r="CL8" s="513">
        <f>Monthly!CN118</f>
        <v>7158.4503669979931</v>
      </c>
      <c r="CM8" s="513">
        <f>Monthly!CO118</f>
        <v>2294.3114324033982</v>
      </c>
      <c r="CN8" s="513">
        <f>Monthly!CP118</f>
        <v>1143.26438744293</v>
      </c>
      <c r="CO8" s="513">
        <f>Monthly!CQ118</f>
        <v>0</v>
      </c>
      <c r="CP8" s="513">
        <f>Monthly!CR118</f>
        <v>0</v>
      </c>
      <c r="CQ8" s="513">
        <f>Monthly!CS118</f>
        <v>0</v>
      </c>
      <c r="CR8" s="513">
        <f>Monthly!CT118</f>
        <v>0</v>
      </c>
      <c r="CS8" s="513">
        <f>Monthly!CU118</f>
        <v>0</v>
      </c>
      <c r="CT8" s="513">
        <f>Monthly!CV118</f>
        <v>0</v>
      </c>
      <c r="CU8" s="513">
        <f>Monthly!CW118</f>
        <v>0</v>
      </c>
      <c r="CV8" s="513">
        <f>Monthly!CX118</f>
        <v>51294.029012139014</v>
      </c>
      <c r="CW8" s="513">
        <f>Monthly!CY118</f>
        <v>103831.16366806172</v>
      </c>
      <c r="CX8" s="513">
        <f>Monthly!CZ118</f>
        <v>7527.3034541906036</v>
      </c>
      <c r="CY8" s="513">
        <f>Monthly!DA118</f>
        <v>2581.6946065362804</v>
      </c>
      <c r="CZ8" s="513">
        <f>Monthly!DB118</f>
        <v>1372.4221206992111</v>
      </c>
      <c r="DA8" s="513">
        <f>Monthly!DC118</f>
        <v>0</v>
      </c>
      <c r="DB8" s="513">
        <f>Monthly!DD118</f>
        <v>0</v>
      </c>
      <c r="DC8" s="513">
        <f>Monthly!DE118</f>
        <v>0</v>
      </c>
      <c r="DD8" s="513">
        <f>Monthly!DF118</f>
        <v>0</v>
      </c>
      <c r="DE8" s="513">
        <f>Monthly!DG118</f>
        <v>0</v>
      </c>
      <c r="DF8" s="513">
        <f>Monthly!DH118</f>
        <v>0</v>
      </c>
      <c r="DG8" s="513">
        <f>Monthly!DI118</f>
        <v>0</v>
      </c>
      <c r="DH8" s="513">
        <f>Monthly!DJ118</f>
        <v>61560.409187349665</v>
      </c>
      <c r="DI8" s="513">
        <f>Monthly!DK118</f>
        <v>94539.20967695702</v>
      </c>
      <c r="DJ8" s="513">
        <f>Monthly!DL118</f>
        <v>0</v>
      </c>
      <c r="DK8" s="513">
        <f>Monthly!DM118</f>
        <v>0</v>
      </c>
      <c r="DL8" s="513">
        <f>Monthly!DN118</f>
        <v>0</v>
      </c>
      <c r="DM8" s="360"/>
      <c r="DN8" s="361">
        <f>SUM(I8:AR8)</f>
        <v>2245171.0608192338</v>
      </c>
    </row>
    <row r="9" spans="3:118" s="350" customFormat="1" ht="13.8" outlineLevel="2" x14ac:dyDescent="0.3">
      <c r="C9" s="362"/>
      <c r="D9" s="363"/>
      <c r="E9" s="363"/>
      <c r="F9" s="363" t="s">
        <v>328</v>
      </c>
      <c r="G9" s="364" t="s">
        <v>329</v>
      </c>
      <c r="H9" s="364"/>
      <c r="I9" s="365">
        <f>'Table 3.0'!G5+'Table 3.0'!G9+'Table 3.0'!G10+Monthly!K110</f>
        <v>1688231.03</v>
      </c>
      <c r="J9" s="365">
        <f>'Table 3.0'!H5+'Table 3.0'!H9+'Table 3.0'!H10+Monthly!L110</f>
        <v>256972.75</v>
      </c>
      <c r="K9" s="365">
        <f>'Table 3.0'!I5+'Table 3.0'!I9+'Table 3.0'!I10+Monthly!M110</f>
        <v>203330.25</v>
      </c>
      <c r="L9" s="365" t="e">
        <f>'Table 3.0'!J5+'Table 3.0'!J9+'Table 3.0'!J10+Monthly!N110</f>
        <v>#VALUE!</v>
      </c>
      <c r="M9" s="365">
        <f>'Table 3.0'!K5+'Table 3.0'!K9+'Table 3.0'!K10+Monthly!O110</f>
        <v>244649.29299816347</v>
      </c>
      <c r="N9" s="365" t="e">
        <f>'Table 3.0'!L5+'Table 3.0'!L9+'Table 3.0'!L10+Monthly!P110</f>
        <v>#VALUE!</v>
      </c>
      <c r="O9" s="365" t="e">
        <f>'Table 3.0'!M4+'Table 3.0'!M9+'Table 3.0'!M10+Monthly!Q110</f>
        <v>#VALUE!</v>
      </c>
      <c r="P9" s="365">
        <f>'Table 3.0'!N5+'Table 3.0'!N9+'Table 3.0'!N10+Monthly!R110</f>
        <v>663279.75</v>
      </c>
      <c r="Q9" s="365" t="e">
        <f>'Table 3.0'!O5+'Table 3.0'!O9+'Table 3.0'!O10+Monthly!S110</f>
        <v>#VALUE!</v>
      </c>
      <c r="R9" s="365">
        <f>'Table 3.0'!P5+'Table 3.0'!P9+'Table 3.0'!P10+Monthly!T110</f>
        <v>83973</v>
      </c>
      <c r="S9" s="365">
        <f>'Table 3.0'!Q5+'Table 3.0'!Q9+'Table 3.0'!Q10+Monthly!U110</f>
        <v>2093665.28</v>
      </c>
      <c r="T9" s="365">
        <f>'Table 3.0'!R5+'Table 3.0'!R9+'Table 3.0'!R10+Monthly!V110</f>
        <v>147326.35111111111</v>
      </c>
      <c r="U9" s="365">
        <f>'Table 3.0'!S5+'Table 3.0'!S9+'Table 3.0'!S10+Monthly!W110</f>
        <v>30.12789012345679</v>
      </c>
      <c r="V9" s="365">
        <f>'Table 3.0'!T5+'Table 3.0'!T9+'Table 3.0'!T10+Monthly!X110</f>
        <v>0</v>
      </c>
      <c r="W9" s="365">
        <f>'Table 3.0'!U5+'Table 3.0'!U9+'Table 3.0'!U10+Monthly!Y110</f>
        <v>0</v>
      </c>
      <c r="X9" s="365">
        <f>'Table 3.0'!V5+'Table 3.0'!V9+'Table 3.0'!V10+Monthly!Z110</f>
        <v>0</v>
      </c>
      <c r="Y9" s="365">
        <f>'Table 3.0'!W5+'Table 3.0'!W9+'Table 3.0'!W10+Monthly!AA110</f>
        <v>0</v>
      </c>
      <c r="Z9" s="365">
        <f>'Table 3.0'!X5+'Table 3.0'!X9+'Table 3.0'!X10+Monthly!AB110</f>
        <v>0</v>
      </c>
      <c r="AA9" s="365">
        <f>'Table 3.0'!Y5+'Table 3.0'!Y9+'Table 3.0'!Y10+Monthly!AC110</f>
        <v>0</v>
      </c>
      <c r="AB9" s="365">
        <f>'Table 3.0'!Z5+'Table 3.0'!Z9+'Table 3.0'!Z10+Monthly!AD110</f>
        <v>0</v>
      </c>
      <c r="AC9" s="365">
        <f>'Table 3.0'!AA5+'Table 3.0'!AA9+'Table 3.0'!AA10+Monthly!AE110</f>
        <v>0</v>
      </c>
      <c r="AD9" s="365">
        <f>'Table 3.0'!AB5+'Table 3.0'!AB9+'Table 3.0'!AB10+Monthly!AF110</f>
        <v>0</v>
      </c>
      <c r="AE9" s="365">
        <f>'Table 3.0'!AC5+'Table 3.0'!AC9+'Table 3.0'!AC10+Monthly!AG110</f>
        <v>0</v>
      </c>
      <c r="AF9" s="365">
        <f>'Table 3.0'!AD5+'Table 3.0'!AD9+'Table 3.0'!AD10+Monthly!AH110</f>
        <v>0</v>
      </c>
      <c r="AG9" s="365">
        <f>'Table 3.0'!AE5+'Table 3.0'!AE9+'Table 3.0'!AE10+Monthly!AI110</f>
        <v>0</v>
      </c>
      <c r="AH9" s="365">
        <f>'Table 3.0'!AF5+'Table 3.0'!AF9+'Table 3.0'!AF10+Monthly!AJ110</f>
        <v>0</v>
      </c>
      <c r="AI9" s="365">
        <f>'Table 3.0'!AG5+'Table 3.0'!AG9+'Table 3.0'!AG10+Monthly!AK110</f>
        <v>0</v>
      </c>
      <c r="AJ9" s="365">
        <f>'Table 3.0'!AH5+'Table 3.0'!AH9+'Table 3.0'!AH10+Monthly!AL110</f>
        <v>0</v>
      </c>
      <c r="AK9" s="365">
        <f>'Table 3.0'!AI5+'Table 3.0'!AI9+'Table 3.0'!AI10+Monthly!AM110</f>
        <v>0</v>
      </c>
      <c r="AL9" s="365">
        <f>'Table 3.0'!AJ5+'Table 3.0'!AJ9+'Table 3.0'!AJ10+Monthly!AN110</f>
        <v>0</v>
      </c>
      <c r="AM9" s="365">
        <f>'Table 3.0'!AK5+'Table 3.0'!AK9+'Table 3.0'!AK10+Monthly!AO110</f>
        <v>0</v>
      </c>
      <c r="AN9" s="365">
        <f>'Table 3.0'!AL5+'Table 3.0'!AL9+'Table 3.0'!AL10+Monthly!AP110</f>
        <v>0</v>
      </c>
      <c r="AO9" s="365">
        <f>'Table 3.0'!AM5+'Table 3.0'!AM9+'Table 3.0'!AM10+Monthly!AQ110</f>
        <v>0</v>
      </c>
      <c r="AP9" s="365">
        <f>'Table 3.0'!AN5+'Table 3.0'!AN9+'Table 3.0'!AN10+Monthly!AR110</f>
        <v>0</v>
      </c>
      <c r="AQ9" s="365">
        <f>'Table 3.0'!AO5+'Table 3.0'!AO9+'Table 3.0'!AO10+Monthly!AS110</f>
        <v>0</v>
      </c>
      <c r="AR9" s="365">
        <f>'Table 3.0'!AP5+'Table 3.0'!AP9+'Table 3.0'!AP10+Monthly!AT110</f>
        <v>0</v>
      </c>
      <c r="AS9" s="365">
        <f>'Table 3.0'!AQ5+'Table 3.0'!AQ9+'Table 3.0'!AQ10+Monthly!AU110</f>
        <v>0</v>
      </c>
      <c r="AT9" s="365">
        <f>'Table 3.0'!AR5+'Table 3.0'!AR9+'Table 3.0'!AR10+Monthly!AV110</f>
        <v>0</v>
      </c>
      <c r="AU9" s="365">
        <f>'Table 3.0'!AS5+'Table 3.0'!AS9+'Table 3.0'!AS10+Monthly!AW110</f>
        <v>0</v>
      </c>
      <c r="AV9" s="365">
        <f>'Table 3.0'!AT5+'Table 3.0'!AT9+'Table 3.0'!AT10+Monthly!AX110</f>
        <v>0</v>
      </c>
      <c r="AW9" s="365">
        <f>'Table 3.0'!AU5+'Table 3.0'!AU9+'Table 3.0'!AU10+Monthly!AY110</f>
        <v>0</v>
      </c>
      <c r="AX9" s="365">
        <f>'Table 3.0'!AV5+'Table 3.0'!AV9+'Table 3.0'!AV10+Monthly!AZ110</f>
        <v>0</v>
      </c>
      <c r="AY9" s="365">
        <f>'Table 3.0'!AW5+'Table 3.0'!AW9+'Table 3.0'!AW10+Monthly!BA110</f>
        <v>0</v>
      </c>
      <c r="AZ9" s="365">
        <f>'Table 3.0'!AX5+'Table 3.0'!AX9+'Table 3.0'!AX10+Monthly!BB110</f>
        <v>0</v>
      </c>
      <c r="BA9" s="365">
        <f>'Table 3.0'!AY5+'Table 3.0'!AY9+'Table 3.0'!AY10+Monthly!BC110</f>
        <v>0</v>
      </c>
      <c r="BB9" s="365">
        <f>'Table 3.0'!AZ5+'Table 3.0'!AZ9+'Table 3.0'!AZ10+Monthly!BD110</f>
        <v>0</v>
      </c>
      <c r="BC9" s="365">
        <f>'Table 3.0'!BA5+'Table 3.0'!BA9+'Table 3.0'!BA10+Monthly!BE110</f>
        <v>0</v>
      </c>
      <c r="BD9" s="365">
        <f>'Table 3.0'!BB5+'Table 3.0'!BB9+'Table 3.0'!BB10+Monthly!BF110</f>
        <v>0</v>
      </c>
      <c r="BE9" s="365">
        <f>'Table 3.0'!BC5+'Table 3.0'!BC9+'Table 3.0'!BC10+Monthly!BG110</f>
        <v>0</v>
      </c>
      <c r="BF9" s="365">
        <f>'Table 3.0'!BD5+'Table 3.0'!BD9+'Table 3.0'!BD10+Monthly!BH110</f>
        <v>0</v>
      </c>
      <c r="BG9" s="365">
        <f>'Table 3.0'!BE5+'Table 3.0'!BE9+'Table 3.0'!BE10+Monthly!BI110</f>
        <v>0</v>
      </c>
      <c r="BH9" s="365">
        <f>'Table 3.0'!BF5+'Table 3.0'!BF9+'Table 3.0'!BF10+Monthly!BJ110</f>
        <v>0</v>
      </c>
      <c r="BI9" s="365">
        <f>'Table 3.0'!BG5+'Table 3.0'!BG9+'Table 3.0'!BG10+Monthly!BK110</f>
        <v>0</v>
      </c>
      <c r="BJ9" s="365">
        <f>'Table 3.0'!BH5+'Table 3.0'!BH9+'Table 3.0'!BH10+Monthly!BL110</f>
        <v>0</v>
      </c>
      <c r="BK9" s="365">
        <f>'Table 3.0'!BI5+'Table 3.0'!BI9+'Table 3.0'!BI10+Monthly!BM110</f>
        <v>0</v>
      </c>
      <c r="BL9" s="365">
        <f>'Table 3.0'!BJ5+'Table 3.0'!BJ9+'Table 3.0'!BJ10+Monthly!BN110</f>
        <v>0</v>
      </c>
      <c r="BM9" s="365">
        <f>'Table 3.0'!BK5+'Table 3.0'!BK9+'Table 3.0'!BK10+Monthly!BO110</f>
        <v>0</v>
      </c>
      <c r="BN9" s="365">
        <f>'Table 3.0'!BL5+'Table 3.0'!BL9+'Table 3.0'!BL10+Monthly!BP110</f>
        <v>0</v>
      </c>
      <c r="BO9" s="365">
        <f>'Table 3.0'!BM5+'Table 3.0'!BM9+'Table 3.0'!BM10+Monthly!BQ110</f>
        <v>0</v>
      </c>
      <c r="BP9" s="365">
        <f>'Table 3.0'!BN5+'Table 3.0'!BN9+'Table 3.0'!BN10+Monthly!BR110</f>
        <v>0</v>
      </c>
      <c r="BQ9" s="365">
        <f>'Table 3.0'!BO5+'Table 3.0'!BO9+'Table 3.0'!BO10+Monthly!BS110</f>
        <v>0</v>
      </c>
      <c r="BR9" s="365">
        <f>'Table 3.0'!BP5+'Table 3.0'!BP9+'Table 3.0'!BP10+Monthly!BT110</f>
        <v>0</v>
      </c>
      <c r="BS9" s="365">
        <f>'Table 3.0'!BQ5+'Table 3.0'!BQ9+'Table 3.0'!BQ10+Monthly!BU110</f>
        <v>0</v>
      </c>
      <c r="BT9" s="365">
        <f>'Table 3.0'!BR5+'Table 3.0'!BR9+'Table 3.0'!BR10+Monthly!BV110</f>
        <v>0</v>
      </c>
      <c r="BU9" s="365">
        <f>'Table 3.0'!BS5+'Table 3.0'!BS9+'Table 3.0'!BS10+Monthly!BW110</f>
        <v>0</v>
      </c>
      <c r="BV9" s="365">
        <f>'Table 3.0'!BT5+'Table 3.0'!BT9+'Table 3.0'!BT10+Monthly!BX110</f>
        <v>0</v>
      </c>
      <c r="BW9" s="365">
        <f>'Table 3.0'!BU5+'Table 3.0'!BU9+'Table 3.0'!BU10+Monthly!BY110</f>
        <v>0</v>
      </c>
      <c r="BX9" s="365">
        <f>'Table 3.0'!BV5+'Table 3.0'!BV9+'Table 3.0'!BV10+Monthly!BZ110</f>
        <v>0</v>
      </c>
      <c r="BY9" s="365">
        <f>'Table 3.0'!BW5+'Table 3.0'!BW9+'Table 3.0'!BW10+Monthly!CA110</f>
        <v>0</v>
      </c>
      <c r="BZ9" s="365">
        <f>'Table 3.0'!BX5+'Table 3.0'!BX9+'Table 3.0'!BX10+Monthly!CB110</f>
        <v>0</v>
      </c>
      <c r="CA9" s="365">
        <f>'Table 3.0'!BY5+'Table 3.0'!BY9+'Table 3.0'!BY10+Monthly!CC110</f>
        <v>0</v>
      </c>
      <c r="CB9" s="365">
        <f>'Table 3.0'!BZ5+'Table 3.0'!BZ9+'Table 3.0'!BZ10+Monthly!CD110</f>
        <v>0</v>
      </c>
      <c r="CC9" s="365">
        <f>'Table 3.0'!CA5+'Table 3.0'!CA9+'Table 3.0'!CA10+Monthly!CE110</f>
        <v>0</v>
      </c>
      <c r="CD9" s="365">
        <f>'Table 3.0'!CB5+'Table 3.0'!CB9+'Table 3.0'!CB10+Monthly!CF110</f>
        <v>0</v>
      </c>
      <c r="CE9" s="365">
        <f>'Table 3.0'!CC5+'Table 3.0'!CC9+'Table 3.0'!CC10+Monthly!CG110</f>
        <v>0</v>
      </c>
      <c r="CF9" s="365">
        <f>'Table 3.0'!CD5+'Table 3.0'!CD9+'Table 3.0'!CD10+Monthly!CH110</f>
        <v>0</v>
      </c>
      <c r="CG9" s="365">
        <f>'Table 3.0'!CE5+'Table 3.0'!CE9+'Table 3.0'!CE10+Monthly!CI110</f>
        <v>0</v>
      </c>
      <c r="CH9" s="365">
        <f>'Table 3.0'!CF5+'Table 3.0'!CF9+'Table 3.0'!CF10+Monthly!CJ110</f>
        <v>0</v>
      </c>
      <c r="CI9" s="365">
        <f>'Table 3.0'!CG5+'Table 3.0'!CG9+'Table 3.0'!CG10+Monthly!CK110</f>
        <v>0</v>
      </c>
      <c r="CJ9" s="365">
        <f>'Table 3.0'!CH5+'Table 3.0'!CH9+'Table 3.0'!CH10+Monthly!CL110</f>
        <v>0</v>
      </c>
      <c r="CK9" s="365">
        <f>'Table 3.0'!CI5+'Table 3.0'!CI9+'Table 3.0'!CI10+Monthly!CM110</f>
        <v>0</v>
      </c>
      <c r="CL9" s="365">
        <f>'Table 3.0'!CJ5+'Table 3.0'!CJ9+'Table 3.0'!CJ10+Monthly!CN110</f>
        <v>0</v>
      </c>
      <c r="CM9" s="365">
        <f>'Table 3.0'!CK5+'Table 3.0'!CK9+'Table 3.0'!CK10+Monthly!CO110</f>
        <v>0</v>
      </c>
      <c r="CN9" s="365">
        <f>'Table 3.0'!CL5+'Table 3.0'!CL9+'Table 3.0'!CL10+Monthly!CP110</f>
        <v>0</v>
      </c>
      <c r="CO9" s="365">
        <f>'Table 3.0'!CM5+'Table 3.0'!CM9+'Table 3.0'!CM10+Monthly!CQ110</f>
        <v>0</v>
      </c>
      <c r="CP9" s="365">
        <f>'Table 3.0'!CN5+'Table 3.0'!CN9+'Table 3.0'!CN10+Monthly!CR110</f>
        <v>0</v>
      </c>
      <c r="CQ9" s="365">
        <f>'Table 3.0'!CO5+'Table 3.0'!CO9+'Table 3.0'!CO10+Monthly!CS110</f>
        <v>0</v>
      </c>
      <c r="CR9" s="365">
        <f>'Table 3.0'!CP5+'Table 3.0'!CP9+'Table 3.0'!CP10+Monthly!CT110</f>
        <v>0</v>
      </c>
      <c r="CS9" s="365">
        <f>'Table 3.0'!CQ5+'Table 3.0'!CQ9+'Table 3.0'!CQ10+Monthly!CU110</f>
        <v>0</v>
      </c>
      <c r="CT9" s="365">
        <f>'Table 3.0'!CR5+'Table 3.0'!CR9+'Table 3.0'!CR10+Monthly!CV110</f>
        <v>0</v>
      </c>
      <c r="CU9" s="365">
        <f>'Table 3.0'!CS5+'Table 3.0'!CS9+'Table 3.0'!CS10+Monthly!CW110</f>
        <v>0</v>
      </c>
      <c r="CV9" s="365">
        <f>'Table 3.0'!CT5+'Table 3.0'!CT9+'Table 3.0'!CT10+Monthly!CX110</f>
        <v>0</v>
      </c>
      <c r="CW9" s="365">
        <f>'Table 3.0'!CU5+'Table 3.0'!CU9+'Table 3.0'!CU10+Monthly!CY110</f>
        <v>0</v>
      </c>
      <c r="CX9" s="365">
        <f>'Table 3.0'!CV5+'Table 3.0'!CV9+'Table 3.0'!CV10+Monthly!CZ110</f>
        <v>0</v>
      </c>
      <c r="CY9" s="365">
        <f>'Table 3.0'!CW5+'Table 3.0'!CW9+'Table 3.0'!CW10+Monthly!DA110</f>
        <v>0</v>
      </c>
      <c r="CZ9" s="365">
        <f>'Table 3.0'!CX5+'Table 3.0'!CX9+'Table 3.0'!CX10+Monthly!DB110</f>
        <v>0</v>
      </c>
      <c r="DA9" s="365">
        <f>'Table 3.0'!CY5+'Table 3.0'!CY9+'Table 3.0'!CY10+Monthly!DC110</f>
        <v>0</v>
      </c>
      <c r="DB9" s="365">
        <f>'Table 3.0'!CZ5+'Table 3.0'!CZ9+'Table 3.0'!CZ10+Monthly!DD110</f>
        <v>0</v>
      </c>
      <c r="DC9" s="365">
        <f>'Table 3.0'!DA5+'Table 3.0'!DA9+'Table 3.0'!DA10+Monthly!DE110</f>
        <v>0</v>
      </c>
      <c r="DD9" s="365">
        <f>'Table 3.0'!DB5+'Table 3.0'!DB9+'Table 3.0'!DB10+Monthly!DF110</f>
        <v>0</v>
      </c>
      <c r="DE9" s="365">
        <f>'Table 3.0'!DC5+'Table 3.0'!DC9+'Table 3.0'!DC10+Monthly!DG110</f>
        <v>0</v>
      </c>
      <c r="DF9" s="365">
        <f>'Table 3.0'!DD5+'Table 3.0'!DD9+'Table 3.0'!DD10+Monthly!DH110</f>
        <v>0</v>
      </c>
      <c r="DG9" s="365">
        <f>'Table 3.0'!DE5+'Table 3.0'!DE9+'Table 3.0'!DE10+Monthly!DI110</f>
        <v>0</v>
      </c>
      <c r="DH9" s="365">
        <f>'Table 3.0'!DF5+'Table 3.0'!DF9+'Table 3.0'!DF10+Monthly!DJ110</f>
        <v>0</v>
      </c>
      <c r="DI9" s="365">
        <f>'Table 3.0'!DG5+'Table 3.0'!DG9+'Table 3.0'!DG10+Monthly!DK110</f>
        <v>0</v>
      </c>
      <c r="DJ9" s="365">
        <f>'Table 3.0'!DH5+'Table 3.0'!DH9+'Table 3.0'!DH10+Monthly!DL110</f>
        <v>0</v>
      </c>
      <c r="DK9" s="365">
        <f>'Table 3.0'!DI5+'Table 3.0'!DI9+'Table 3.0'!DI10+Monthly!DM110</f>
        <v>0</v>
      </c>
      <c r="DL9" s="365">
        <f>'Table 3.0'!DJ5+'Table 3.0'!DJ9+'Table 3.0'!DJ10+Monthly!DN110</f>
        <v>0</v>
      </c>
      <c r="DM9" s="365"/>
      <c r="DN9" s="358"/>
    </row>
    <row r="10" spans="3:118" s="323" customFormat="1" ht="13.8" outlineLevel="1" x14ac:dyDescent="0.3">
      <c r="C10" s="355"/>
      <c r="D10" s="356" t="s">
        <v>330</v>
      </c>
      <c r="E10" s="356"/>
      <c r="F10" s="356"/>
      <c r="G10" s="356"/>
      <c r="H10" s="356"/>
      <c r="I10" s="357">
        <f t="shared" ref="I10" si="0">SUM(I7:I8)</f>
        <v>0</v>
      </c>
      <c r="J10" s="357">
        <f t="shared" ref="J10:BU10" si="1">SUM(J7:J8)</f>
        <v>0</v>
      </c>
      <c r="K10" s="357">
        <f t="shared" si="1"/>
        <v>0</v>
      </c>
      <c r="L10" s="357">
        <f t="shared" si="1"/>
        <v>0</v>
      </c>
      <c r="M10" s="357">
        <f t="shared" si="1"/>
        <v>81027.416666666541</v>
      </c>
      <c r="N10" s="357">
        <f t="shared" si="1"/>
        <v>372062.05038194446</v>
      </c>
      <c r="O10" s="357">
        <f t="shared" si="1"/>
        <v>320311.54161413485</v>
      </c>
      <c r="P10" s="357">
        <f t="shared" si="1"/>
        <v>678704.59131858009</v>
      </c>
      <c r="Q10" s="357">
        <f t="shared" si="1"/>
        <v>115563.91933318551</v>
      </c>
      <c r="R10" s="357">
        <f t="shared" si="1"/>
        <v>158985.80036123988</v>
      </c>
      <c r="S10" s="357">
        <f t="shared" si="1"/>
        <v>164599.43794743303</v>
      </c>
      <c r="T10" s="357">
        <f t="shared" si="1"/>
        <v>144735.76683118354</v>
      </c>
      <c r="U10" s="357">
        <f t="shared" si="1"/>
        <v>3339.6733185970879</v>
      </c>
      <c r="V10" s="357">
        <f t="shared" si="1"/>
        <v>1040.0523990359725</v>
      </c>
      <c r="W10" s="357">
        <f t="shared" si="1"/>
        <v>0</v>
      </c>
      <c r="X10" s="357">
        <f t="shared" si="1"/>
        <v>0</v>
      </c>
      <c r="Y10" s="357">
        <f t="shared" si="1"/>
        <v>0</v>
      </c>
      <c r="Z10" s="357">
        <f t="shared" si="1"/>
        <v>464.14915206338628</v>
      </c>
      <c r="AA10" s="357">
        <f t="shared" si="1"/>
        <v>3880.2836661838883</v>
      </c>
      <c r="AB10" s="357">
        <f t="shared" si="1"/>
        <v>6237.062578541183</v>
      </c>
      <c r="AC10" s="357">
        <f t="shared" si="1"/>
        <v>59785.699323954643</v>
      </c>
      <c r="AD10" s="357">
        <f t="shared" si="1"/>
        <v>11258.602776935943</v>
      </c>
      <c r="AE10" s="357">
        <f t="shared" si="1"/>
        <v>6848.8733822533468</v>
      </c>
      <c r="AF10" s="357">
        <f t="shared" si="1"/>
        <v>37081.663629862851</v>
      </c>
      <c r="AG10" s="357">
        <f t="shared" si="1"/>
        <v>0</v>
      </c>
      <c r="AH10" s="357">
        <f t="shared" si="1"/>
        <v>0</v>
      </c>
      <c r="AI10" s="357">
        <f t="shared" si="1"/>
        <v>0</v>
      </c>
      <c r="AJ10" s="357">
        <f t="shared" si="1"/>
        <v>0</v>
      </c>
      <c r="AK10" s="357">
        <f t="shared" si="1"/>
        <v>0</v>
      </c>
      <c r="AL10" s="357">
        <f t="shared" si="1"/>
        <v>0</v>
      </c>
      <c r="AM10" s="357">
        <f t="shared" si="1"/>
        <v>0</v>
      </c>
      <c r="AN10" s="357">
        <f t="shared" si="1"/>
        <v>1833.3315508327323</v>
      </c>
      <c r="AO10" s="357">
        <f t="shared" si="1"/>
        <v>61390.495425610163</v>
      </c>
      <c r="AP10" s="357">
        <f t="shared" si="1"/>
        <v>6917.1035143962408</v>
      </c>
      <c r="AQ10" s="357">
        <f t="shared" si="1"/>
        <v>2388.6139172185417</v>
      </c>
      <c r="AR10" s="357">
        <f t="shared" si="1"/>
        <v>6714.9317293794338</v>
      </c>
      <c r="AS10" s="357">
        <f t="shared" si="1"/>
        <v>0</v>
      </c>
      <c r="AT10" s="357">
        <f t="shared" si="1"/>
        <v>0</v>
      </c>
      <c r="AU10" s="357">
        <f t="shared" si="1"/>
        <v>0</v>
      </c>
      <c r="AV10" s="357">
        <f t="shared" si="1"/>
        <v>0</v>
      </c>
      <c r="AW10" s="357">
        <f t="shared" si="1"/>
        <v>0</v>
      </c>
      <c r="AX10" s="357">
        <f t="shared" si="1"/>
        <v>0</v>
      </c>
      <c r="AY10" s="357">
        <f t="shared" si="1"/>
        <v>0</v>
      </c>
      <c r="AZ10" s="357">
        <f t="shared" si="1"/>
        <v>1625.706740288168</v>
      </c>
      <c r="BA10" s="357">
        <f t="shared" si="1"/>
        <v>67928.03691864881</v>
      </c>
      <c r="BB10" s="357">
        <f t="shared" si="1"/>
        <v>6300.7805442547506</v>
      </c>
      <c r="BC10" s="357">
        <f t="shared" si="1"/>
        <v>2226.221723563438</v>
      </c>
      <c r="BD10" s="357">
        <f t="shared" si="1"/>
        <v>1268.0259788749759</v>
      </c>
      <c r="BE10" s="357">
        <f t="shared" si="1"/>
        <v>0</v>
      </c>
      <c r="BF10" s="357">
        <f t="shared" si="1"/>
        <v>0</v>
      </c>
      <c r="BG10" s="357">
        <f t="shared" si="1"/>
        <v>0</v>
      </c>
      <c r="BH10" s="357">
        <f t="shared" si="1"/>
        <v>0</v>
      </c>
      <c r="BI10" s="357">
        <f t="shared" si="1"/>
        <v>0</v>
      </c>
      <c r="BJ10" s="357">
        <f t="shared" si="1"/>
        <v>0</v>
      </c>
      <c r="BK10" s="357">
        <f t="shared" si="1"/>
        <v>0</v>
      </c>
      <c r="BL10" s="357">
        <f t="shared" si="1"/>
        <v>1472.6243006259219</v>
      </c>
      <c r="BM10" s="357">
        <f t="shared" si="1"/>
        <v>75307.216976339245</v>
      </c>
      <c r="BN10" s="357">
        <f t="shared" si="1"/>
        <v>6832.4947107352309</v>
      </c>
      <c r="BO10" s="357">
        <f t="shared" si="1"/>
        <v>2134.5552938618821</v>
      </c>
      <c r="BP10" s="357">
        <f t="shared" si="1"/>
        <v>1109.7313591549546</v>
      </c>
      <c r="BQ10" s="357">
        <f t="shared" si="1"/>
        <v>0</v>
      </c>
      <c r="BR10" s="357">
        <f t="shared" si="1"/>
        <v>0</v>
      </c>
      <c r="BS10" s="357">
        <f t="shared" si="1"/>
        <v>0</v>
      </c>
      <c r="BT10" s="357">
        <f t="shared" si="1"/>
        <v>0</v>
      </c>
      <c r="BU10" s="357">
        <f t="shared" si="1"/>
        <v>0</v>
      </c>
      <c r="BV10" s="357">
        <f t="shared" ref="BV10:DL10" si="2">SUM(BV7:BV8)</f>
        <v>0</v>
      </c>
      <c r="BW10" s="357">
        <f t="shared" si="2"/>
        <v>0</v>
      </c>
      <c r="BX10" s="357">
        <f t="shared" si="2"/>
        <v>21270.050842285516</v>
      </c>
      <c r="BY10" s="357">
        <f t="shared" si="2"/>
        <v>83674.629072786993</v>
      </c>
      <c r="BZ10" s="357">
        <f t="shared" si="2"/>
        <v>6937.2828916131675</v>
      </c>
      <c r="CA10" s="357">
        <f t="shared" si="2"/>
        <v>2155.7830478384431</v>
      </c>
      <c r="CB10" s="357">
        <f t="shared" si="2"/>
        <v>1074.8850776075756</v>
      </c>
      <c r="CC10" s="357">
        <f t="shared" si="2"/>
        <v>0</v>
      </c>
      <c r="CD10" s="357">
        <f t="shared" si="2"/>
        <v>0</v>
      </c>
      <c r="CE10" s="357">
        <f t="shared" si="2"/>
        <v>0</v>
      </c>
      <c r="CF10" s="357">
        <f t="shared" si="2"/>
        <v>0</v>
      </c>
      <c r="CG10" s="357">
        <f t="shared" si="2"/>
        <v>0</v>
      </c>
      <c r="CH10" s="357">
        <f t="shared" si="2"/>
        <v>0</v>
      </c>
      <c r="CI10" s="357">
        <f t="shared" si="2"/>
        <v>0</v>
      </c>
      <c r="CJ10" s="357">
        <f t="shared" si="2"/>
        <v>31252.912837728745</v>
      </c>
      <c r="CK10" s="357">
        <f t="shared" si="2"/>
        <v>93133.722438387456</v>
      </c>
      <c r="CL10" s="357">
        <f t="shared" si="2"/>
        <v>7158.4503669979931</v>
      </c>
      <c r="CM10" s="357">
        <f t="shared" si="2"/>
        <v>2294.3114324033982</v>
      </c>
      <c r="CN10" s="357">
        <f t="shared" si="2"/>
        <v>1143.26438744293</v>
      </c>
      <c r="CO10" s="357">
        <f t="shared" si="2"/>
        <v>0</v>
      </c>
      <c r="CP10" s="357">
        <f t="shared" si="2"/>
        <v>0</v>
      </c>
      <c r="CQ10" s="357">
        <f t="shared" si="2"/>
        <v>0</v>
      </c>
      <c r="CR10" s="357">
        <f t="shared" si="2"/>
        <v>0</v>
      </c>
      <c r="CS10" s="357">
        <f t="shared" si="2"/>
        <v>0</v>
      </c>
      <c r="CT10" s="357">
        <f t="shared" si="2"/>
        <v>0</v>
      </c>
      <c r="CU10" s="357">
        <f t="shared" si="2"/>
        <v>0</v>
      </c>
      <c r="CV10" s="357">
        <f t="shared" si="2"/>
        <v>51294.029012139014</v>
      </c>
      <c r="CW10" s="357">
        <f t="shared" si="2"/>
        <v>103831.16366806172</v>
      </c>
      <c r="CX10" s="357">
        <f t="shared" si="2"/>
        <v>7527.3034541906036</v>
      </c>
      <c r="CY10" s="357">
        <f t="shared" si="2"/>
        <v>2581.6946065362804</v>
      </c>
      <c r="CZ10" s="357">
        <f t="shared" si="2"/>
        <v>1372.4221206992111</v>
      </c>
      <c r="DA10" s="357">
        <f t="shared" si="2"/>
        <v>0</v>
      </c>
      <c r="DB10" s="357">
        <f t="shared" si="2"/>
        <v>0</v>
      </c>
      <c r="DC10" s="357">
        <f t="shared" si="2"/>
        <v>0</v>
      </c>
      <c r="DD10" s="357">
        <f t="shared" si="2"/>
        <v>0</v>
      </c>
      <c r="DE10" s="357">
        <f t="shared" si="2"/>
        <v>0</v>
      </c>
      <c r="DF10" s="357">
        <f t="shared" si="2"/>
        <v>0</v>
      </c>
      <c r="DG10" s="357">
        <f t="shared" si="2"/>
        <v>0</v>
      </c>
      <c r="DH10" s="357">
        <f t="shared" si="2"/>
        <v>61560.409187349665</v>
      </c>
      <c r="DI10" s="357">
        <f t="shared" si="2"/>
        <v>94539.20967695702</v>
      </c>
      <c r="DJ10" s="357">
        <f t="shared" si="2"/>
        <v>0</v>
      </c>
      <c r="DK10" s="357">
        <f t="shared" si="2"/>
        <v>0</v>
      </c>
      <c r="DL10" s="357">
        <f t="shared" si="2"/>
        <v>0</v>
      </c>
      <c r="DM10" s="357"/>
      <c r="DN10" s="358">
        <f>SUM(I10:AR10)</f>
        <v>2245171.0608192338</v>
      </c>
    </row>
    <row r="11" spans="3:118" s="323" customFormat="1" ht="13.8" outlineLevel="1" x14ac:dyDescent="0.3">
      <c r="C11" s="355"/>
      <c r="D11" s="356"/>
      <c r="E11" s="356"/>
      <c r="F11" s="356"/>
      <c r="G11" s="356"/>
      <c r="H11" s="356"/>
      <c r="I11" s="357"/>
      <c r="J11" s="357"/>
      <c r="K11" s="357"/>
      <c r="L11" s="357"/>
      <c r="M11" s="357"/>
      <c r="N11" s="357"/>
      <c r="O11" s="357"/>
      <c r="P11" s="357"/>
      <c r="Q11" s="357"/>
      <c r="R11" s="357"/>
      <c r="S11" s="357"/>
      <c r="T11" s="357"/>
      <c r="U11" s="357"/>
      <c r="V11" s="357"/>
      <c r="W11" s="357"/>
      <c r="X11" s="357"/>
      <c r="Y11" s="357"/>
      <c r="Z11" s="357"/>
      <c r="AA11" s="357"/>
      <c r="AB11" s="357"/>
      <c r="AC11" s="357"/>
      <c r="AD11" s="357"/>
      <c r="AE11" s="357"/>
      <c r="AF11" s="357"/>
      <c r="AG11" s="357"/>
      <c r="AH11" s="357"/>
      <c r="AI11" s="357"/>
      <c r="AJ11" s="357"/>
      <c r="AK11" s="357"/>
      <c r="AL11" s="357"/>
      <c r="AM11" s="357"/>
      <c r="AN11" s="357"/>
      <c r="AO11" s="357"/>
      <c r="AP11" s="357"/>
      <c r="AQ11" s="357"/>
      <c r="AR11" s="357"/>
      <c r="AS11" s="357"/>
      <c r="AT11" s="357"/>
      <c r="AU11" s="357"/>
      <c r="AV11" s="357"/>
      <c r="AW11" s="357"/>
      <c r="AX11" s="357"/>
      <c r="AY11" s="357"/>
      <c r="AZ11" s="357"/>
      <c r="BA11" s="357"/>
      <c r="BB11" s="357"/>
      <c r="BC11" s="357"/>
      <c r="BD11" s="357"/>
      <c r="BE11" s="357"/>
      <c r="BF11" s="357"/>
      <c r="BG11" s="357"/>
      <c r="BH11" s="357"/>
      <c r="BI11" s="357"/>
      <c r="BJ11" s="357"/>
      <c r="BK11" s="357"/>
      <c r="BL11" s="357"/>
      <c r="BM11" s="357"/>
      <c r="BN11" s="357"/>
      <c r="BO11" s="357"/>
      <c r="BP11" s="357"/>
      <c r="BQ11" s="357"/>
      <c r="BR11" s="357"/>
      <c r="BS11" s="357"/>
      <c r="BT11" s="357"/>
      <c r="BU11" s="357"/>
      <c r="BV11" s="357"/>
      <c r="BW11" s="357"/>
      <c r="BX11" s="357"/>
      <c r="BY11" s="357"/>
      <c r="BZ11" s="357"/>
      <c r="CA11" s="357"/>
      <c r="CB11" s="357"/>
      <c r="CC11" s="357"/>
      <c r="CD11" s="357"/>
      <c r="CE11" s="357"/>
      <c r="CF11" s="357"/>
      <c r="CG11" s="357"/>
      <c r="CH11" s="357"/>
      <c r="CI11" s="357"/>
      <c r="CJ11" s="357"/>
      <c r="CK11" s="357"/>
      <c r="CL11" s="357"/>
      <c r="CM11" s="357"/>
      <c r="CN11" s="357"/>
      <c r="CO11" s="357"/>
      <c r="CP11" s="357"/>
      <c r="CQ11" s="357"/>
      <c r="CR11" s="357"/>
      <c r="CS11" s="357"/>
      <c r="CT11" s="357"/>
      <c r="CU11" s="357"/>
      <c r="CV11" s="357"/>
      <c r="CW11" s="357"/>
      <c r="CX11" s="357"/>
      <c r="CY11" s="357"/>
      <c r="CZ11" s="357"/>
      <c r="DA11" s="357"/>
      <c r="DB11" s="357"/>
      <c r="DC11" s="357"/>
      <c r="DD11" s="357"/>
      <c r="DE11" s="357"/>
      <c r="DF11" s="357"/>
      <c r="DG11" s="357"/>
      <c r="DH11" s="357"/>
      <c r="DI11" s="357"/>
      <c r="DJ11" s="357"/>
      <c r="DK11" s="357"/>
      <c r="DL11" s="357"/>
      <c r="DM11" s="357"/>
      <c r="DN11" s="358"/>
    </row>
    <row r="12" spans="3:118" s="323" customFormat="1" ht="13.8" outlineLevel="1" x14ac:dyDescent="0.3">
      <c r="C12" s="355"/>
      <c r="D12" s="356" t="s">
        <v>260</v>
      </c>
      <c r="E12" s="356"/>
      <c r="F12" s="356"/>
      <c r="G12" s="356"/>
      <c r="H12" s="356"/>
      <c r="I12" s="357"/>
      <c r="J12" s="357"/>
      <c r="K12" s="357"/>
      <c r="L12" s="357"/>
      <c r="M12" s="357"/>
      <c r="N12" s="357"/>
      <c r="O12" s="357"/>
      <c r="P12" s="357"/>
      <c r="Q12" s="357"/>
      <c r="R12" s="357"/>
      <c r="S12" s="357"/>
      <c r="T12" s="357"/>
      <c r="U12" s="357"/>
      <c r="V12" s="357"/>
      <c r="W12" s="357"/>
      <c r="X12" s="357"/>
      <c r="Y12" s="357"/>
      <c r="Z12" s="357"/>
      <c r="AA12" s="357"/>
      <c r="AB12" s="357"/>
      <c r="AC12" s="357"/>
      <c r="AD12" s="357"/>
      <c r="AE12" s="357"/>
      <c r="AF12" s="357"/>
      <c r="AG12" s="357"/>
      <c r="AH12" s="357"/>
      <c r="AI12" s="357"/>
      <c r="AJ12" s="357"/>
      <c r="AK12" s="357"/>
      <c r="AL12" s="357"/>
      <c r="AM12" s="357"/>
      <c r="AN12" s="357"/>
      <c r="AO12" s="357"/>
      <c r="AP12" s="357"/>
      <c r="AQ12" s="357"/>
      <c r="AR12" s="357"/>
      <c r="AS12" s="357"/>
      <c r="AT12" s="357"/>
      <c r="AU12" s="357"/>
      <c r="AV12" s="357"/>
      <c r="AW12" s="357"/>
      <c r="AX12" s="357"/>
      <c r="AY12" s="357"/>
      <c r="AZ12" s="357"/>
      <c r="BA12" s="357"/>
      <c r="BB12" s="357"/>
      <c r="BC12" s="357"/>
      <c r="BD12" s="357"/>
      <c r="BE12" s="357"/>
      <c r="BF12" s="357"/>
      <c r="BG12" s="357"/>
      <c r="BH12" s="357"/>
      <c r="BI12" s="357"/>
      <c r="BJ12" s="357"/>
      <c r="BK12" s="357"/>
      <c r="BL12" s="357"/>
      <c r="BM12" s="357"/>
      <c r="BN12" s="357"/>
      <c r="BO12" s="357"/>
      <c r="BP12" s="357"/>
      <c r="BQ12" s="357"/>
      <c r="BR12" s="357"/>
      <c r="BS12" s="357"/>
      <c r="BT12" s="357"/>
      <c r="BU12" s="357"/>
      <c r="BV12" s="357"/>
      <c r="BW12" s="357"/>
      <c r="BX12" s="357"/>
      <c r="BY12" s="357"/>
      <c r="BZ12" s="357"/>
      <c r="CA12" s="357"/>
      <c r="CB12" s="357"/>
      <c r="CC12" s="357"/>
      <c r="CD12" s="357"/>
      <c r="CE12" s="357"/>
      <c r="CF12" s="357"/>
      <c r="CG12" s="357"/>
      <c r="CH12" s="357"/>
      <c r="CI12" s="357"/>
      <c r="CJ12" s="357"/>
      <c r="CK12" s="357"/>
      <c r="CL12" s="357"/>
      <c r="CM12" s="357"/>
      <c r="CN12" s="357"/>
      <c r="CO12" s="357"/>
      <c r="CP12" s="357"/>
      <c r="CQ12" s="357"/>
      <c r="CR12" s="357"/>
      <c r="CS12" s="357"/>
      <c r="CT12" s="357"/>
      <c r="CU12" s="357"/>
      <c r="CV12" s="357"/>
      <c r="CW12" s="357"/>
      <c r="CX12" s="357"/>
      <c r="CY12" s="357"/>
      <c r="CZ12" s="357"/>
      <c r="DA12" s="357"/>
      <c r="DB12" s="357"/>
      <c r="DC12" s="357"/>
      <c r="DD12" s="357"/>
      <c r="DE12" s="357"/>
      <c r="DF12" s="357"/>
      <c r="DG12" s="357"/>
      <c r="DH12" s="357"/>
      <c r="DI12" s="357"/>
      <c r="DJ12" s="357"/>
      <c r="DK12" s="357"/>
      <c r="DL12" s="357"/>
      <c r="DM12" s="357"/>
      <c r="DN12" s="358"/>
    </row>
    <row r="13" spans="3:118" s="323" customFormat="1" ht="13.8" outlineLevel="1" x14ac:dyDescent="0.3">
      <c r="C13" s="355"/>
      <c r="D13" s="356"/>
      <c r="E13" s="366" t="s">
        <v>317</v>
      </c>
      <c r="F13" s="366"/>
      <c r="G13" s="356"/>
      <c r="H13" s="356"/>
      <c r="I13" s="357"/>
      <c r="J13" s="357"/>
      <c r="K13" s="357"/>
      <c r="L13" s="357"/>
      <c r="M13" s="357"/>
      <c r="N13" s="357"/>
      <c r="O13" s="357"/>
      <c r="P13" s="357"/>
      <c r="Q13" s="357"/>
      <c r="R13" s="357"/>
      <c r="S13" s="357"/>
      <c r="T13" s="357"/>
      <c r="U13" s="357"/>
      <c r="V13" s="357"/>
      <c r="W13" s="357"/>
      <c r="X13" s="357"/>
      <c r="Y13" s="357"/>
      <c r="Z13" s="357"/>
      <c r="AA13" s="357"/>
      <c r="AB13" s="357"/>
      <c r="AC13" s="357"/>
      <c r="AD13" s="357"/>
      <c r="AE13" s="357"/>
      <c r="AF13" s="357"/>
      <c r="AG13" s="357"/>
      <c r="AH13" s="357"/>
      <c r="AI13" s="357"/>
      <c r="AJ13" s="357"/>
      <c r="AK13" s="357"/>
      <c r="AL13" s="357"/>
      <c r="AM13" s="357"/>
      <c r="AN13" s="357"/>
      <c r="AO13" s="357"/>
      <c r="AP13" s="357"/>
      <c r="AQ13" s="357"/>
      <c r="AR13" s="357"/>
      <c r="AS13" s="357"/>
      <c r="AT13" s="357"/>
      <c r="AU13" s="357"/>
      <c r="AV13" s="357"/>
      <c r="AW13" s="357"/>
      <c r="AX13" s="357"/>
      <c r="AY13" s="357"/>
      <c r="AZ13" s="357"/>
      <c r="BA13" s="357"/>
      <c r="BB13" s="357"/>
      <c r="BC13" s="357"/>
      <c r="BD13" s="357"/>
      <c r="BE13" s="357"/>
      <c r="BF13" s="357"/>
      <c r="BG13" s="357"/>
      <c r="BH13" s="357"/>
      <c r="BI13" s="357"/>
      <c r="BJ13" s="357"/>
      <c r="BK13" s="357"/>
      <c r="BL13" s="357"/>
      <c r="BM13" s="357"/>
      <c r="BN13" s="357"/>
      <c r="BO13" s="357"/>
      <c r="BP13" s="357"/>
      <c r="BQ13" s="357"/>
      <c r="BR13" s="357"/>
      <c r="BS13" s="357"/>
      <c r="BT13" s="357"/>
      <c r="BU13" s="357"/>
      <c r="BV13" s="357"/>
      <c r="BW13" s="357"/>
      <c r="BX13" s="357"/>
      <c r="BY13" s="357"/>
      <c r="BZ13" s="357"/>
      <c r="CA13" s="357"/>
      <c r="CB13" s="357"/>
      <c r="CC13" s="357"/>
      <c r="CD13" s="357"/>
      <c r="CE13" s="357"/>
      <c r="CF13" s="357"/>
      <c r="CG13" s="357"/>
      <c r="CH13" s="357"/>
      <c r="CI13" s="357"/>
      <c r="CJ13" s="357"/>
      <c r="CK13" s="357"/>
      <c r="CL13" s="357"/>
      <c r="CM13" s="357"/>
      <c r="CN13" s="357"/>
      <c r="CO13" s="357"/>
      <c r="CP13" s="357"/>
      <c r="CQ13" s="357"/>
      <c r="CR13" s="357"/>
      <c r="CS13" s="357"/>
      <c r="CT13" s="357"/>
      <c r="CU13" s="357"/>
      <c r="CV13" s="357"/>
      <c r="CW13" s="357"/>
      <c r="CX13" s="357"/>
      <c r="CY13" s="357"/>
      <c r="CZ13" s="357"/>
      <c r="DA13" s="357"/>
      <c r="DB13" s="357"/>
      <c r="DC13" s="357"/>
      <c r="DD13" s="357"/>
      <c r="DE13" s="357"/>
      <c r="DF13" s="357"/>
      <c r="DG13" s="357"/>
      <c r="DH13" s="357"/>
      <c r="DI13" s="357"/>
      <c r="DJ13" s="357"/>
      <c r="DK13" s="357"/>
      <c r="DL13" s="357"/>
      <c r="DM13" s="357"/>
      <c r="DN13" s="358"/>
    </row>
    <row r="14" spans="3:118" s="323" customFormat="1" ht="13.8" outlineLevel="1" x14ac:dyDescent="0.3">
      <c r="C14" s="355"/>
      <c r="D14" s="356"/>
      <c r="E14" s="366"/>
      <c r="F14" s="366" t="s">
        <v>272</v>
      </c>
      <c r="G14" s="356"/>
      <c r="H14" s="356"/>
      <c r="I14" s="511">
        <f>Balances!I8</f>
        <v>1175000</v>
      </c>
      <c r="J14" s="357">
        <f>IF(I14&gt;0,0,IF(Monthly!L108&gt;0,Balances!J8,0))</f>
        <v>0</v>
      </c>
      <c r="K14" s="357">
        <f>IF(J14&gt;0,0,IF(Monthly!M108&gt;0,Balances!K8,0))</f>
        <v>1175000</v>
      </c>
      <c r="L14" s="357">
        <f>IF(K14&gt;0,0,IF(Monthly!N108&gt;0,Balances!L8,0))</f>
        <v>0</v>
      </c>
      <c r="M14" s="357">
        <f>IF(L14&gt;0,0,IF(Monthly!O108&gt;0,Balances!M8,0))</f>
        <v>0</v>
      </c>
      <c r="N14" s="357">
        <f>IF(M14&gt;0,0,IF(Monthly!P108&gt;0,Balances!N8,0))</f>
        <v>0</v>
      </c>
      <c r="O14" s="357">
        <f>IF(N14&gt;0,0,IF(Monthly!Q108&gt;0,Balances!O8,0))</f>
        <v>0</v>
      </c>
      <c r="P14" s="357">
        <f>IF(O14&gt;0,0,IF(Monthly!R108&gt;0,Balances!P8,0))</f>
        <v>1175000</v>
      </c>
      <c r="Q14" s="357">
        <f>IF(P14&gt;0,0,IF(Monthly!S108&gt;0,Balances!Q8,0))</f>
        <v>0</v>
      </c>
      <c r="R14" s="357">
        <f>IF(Q14&gt;0,0,IF(Monthly!T108&gt;0,Balances!R8,0))</f>
        <v>0</v>
      </c>
      <c r="S14" s="357">
        <f>IF(R14&gt;0,0,IF(Monthly!U108&gt;0,Balances!S8,0))</f>
        <v>0</v>
      </c>
      <c r="T14" s="357">
        <f>IF(S14&gt;0,0,IF(Monthly!V108&gt;0,Balances!T8,0))</f>
        <v>0</v>
      </c>
      <c r="U14" s="357">
        <f>IF(T14&gt;0,0,IF(Monthly!W108&gt;0,Balances!U8,0))</f>
        <v>0</v>
      </c>
      <c r="V14" s="357">
        <f>IF(U14&gt;0,0,IF(Monthly!X108&gt;0,Balances!V8,0))</f>
        <v>0</v>
      </c>
      <c r="W14" s="357">
        <f>IF(V14&gt;0,0,IF(Monthly!Y108&gt;0,Balances!W8,0))</f>
        <v>0</v>
      </c>
      <c r="X14" s="357">
        <f>IF(W14&gt;0,0,IF(Monthly!Z108&gt;0,Balances!X8,0))</f>
        <v>0</v>
      </c>
      <c r="Y14" s="357">
        <f>IF(X14&gt;0,0,IF(Monthly!AA108&gt;0,Balances!Y8,0))</f>
        <v>0</v>
      </c>
      <c r="Z14" s="357">
        <f>IF(Y14&gt;0,0,IF(Monthly!AB108&gt;0,Balances!Z8,0))</f>
        <v>0</v>
      </c>
      <c r="AA14" s="357">
        <f>IF(Z14&gt;0,0,IF(Monthly!AC108&gt;0,Balances!AA8,0))</f>
        <v>0</v>
      </c>
      <c r="AB14" s="357">
        <f>IF(AA14&gt;0,0,IF(Monthly!AD108&gt;0,Balances!AB8,0))</f>
        <v>0</v>
      </c>
      <c r="AC14" s="357">
        <f>IF(AB14&gt;0,0,IF(Monthly!AE108&gt;0,Balances!AC8,0))</f>
        <v>0</v>
      </c>
      <c r="AD14" s="357">
        <f>IF(AC14&gt;0,0,IF(Monthly!AF108&gt;0,Balances!AD8,0))</f>
        <v>0</v>
      </c>
      <c r="AE14" s="357">
        <f>IF(AD14&gt;0,0,IF(Monthly!AG108&gt;0,Balances!AE8,0))</f>
        <v>0</v>
      </c>
      <c r="AF14" s="357">
        <f>IF(AE14&gt;0,0,IF(Monthly!AH108&gt;0,Balances!AF8,0))</f>
        <v>0</v>
      </c>
      <c r="AG14" s="357">
        <f>IF(AF14&gt;0,0,IF(Monthly!AI108&gt;0,Balances!AG8,0))</f>
        <v>0</v>
      </c>
      <c r="AH14" s="357">
        <f>IF(AG14&gt;0,0,IF(Monthly!AJ108&gt;0,Balances!AH8,0))</f>
        <v>0</v>
      </c>
      <c r="AI14" s="357">
        <f>IF(AH14&gt;0,0,IF(Monthly!AK108&gt;0,Balances!AI8,0))</f>
        <v>0</v>
      </c>
      <c r="AJ14" s="357">
        <f>IF(AI14&gt;0,0,IF(Monthly!AL108&gt;0,Balances!AJ8,0))</f>
        <v>0</v>
      </c>
      <c r="AK14" s="357">
        <f>IF(AJ14&gt;0,0,IF(Monthly!AM108&gt;0,Balances!AK8,0))</f>
        <v>0</v>
      </c>
      <c r="AL14" s="357">
        <f>IF(AK14&gt;0,0,IF(Monthly!AN108&gt;0,Balances!AL8,0))</f>
        <v>0</v>
      </c>
      <c r="AM14" s="357">
        <f>IF(AL14&gt;0,0,IF(Monthly!AO108&gt;0,Balances!AM8,0))</f>
        <v>0</v>
      </c>
      <c r="AN14" s="357">
        <f>IF(AM14&gt;0,0,IF(Monthly!AP108&gt;0,Balances!AN8,0))</f>
        <v>0</v>
      </c>
      <c r="AO14" s="357">
        <f>IF(AN14&gt;0,0,IF(Monthly!AQ108&gt;0,Balances!AO8,0))</f>
        <v>0</v>
      </c>
      <c r="AP14" s="357">
        <f>IF(AO14&gt;0,0,IF(Monthly!AR108&gt;0,Balances!AP8,0))</f>
        <v>0</v>
      </c>
      <c r="AQ14" s="357">
        <f>IF(AP14&gt;0,0,IF(Monthly!AS108&gt;0,Balances!AQ8,0))</f>
        <v>0</v>
      </c>
      <c r="AR14" s="357">
        <f>IF(AQ14&gt;0,0,IF(Monthly!AT108&gt;0,Balances!AR8,0))</f>
        <v>0</v>
      </c>
      <c r="AS14" s="357">
        <f>IF(AR14&gt;0,0,IF(Monthly!AU108&gt;0,Balances!AS8,0))</f>
        <v>0</v>
      </c>
      <c r="AT14" s="357">
        <f>IF(AS14&gt;0,0,IF(Monthly!AV108&gt;0,Balances!AT8,0))</f>
        <v>0</v>
      </c>
      <c r="AU14" s="357">
        <f>IF(AT14&gt;0,0,IF(Monthly!AW108&gt;0,Balances!AU8,0))</f>
        <v>0</v>
      </c>
      <c r="AV14" s="357">
        <f>IF(AU14&gt;0,0,IF(Monthly!AX108&gt;0,Balances!AV8,0))</f>
        <v>0</v>
      </c>
      <c r="AW14" s="357">
        <f>IF(AV14&gt;0,0,IF(Monthly!AY108&gt;0,Balances!AW8,0))</f>
        <v>0</v>
      </c>
      <c r="AX14" s="357">
        <f>IF(AW14&gt;0,0,IF(Monthly!AZ108&gt;0,Balances!AX8,0))</f>
        <v>0</v>
      </c>
      <c r="AY14" s="357">
        <f>IF(AX14&gt;0,0,IF(Monthly!BA108&gt;0,Balances!AY8,0))</f>
        <v>0</v>
      </c>
      <c r="AZ14" s="357">
        <f>IF(AY14&gt;0,0,IF(Monthly!BB108&gt;0,Balances!AZ8,0))</f>
        <v>0</v>
      </c>
      <c r="BA14" s="357">
        <f>IF(AZ14&gt;0,0,IF(Monthly!BC108&gt;0,Balances!BA8,0))</f>
        <v>0</v>
      </c>
      <c r="BB14" s="357">
        <f>IF(BA14&gt;0,0,IF(Monthly!BD108&gt;0,Balances!BB8,0))</f>
        <v>0</v>
      </c>
      <c r="BC14" s="357">
        <f>IF(BB14&gt;0,0,IF(Monthly!BE108&gt;0,Balances!BC8,0))</f>
        <v>0</v>
      </c>
      <c r="BD14" s="357">
        <f>IF(BC14&gt;0,0,IF(Monthly!BF108&gt;0,Balances!BD8,0))</f>
        <v>0</v>
      </c>
      <c r="BE14" s="357">
        <f>IF(BD14&gt;0,0,IF(Monthly!BG108&gt;0,Balances!BE8,0))</f>
        <v>0</v>
      </c>
      <c r="BF14" s="357">
        <f>IF(BE14&gt;0,0,IF(Monthly!BH108&gt;0,Balances!BF8,0))</f>
        <v>0</v>
      </c>
      <c r="BG14" s="357">
        <f>IF(BF14&gt;0,0,IF(Monthly!BI108&gt;0,Balances!BG8,0))</f>
        <v>0</v>
      </c>
      <c r="BH14" s="357">
        <f>IF(BG14&gt;0,0,IF(Monthly!BJ108&gt;0,Balances!BH8,0))</f>
        <v>0</v>
      </c>
      <c r="BI14" s="357">
        <f>IF(BH14&gt;0,0,IF(Monthly!BK108&gt;0,Balances!BI8,0))</f>
        <v>0</v>
      </c>
      <c r="BJ14" s="357">
        <f>IF(BI14&gt;0,0,IF(Monthly!BL108&gt;0,Balances!BJ8,0))</f>
        <v>0</v>
      </c>
      <c r="BK14" s="357">
        <f>IF(BJ14&gt;0,0,IF(Monthly!BM108&gt;0,Balances!BK8,0))</f>
        <v>0</v>
      </c>
      <c r="BL14" s="357">
        <f>IF(BK14&gt;0,0,IF(Monthly!BN108&gt;0,Balances!BL8,0))</f>
        <v>0</v>
      </c>
      <c r="BM14" s="357">
        <f>IF(BL14&gt;0,0,IF(Monthly!BO108&gt;0,Balances!BM8,0))</f>
        <v>0</v>
      </c>
      <c r="BN14" s="357">
        <f>IF(BM14&gt;0,0,IF(Monthly!BP108&gt;0,Balances!BN8,0))</f>
        <v>0</v>
      </c>
      <c r="BO14" s="357">
        <f>IF(BN14&gt;0,0,IF(Monthly!BQ108&gt;0,Balances!BO8,0))</f>
        <v>0</v>
      </c>
      <c r="BP14" s="357">
        <f>IF(BO14&gt;0,0,IF(Monthly!BR108&gt;0,Balances!BP8,0))</f>
        <v>0</v>
      </c>
      <c r="BQ14" s="357">
        <f>IF(BP14&gt;0,0,IF(Monthly!BS108&gt;0,Balances!BQ8,0))</f>
        <v>0</v>
      </c>
      <c r="BR14" s="357">
        <f>IF(BQ14&gt;0,0,IF(Monthly!BT108&gt;0,Balances!BR8,0))</f>
        <v>0</v>
      </c>
      <c r="BS14" s="357">
        <f>IF(BR14&gt;0,0,IF(Monthly!BU108&gt;0,Balances!BS8,0))</f>
        <v>0</v>
      </c>
      <c r="BT14" s="357">
        <f>IF(BS14&gt;0,0,IF(Monthly!BV108&gt;0,Balances!BT8,0))</f>
        <v>0</v>
      </c>
      <c r="BU14" s="357">
        <f>IF(BT14&gt;0,0,IF(Monthly!BW108&gt;0,Balances!BU8,0))</f>
        <v>0</v>
      </c>
      <c r="BV14" s="357">
        <f>IF(BU14&gt;0,0,IF(Monthly!BX108&gt;0,Balances!BV8,0))</f>
        <v>0</v>
      </c>
      <c r="BW14" s="357">
        <f>IF(BV14&gt;0,0,IF(Monthly!BY108&gt;0,Balances!BW8,0))</f>
        <v>0</v>
      </c>
      <c r="BX14" s="357">
        <f>IF(BW14&gt;0,0,IF(Monthly!BZ108&gt;0,Balances!BX8,0))</f>
        <v>0</v>
      </c>
      <c r="BY14" s="357">
        <f>IF(BX14&gt;0,0,IF(Monthly!CA108&gt;0,Balances!BY8,0))</f>
        <v>0</v>
      </c>
      <c r="BZ14" s="357">
        <f>IF(BY14&gt;0,0,IF(Monthly!CB108&gt;0,Balances!BZ8,0))</f>
        <v>0</v>
      </c>
      <c r="CA14" s="357">
        <f>IF(BZ14&gt;0,0,IF(Monthly!CC108&gt;0,Balances!CA8,0))</f>
        <v>0</v>
      </c>
      <c r="CB14" s="357">
        <f>IF(CA14&gt;0,0,IF(Monthly!CD108&gt;0,Balances!CB8,0))</f>
        <v>0</v>
      </c>
      <c r="CC14" s="357">
        <f>IF(CB14&gt;0,0,IF(Monthly!CE108&gt;0,Balances!CC8,0))</f>
        <v>0</v>
      </c>
      <c r="CD14" s="357">
        <f>IF(CC14&gt;0,0,IF(Monthly!CF108&gt;0,Balances!CD8,0))</f>
        <v>0</v>
      </c>
      <c r="CE14" s="357">
        <f>IF(CD14&gt;0,0,IF(Monthly!CG108&gt;0,Balances!CE8,0))</f>
        <v>0</v>
      </c>
      <c r="CF14" s="357">
        <f>IF(CE14&gt;0,0,IF(Monthly!CH108&gt;0,Balances!CF8,0))</f>
        <v>0</v>
      </c>
      <c r="CG14" s="357">
        <f>IF(CF14&gt;0,0,IF(Monthly!CI108&gt;0,Balances!CG8,0))</f>
        <v>0</v>
      </c>
      <c r="CH14" s="357">
        <f>IF(CG14&gt;0,0,IF(Monthly!CJ108&gt;0,Balances!CH8,0))</f>
        <v>0</v>
      </c>
      <c r="CI14" s="357">
        <f>IF(CH14&gt;0,0,IF(Monthly!CK108&gt;0,Balances!CI8,0))</f>
        <v>0</v>
      </c>
      <c r="CJ14" s="357">
        <f>IF(CI14&gt;0,0,IF(Monthly!CL108&gt;0,Balances!CJ8,0))</f>
        <v>0</v>
      </c>
      <c r="CK14" s="357">
        <f>IF(CJ14&gt;0,0,IF(Monthly!CM108&gt;0,Balances!CK8,0))</f>
        <v>0</v>
      </c>
      <c r="CL14" s="357">
        <f>IF(CK14&gt;0,0,IF(Monthly!CN108&gt;0,Balances!CL8,0))</f>
        <v>0</v>
      </c>
      <c r="CM14" s="357">
        <f>IF(CL14&gt;0,0,IF(Monthly!CO108&gt;0,Balances!CM8,0))</f>
        <v>0</v>
      </c>
      <c r="CN14" s="357">
        <f>IF(CM14&gt;0,0,IF(Monthly!CP108&gt;0,Balances!CN8,0))</f>
        <v>0</v>
      </c>
      <c r="CO14" s="357">
        <f>IF(CN14&gt;0,0,IF(Monthly!CQ108&gt;0,Balances!CO8,0))</f>
        <v>0</v>
      </c>
      <c r="CP14" s="357">
        <f>IF(CO14&gt;0,0,IF(Monthly!CR108&gt;0,Balances!CP8,0))</f>
        <v>0</v>
      </c>
      <c r="CQ14" s="357">
        <f>IF(CP14&gt;0,0,IF(Monthly!CS108&gt;0,Balances!CQ8,0))</f>
        <v>0</v>
      </c>
      <c r="CR14" s="357">
        <f>IF(CQ14&gt;0,0,IF(Monthly!CT108&gt;0,Balances!CR8,0))</f>
        <v>0</v>
      </c>
      <c r="CS14" s="357">
        <f>IF(CR14&gt;0,0,IF(Monthly!CU108&gt;0,Balances!CS8,0))</f>
        <v>0</v>
      </c>
      <c r="CT14" s="357">
        <f>IF(CS14&gt;0,0,IF(Monthly!CV108&gt;0,Balances!CT8,0))</f>
        <v>0</v>
      </c>
      <c r="CU14" s="357">
        <f>IF(CT14&gt;0,0,IF(Monthly!CW108&gt;0,Balances!CU8,0))</f>
        <v>0</v>
      </c>
      <c r="CV14" s="357">
        <f>IF(CU14&gt;0,0,IF(Monthly!CX108&gt;0,Balances!CV8,0))</f>
        <v>0</v>
      </c>
      <c r="CW14" s="357">
        <f>IF(CV14&gt;0,0,IF(Monthly!CY108&gt;0,Balances!CW8,0))</f>
        <v>0</v>
      </c>
      <c r="CX14" s="357">
        <f>IF(CW14&gt;0,0,IF(Monthly!CZ108&gt;0,Balances!CX8,0))</f>
        <v>0</v>
      </c>
      <c r="CY14" s="357">
        <f>IF(CX14&gt;0,0,IF(Monthly!DA108&gt;0,Balances!CY8,0))</f>
        <v>0</v>
      </c>
      <c r="CZ14" s="357">
        <f>IF(CY14&gt;0,0,IF(Monthly!DB108&gt;0,Balances!CZ8,0))</f>
        <v>0</v>
      </c>
      <c r="DA14" s="357">
        <f>IF(CZ14&gt;0,0,IF(Monthly!DC108&gt;0,Balances!DA8,0))</f>
        <v>0</v>
      </c>
      <c r="DB14" s="357">
        <f>IF(DA14&gt;0,0,IF(Monthly!DD108&gt;0,Balances!DB8,0))</f>
        <v>0</v>
      </c>
      <c r="DC14" s="357">
        <f>IF(DB14&gt;0,0,IF(Monthly!DE108&gt;0,Balances!DC8,0))</f>
        <v>0</v>
      </c>
      <c r="DD14" s="357">
        <f>IF(DC14&gt;0,0,IF(Monthly!DF108&gt;0,Balances!DD8,0))</f>
        <v>0</v>
      </c>
      <c r="DE14" s="357">
        <f>IF(DD14&gt;0,0,IF(Monthly!DG108&gt;0,Balances!DE8,0))</f>
        <v>0</v>
      </c>
      <c r="DF14" s="357">
        <f>IF(DE14&gt;0,0,IF(Monthly!DH108&gt;0,Balances!DF8,0))</f>
        <v>0</v>
      </c>
      <c r="DG14" s="357">
        <f>IF(DF14&gt;0,0,IF(Monthly!DI108&gt;0,Balances!DG8,0))</f>
        <v>0</v>
      </c>
      <c r="DH14" s="357">
        <f>IF(DG14&gt;0,0,IF(Monthly!DJ108&gt;0,Balances!DH8,0))</f>
        <v>0</v>
      </c>
      <c r="DI14" s="357">
        <f>IF(DH14&gt;0,0,IF(Monthly!DK108&gt;0,Balances!DI8,0))</f>
        <v>0</v>
      </c>
      <c r="DJ14" s="357">
        <f>IF(DI14&gt;0,0,IF(Monthly!DL108&gt;0,Balances!DJ8,0))</f>
        <v>0</v>
      </c>
      <c r="DK14" s="357">
        <f>IF(DJ14&gt;0,0,IF(Monthly!DM108&gt;0,Balances!DK8,0))</f>
        <v>0</v>
      </c>
      <c r="DL14" s="357">
        <f>IF(DK14&gt;0,0,IF(Monthly!DN108&gt;0,Balances!DL8,0))</f>
        <v>0</v>
      </c>
      <c r="DM14" s="357"/>
      <c r="DN14" s="358">
        <f>SUM(I14:AR14)</f>
        <v>3525000</v>
      </c>
    </row>
    <row r="15" spans="3:118" s="323" customFormat="1" ht="13.8" outlineLevel="1" x14ac:dyDescent="0.3">
      <c r="C15" s="355"/>
      <c r="D15" s="356"/>
      <c r="E15" s="366"/>
      <c r="F15" s="366" t="s">
        <v>293</v>
      </c>
      <c r="G15" s="356"/>
      <c r="H15" s="356"/>
      <c r="I15" s="357">
        <f>IF(I14&gt;0,Balances!I15,0)</f>
        <v>0</v>
      </c>
      <c r="J15" s="357">
        <f>IF(J14&gt;0,Balances!J15,0)</f>
        <v>0</v>
      </c>
      <c r="K15" s="357">
        <f>IF(K14&gt;0,Balances!K15,0)</f>
        <v>0</v>
      </c>
      <c r="L15" s="357">
        <f>IF(L14&gt;0,Balances!L15,0)</f>
        <v>0</v>
      </c>
      <c r="M15" s="357">
        <f>IF(M14&gt;0,Balances!M15,0)</f>
        <v>0</v>
      </c>
      <c r="N15" s="357">
        <f>IF(N14&gt;0,Balances!N15,0)</f>
        <v>0</v>
      </c>
      <c r="O15" s="357">
        <f>IF(O14&gt;0,Balances!O15,0)</f>
        <v>0</v>
      </c>
      <c r="P15" s="357">
        <f>IF(P14&gt;0,Balances!P15,0)</f>
        <v>0</v>
      </c>
      <c r="Q15" s="357">
        <f>IF(Q14&gt;0,Balances!Q15,0)</f>
        <v>0</v>
      </c>
      <c r="R15" s="357">
        <f>IF(R14&gt;0,Balances!R15,0)</f>
        <v>0</v>
      </c>
      <c r="S15" s="357">
        <f>IF(S14&gt;0,Balances!S15,0)</f>
        <v>0</v>
      </c>
      <c r="T15" s="357">
        <f>IF(T14&gt;0,Balances!T15,0)</f>
        <v>0</v>
      </c>
      <c r="U15" s="357">
        <f>IF(U14&gt;0,Balances!U15,0)</f>
        <v>0</v>
      </c>
      <c r="V15" s="357">
        <f>IF(V14&gt;0,Balances!V15,0)</f>
        <v>0</v>
      </c>
      <c r="W15" s="357">
        <f>IF(W14&gt;0,Balances!W15,0)</f>
        <v>0</v>
      </c>
      <c r="X15" s="357">
        <f>IF(X14&gt;0,Balances!X15,0)</f>
        <v>0</v>
      </c>
      <c r="Y15" s="357">
        <f>IF(Y14&gt;0,Balances!Y15,0)</f>
        <v>0</v>
      </c>
      <c r="Z15" s="357">
        <f>IF(Z14&gt;0,Balances!Z15,0)</f>
        <v>0</v>
      </c>
      <c r="AA15" s="357">
        <f>IF(AA14&gt;0,Balances!AA15,0)</f>
        <v>0</v>
      </c>
      <c r="AB15" s="357">
        <f>IF(AB14&gt;0,Balances!AB15,0)</f>
        <v>0</v>
      </c>
      <c r="AC15" s="357">
        <f>IF(AC14&gt;0,Balances!AC15,0)</f>
        <v>0</v>
      </c>
      <c r="AD15" s="357">
        <f>IF(AD14&gt;0,Balances!AD15,0)</f>
        <v>0</v>
      </c>
      <c r="AE15" s="357">
        <f>IF(AE14&gt;0,Balances!AE15,0)</f>
        <v>0</v>
      </c>
      <c r="AF15" s="357">
        <f>IF(AF14&gt;0,Balances!AF15,0)</f>
        <v>0</v>
      </c>
      <c r="AG15" s="357">
        <f>IF(AG14&gt;0,Balances!AG15,0)</f>
        <v>0</v>
      </c>
      <c r="AH15" s="357">
        <f>IF(AH14&gt;0,Balances!AH15,0)</f>
        <v>0</v>
      </c>
      <c r="AI15" s="357">
        <f>IF(AI14&gt;0,Balances!AI15,0)</f>
        <v>0</v>
      </c>
      <c r="AJ15" s="357">
        <f>IF(AJ14&gt;0,Balances!AJ15,0)</f>
        <v>0</v>
      </c>
      <c r="AK15" s="357">
        <f>IF(AK14&gt;0,Balances!AK15,0)</f>
        <v>0</v>
      </c>
      <c r="AL15" s="357">
        <f>IF(AL14&gt;0,Balances!AL15,0)</f>
        <v>0</v>
      </c>
      <c r="AM15" s="357">
        <f>IF(AM14&gt;0,Balances!AM15,0)</f>
        <v>0</v>
      </c>
      <c r="AN15" s="357">
        <f>IF(AN14&gt;0,Balances!AN15,0)</f>
        <v>0</v>
      </c>
      <c r="AO15" s="357">
        <f>IF(AO14&gt;0,Balances!AO15,0)</f>
        <v>0</v>
      </c>
      <c r="AP15" s="357">
        <f>IF(AP14&gt;0,Balances!AP15,0)</f>
        <v>0</v>
      </c>
      <c r="AQ15" s="357">
        <f>IF(AQ14&gt;0,Balances!AQ15,0)</f>
        <v>0</v>
      </c>
      <c r="AR15" s="357">
        <f>IF(AR14&gt;0,Balances!AR15,0)</f>
        <v>0</v>
      </c>
      <c r="AS15" s="357">
        <f>IF(AS14&gt;0,Balances!DM15,0)</f>
        <v>0</v>
      </c>
      <c r="AT15" s="357">
        <f>IF(AT14&gt;0,Balances!DN15,0)</f>
        <v>0</v>
      </c>
      <c r="AU15" s="357">
        <f>IF(AU14&gt;0,Balances!DO15,0)</f>
        <v>0</v>
      </c>
      <c r="AV15" s="357">
        <f>IF(AV14&gt;0,Balances!DP15,0)</f>
        <v>0</v>
      </c>
      <c r="AW15" s="357">
        <f>IF(AW14&gt;0,Balances!DQ15,0)</f>
        <v>0</v>
      </c>
      <c r="AX15" s="357">
        <f>IF(AX14&gt;0,Balances!DR15,0)</f>
        <v>0</v>
      </c>
      <c r="AY15" s="357">
        <f>IF(AY14&gt;0,Balances!DS15,0)</f>
        <v>0</v>
      </c>
      <c r="AZ15" s="357">
        <f>IF(AZ14&gt;0,Balances!DT15,0)</f>
        <v>0</v>
      </c>
      <c r="BA15" s="357">
        <f>IF(BA14&gt;0,Balances!DU15,0)</f>
        <v>0</v>
      </c>
      <c r="BB15" s="357">
        <f>IF(BB14&gt;0,Balances!DV15,0)</f>
        <v>0</v>
      </c>
      <c r="BC15" s="357">
        <f>IF(BC14&gt;0,Balances!DW15,0)</f>
        <v>0</v>
      </c>
      <c r="BD15" s="357">
        <f>IF(BD14&gt;0,Balances!DX15,0)</f>
        <v>0</v>
      </c>
      <c r="BE15" s="357"/>
      <c r="BF15" s="357"/>
      <c r="BG15" s="357"/>
      <c r="BH15" s="357"/>
      <c r="BI15" s="357"/>
      <c r="BJ15" s="357"/>
      <c r="BK15" s="357"/>
      <c r="BL15" s="357"/>
      <c r="BM15" s="357"/>
      <c r="BN15" s="357"/>
      <c r="BO15" s="357"/>
      <c r="BP15" s="357"/>
      <c r="BQ15" s="357"/>
      <c r="BR15" s="357"/>
      <c r="BS15" s="357"/>
      <c r="BT15" s="357"/>
      <c r="BU15" s="357"/>
      <c r="BV15" s="357"/>
      <c r="BW15" s="357"/>
      <c r="BX15" s="357"/>
      <c r="BY15" s="357"/>
      <c r="BZ15" s="357"/>
      <c r="CA15" s="357"/>
      <c r="CB15" s="357"/>
      <c r="CC15" s="357"/>
      <c r="CD15" s="357"/>
      <c r="CE15" s="357"/>
      <c r="CF15" s="357"/>
      <c r="CG15" s="357"/>
      <c r="CH15" s="357"/>
      <c r="CI15" s="357"/>
      <c r="CJ15" s="357"/>
      <c r="CK15" s="357"/>
      <c r="CL15" s="357"/>
      <c r="CM15" s="357"/>
      <c r="CN15" s="357"/>
      <c r="CO15" s="357"/>
      <c r="CP15" s="357"/>
      <c r="CQ15" s="357"/>
      <c r="CR15" s="357"/>
      <c r="CS15" s="357"/>
      <c r="CT15" s="357"/>
      <c r="CU15" s="357"/>
      <c r="CV15" s="357"/>
      <c r="CW15" s="357"/>
      <c r="CX15" s="357"/>
      <c r="CY15" s="357"/>
      <c r="CZ15" s="357"/>
      <c r="DA15" s="357"/>
      <c r="DB15" s="357"/>
      <c r="DC15" s="357"/>
      <c r="DD15" s="357"/>
      <c r="DE15" s="357"/>
      <c r="DF15" s="357"/>
      <c r="DG15" s="357"/>
      <c r="DH15" s="357"/>
      <c r="DI15" s="357"/>
      <c r="DJ15" s="357"/>
      <c r="DK15" s="357"/>
      <c r="DL15" s="357"/>
      <c r="DM15" s="357"/>
      <c r="DN15" s="358">
        <f>SUM(I15:AR15)</f>
        <v>0</v>
      </c>
    </row>
    <row r="16" spans="3:118" s="323" customFormat="1" ht="13.8" outlineLevel="1" x14ac:dyDescent="0.3">
      <c r="C16" s="355"/>
      <c r="D16" s="356"/>
      <c r="E16" s="366" t="s">
        <v>333</v>
      </c>
      <c r="F16" s="366"/>
      <c r="G16" s="356"/>
      <c r="H16" s="356"/>
      <c r="I16" s="357">
        <f>IF(I8&gt;0,'Table 3.0'!$K$24*'Table 3.0'!$Q$24+'Table 3.0'!$R$24,0)</f>
        <v>0</v>
      </c>
      <c r="J16" s="357">
        <f>IF(J8&gt;0,'Table 3.0'!$K$24*'Table 3.0'!$Q$24+'Table 3.0'!$R$24,0)</f>
        <v>0</v>
      </c>
      <c r="K16" s="357">
        <f>IF(K8&gt;0,'Table 3.0'!$K$24*'Table 3.0'!$Q$24+'Table 3.0'!$R$24,0)</f>
        <v>0</v>
      </c>
      <c r="L16" s="357">
        <f>IF(L8&gt;0,'Table 3.0'!$K$24*'Table 3.0'!$Q$24+'Table 3.0'!$R$24,0)</f>
        <v>0</v>
      </c>
      <c r="M16" s="357">
        <f>IF(M8&gt;0,'Table 3.0'!$K$24*'Table 3.0'!$Q$24+'Table 3.0'!$R$24,0)</f>
        <v>25000</v>
      </c>
      <c r="N16" s="357">
        <f>IF(N8&gt;0,'Table 3.0'!$K$24*'Table 3.0'!$Q$24+'Table 3.0'!$R$24,0)</f>
        <v>25000</v>
      </c>
      <c r="O16" s="357">
        <f>IF(O8&gt;0,'Table 3.0'!$K$24*'Table 3.0'!$Q$24+'Table 3.0'!$R$24,0)</f>
        <v>25000</v>
      </c>
      <c r="P16" s="357">
        <f>IF(P8&gt;0,'Table 3.0'!$K$24*'Table 3.0'!$Q$24+'Table 3.0'!$R$24,0)</f>
        <v>25000</v>
      </c>
      <c r="Q16" s="357">
        <f>IF(Q8&gt;0,'Table 3.0'!$K$24*'Table 3.0'!$Q$24+'Table 3.0'!$R$24,0)</f>
        <v>25000</v>
      </c>
      <c r="R16" s="357">
        <f>IF(R8&gt;0,'Table 3.0'!$K$24*'Table 3.0'!$Q$24+'Table 3.0'!$R$24,0)</f>
        <v>25000</v>
      </c>
      <c r="S16" s="357">
        <f>IF(S8&gt;0,'Table 3.0'!$K$24*'Table 3.0'!$Q$24+'Table 3.0'!$R$24,0)</f>
        <v>25000</v>
      </c>
      <c r="T16" s="357">
        <f>IF(T8&gt;0,'Table 3.0'!$K$24*'Table 3.0'!$Q$24+'Table 3.0'!$R$24,0)</f>
        <v>25000</v>
      </c>
      <c r="U16" s="357">
        <f>IF(U8&gt;0,'Table 3.0'!$K$24*'Table 3.0'!$Q$24+'Table 3.0'!$R$24,0)</f>
        <v>25000</v>
      </c>
      <c r="V16" s="357">
        <f>IF(V8&gt;0,'Table 3.0'!$K$24*'Table 3.0'!$Q$24+'Table 3.0'!$R$24,0)</f>
        <v>25000</v>
      </c>
      <c r="W16" s="357">
        <f>IF(W8&gt;0,'Table 3.0'!$K$24*'Table 3.0'!$Q$24+'Table 3.0'!$R$24,0)</f>
        <v>0</v>
      </c>
      <c r="X16" s="357">
        <f>IF(X8&gt;0,'Table 3.0'!$K$24*'Table 3.0'!$Q$24+'Table 3.0'!$R$24,0)</f>
        <v>0</v>
      </c>
      <c r="Y16" s="357">
        <f>IF(Y8&gt;0,'Table 3.0'!$K$24*'Table 3.0'!$Q$24+'Table 3.0'!$R$24,0)</f>
        <v>0</v>
      </c>
      <c r="Z16" s="357">
        <f>IF(Z8&gt;0,'Table 3.0'!$K$24*'Table 3.0'!$Q$24+'Table 3.0'!$R$24,0)</f>
        <v>25000</v>
      </c>
      <c r="AA16" s="357">
        <f>IF(AA8&gt;0,'Table 3.0'!$K$24*'Table 3.0'!$Q$24+'Table 3.0'!$R$24,0)</f>
        <v>25000</v>
      </c>
      <c r="AB16" s="357">
        <f>IF(AB8&gt;0,'Table 3.0'!$K$24*'Table 3.0'!$Q$24+'Table 3.0'!$R$24,0)</f>
        <v>25000</v>
      </c>
      <c r="AC16" s="357">
        <f>IF(AC8&gt;0,'Table 3.0'!$K$24*'Table 3.0'!$Q$24+'Table 3.0'!$R$24,0)</f>
        <v>25000</v>
      </c>
      <c r="AD16" s="357">
        <f>IF(AD8&gt;0,'Table 3.0'!$K$24*'Table 3.0'!$Q$24+'Table 3.0'!$R$24,0)</f>
        <v>25000</v>
      </c>
      <c r="AE16" s="357">
        <f>IF(AE8&gt;0,'Table 3.0'!$K$24*'Table 3.0'!$Q$24+'Table 3.0'!$R$24,0)</f>
        <v>25000</v>
      </c>
      <c r="AF16" s="357">
        <f>IF(AF8&gt;0,'Table 3.0'!$K$24*'Table 3.0'!$Q$24+'Table 3.0'!$R$24,0)</f>
        <v>25000</v>
      </c>
      <c r="AG16" s="357">
        <f>IF(AG8&gt;0,'Table 3.0'!$K$24*'Table 3.0'!$Q$24+'Table 3.0'!$R$24,0)</f>
        <v>0</v>
      </c>
      <c r="AH16" s="357">
        <f>IF(AH8&gt;0,'Table 3.0'!$K$24*'Table 3.0'!$Q$24+'Table 3.0'!$R$24,0)</f>
        <v>0</v>
      </c>
      <c r="AI16" s="357">
        <f>IF(AI8&gt;0,'Table 3.0'!$K$24*'Table 3.0'!$Q$24+'Table 3.0'!$R$24,0)</f>
        <v>0</v>
      </c>
      <c r="AJ16" s="357">
        <f>IF(AJ8&gt;0,'Table 3.0'!$K$24*'Table 3.0'!$Q$24+'Table 3.0'!$R$24,0)</f>
        <v>0</v>
      </c>
      <c r="AK16" s="357">
        <f>IF(AK8&gt;0,'Table 3.0'!$K$24*'Table 3.0'!$Q$24+'Table 3.0'!$R$24,0)</f>
        <v>0</v>
      </c>
      <c r="AL16" s="357">
        <f>IF(AL8&gt;0,'Table 3.0'!$K$24*'Table 3.0'!$Q$24+'Table 3.0'!$R$24,0)</f>
        <v>0</v>
      </c>
      <c r="AM16" s="357">
        <f>IF(AM8&gt;0,'Table 3.0'!$K$24*'Table 3.0'!$Q$24+'Table 3.0'!$R$24,0)</f>
        <v>0</v>
      </c>
      <c r="AN16" s="357">
        <f>IF(AN8&gt;0,'Table 3.0'!$K$24*'Table 3.0'!$Q$24+'Table 3.0'!$R$24,0)</f>
        <v>25000</v>
      </c>
      <c r="AO16" s="357">
        <f>IF(AO8&gt;0,'Table 3.0'!$K$24*'Table 3.0'!$Q$24+'Table 3.0'!$R$24,0)</f>
        <v>25000</v>
      </c>
      <c r="AP16" s="357">
        <f>IF(AP8&gt;0,'Table 3.0'!$K$24*'Table 3.0'!$Q$24+'Table 3.0'!$R$24,0)</f>
        <v>25000</v>
      </c>
      <c r="AQ16" s="357">
        <f>IF(AQ8&gt;0,'Table 3.0'!$K$24*'Table 3.0'!$Q$24+'Table 3.0'!$R$24,0)</f>
        <v>25000</v>
      </c>
      <c r="AR16" s="357">
        <f>IF(AR8&gt;0,'Table 3.0'!$K$24*'Table 3.0'!$Q$24+'Table 3.0'!$R$24,0)</f>
        <v>25000</v>
      </c>
      <c r="AS16" s="357">
        <f>IF(AS8&gt;0,'Table 3.0'!$K$24*'Table 3.0'!$Q$24+'Table 3.0'!$R$24,0)</f>
        <v>0</v>
      </c>
      <c r="AT16" s="357">
        <f>IF(AT8&gt;0,'Table 3.0'!$K$24*'Table 3.0'!$Q$24+'Table 3.0'!$R$24,0)</f>
        <v>0</v>
      </c>
      <c r="AU16" s="357">
        <f>IF(AU8&gt;0,'Table 3.0'!$K$24*'Table 3.0'!$Q$24+'Table 3.0'!$R$24,0)</f>
        <v>0</v>
      </c>
      <c r="AV16" s="357">
        <f>IF(AV8&gt;0,'Table 3.0'!$K$24*'Table 3.0'!$Q$24+'Table 3.0'!$R$24,0)</f>
        <v>0</v>
      </c>
      <c r="AW16" s="357">
        <f>IF(AW8&gt;0,'Table 3.0'!$K$24*'Table 3.0'!$Q$24+'Table 3.0'!$R$24,0)</f>
        <v>0</v>
      </c>
      <c r="AX16" s="357">
        <f>IF(AX8&gt;0,'Table 3.0'!$K$24*'Table 3.0'!$Q$24+'Table 3.0'!$R$24,0)</f>
        <v>0</v>
      </c>
      <c r="AY16" s="357">
        <f>IF(AY8&gt;0,'Table 3.0'!$K$24*'Table 3.0'!$Q$24+'Table 3.0'!$R$24,0)</f>
        <v>0</v>
      </c>
      <c r="AZ16" s="357">
        <f>IF(AZ8&gt;0,'Table 3.0'!$K$24*'Table 3.0'!$Q$24+'Table 3.0'!$R$24,0)</f>
        <v>25000</v>
      </c>
      <c r="BA16" s="357">
        <f>IF(BA8&gt;0,'Table 3.0'!$K$24*'Table 3.0'!$Q$24+'Table 3.0'!$R$24,0)</f>
        <v>25000</v>
      </c>
      <c r="BB16" s="357">
        <f>IF(BB8&gt;0,'Table 3.0'!$K$24*'Table 3.0'!$Q$24+'Table 3.0'!$R$24,0)</f>
        <v>25000</v>
      </c>
      <c r="BC16" s="357">
        <f>IF(BC8&gt;0,'Table 3.0'!$K$24*'Table 3.0'!$Q$24+'Table 3.0'!$R$24,0)</f>
        <v>25000</v>
      </c>
      <c r="BD16" s="357">
        <f>IF(BD8&gt;0,'Table 3.0'!$K$24*'Table 3.0'!$Q$24+'Table 3.0'!$R$24,0)</f>
        <v>25000</v>
      </c>
      <c r="BE16" s="357"/>
      <c r="BF16" s="357"/>
      <c r="BG16" s="357"/>
      <c r="BH16" s="357"/>
      <c r="BI16" s="357"/>
      <c r="BJ16" s="357"/>
      <c r="BK16" s="357"/>
      <c r="BL16" s="357"/>
      <c r="BM16" s="357"/>
      <c r="BN16" s="357"/>
      <c r="BO16" s="357"/>
      <c r="BP16" s="357"/>
      <c r="BQ16" s="357"/>
      <c r="BR16" s="357"/>
      <c r="BS16" s="357"/>
      <c r="BT16" s="357"/>
      <c r="BU16" s="357"/>
      <c r="BV16" s="357"/>
      <c r="BW16" s="357"/>
      <c r="BX16" s="357"/>
      <c r="BY16" s="357"/>
      <c r="BZ16" s="357"/>
      <c r="CA16" s="357"/>
      <c r="CB16" s="357"/>
      <c r="CC16" s="357"/>
      <c r="CD16" s="357"/>
      <c r="CE16" s="357"/>
      <c r="CF16" s="357"/>
      <c r="CG16" s="357"/>
      <c r="CH16" s="357"/>
      <c r="CI16" s="357"/>
      <c r="CJ16" s="357"/>
      <c r="CK16" s="357"/>
      <c r="CL16" s="357"/>
      <c r="CM16" s="357"/>
      <c r="CN16" s="357"/>
      <c r="CO16" s="357"/>
      <c r="CP16" s="357"/>
      <c r="CQ16" s="357"/>
      <c r="CR16" s="357"/>
      <c r="CS16" s="357"/>
      <c r="CT16" s="357"/>
      <c r="CU16" s="357"/>
      <c r="CV16" s="357"/>
      <c r="CW16" s="357"/>
      <c r="CX16" s="357"/>
      <c r="CY16" s="357"/>
      <c r="CZ16" s="357"/>
      <c r="DA16" s="357"/>
      <c r="DB16" s="357"/>
      <c r="DC16" s="357"/>
      <c r="DD16" s="357"/>
      <c r="DE16" s="357"/>
      <c r="DF16" s="357"/>
      <c r="DG16" s="357"/>
      <c r="DH16" s="357"/>
      <c r="DI16" s="357"/>
      <c r="DJ16" s="357"/>
      <c r="DK16" s="357"/>
      <c r="DL16" s="357"/>
      <c r="DM16" s="357"/>
      <c r="DN16" s="358">
        <f>SUM(I16:AR16)</f>
        <v>550000</v>
      </c>
    </row>
    <row r="17" spans="3:118" s="323" customFormat="1" ht="13.8" outlineLevel="1" x14ac:dyDescent="0.3">
      <c r="C17" s="355"/>
      <c r="D17" s="359"/>
      <c r="E17" s="359" t="s">
        <v>331</v>
      </c>
      <c r="F17" s="359"/>
      <c r="G17" s="359"/>
      <c r="H17" s="359"/>
      <c r="I17" s="360">
        <f t="shared" ref="I17:AR17" si="3">I10-SUM(I14:I16)</f>
        <v>-1175000</v>
      </c>
      <c r="J17" s="360">
        <f t="shared" si="3"/>
        <v>0</v>
      </c>
      <c r="K17" s="360">
        <f t="shared" si="3"/>
        <v>-1175000</v>
      </c>
      <c r="L17" s="360">
        <f t="shared" si="3"/>
        <v>0</v>
      </c>
      <c r="M17" s="360">
        <f t="shared" si="3"/>
        <v>56027.416666666541</v>
      </c>
      <c r="N17" s="360">
        <f t="shared" si="3"/>
        <v>347062.05038194446</v>
      </c>
      <c r="O17" s="360">
        <f t="shared" si="3"/>
        <v>295311.54161413485</v>
      </c>
      <c r="P17" s="360">
        <f t="shared" si="3"/>
        <v>-521295.40868141991</v>
      </c>
      <c r="Q17" s="360">
        <f t="shared" si="3"/>
        <v>90563.919333185506</v>
      </c>
      <c r="R17" s="360">
        <f t="shared" si="3"/>
        <v>133985.80036123988</v>
      </c>
      <c r="S17" s="360">
        <f t="shared" si="3"/>
        <v>139599.43794743303</v>
      </c>
      <c r="T17" s="360">
        <f t="shared" si="3"/>
        <v>119735.76683118354</v>
      </c>
      <c r="U17" s="360">
        <f t="shared" si="3"/>
        <v>-21660.326681402912</v>
      </c>
      <c r="V17" s="360">
        <f t="shared" si="3"/>
        <v>-23959.947600964028</v>
      </c>
      <c r="W17" s="360">
        <f t="shared" si="3"/>
        <v>0</v>
      </c>
      <c r="X17" s="360">
        <f t="shared" si="3"/>
        <v>0</v>
      </c>
      <c r="Y17" s="360">
        <f t="shared" si="3"/>
        <v>0</v>
      </c>
      <c r="Z17" s="360">
        <f t="shared" si="3"/>
        <v>-24535.850847936614</v>
      </c>
      <c r="AA17" s="360">
        <f t="shared" si="3"/>
        <v>-21119.716333816112</v>
      </c>
      <c r="AB17" s="360">
        <f t="shared" si="3"/>
        <v>-18762.937421458817</v>
      </c>
      <c r="AC17" s="360">
        <f t="shared" si="3"/>
        <v>34785.699323954643</v>
      </c>
      <c r="AD17" s="360">
        <f t="shared" si="3"/>
        <v>-13741.397223064057</v>
      </c>
      <c r="AE17" s="360">
        <f t="shared" si="3"/>
        <v>-18151.126617746653</v>
      </c>
      <c r="AF17" s="360">
        <f t="shared" si="3"/>
        <v>12081.663629862851</v>
      </c>
      <c r="AG17" s="360">
        <f t="shared" si="3"/>
        <v>0</v>
      </c>
      <c r="AH17" s="360">
        <f t="shared" si="3"/>
        <v>0</v>
      </c>
      <c r="AI17" s="360">
        <f t="shared" si="3"/>
        <v>0</v>
      </c>
      <c r="AJ17" s="360">
        <f t="shared" si="3"/>
        <v>0</v>
      </c>
      <c r="AK17" s="360">
        <f t="shared" si="3"/>
        <v>0</v>
      </c>
      <c r="AL17" s="360">
        <f t="shared" si="3"/>
        <v>0</v>
      </c>
      <c r="AM17" s="360">
        <f t="shared" si="3"/>
        <v>0</v>
      </c>
      <c r="AN17" s="360">
        <f t="shared" si="3"/>
        <v>-23166.668449167268</v>
      </c>
      <c r="AO17" s="360">
        <f t="shared" si="3"/>
        <v>36390.495425610163</v>
      </c>
      <c r="AP17" s="360">
        <f t="shared" si="3"/>
        <v>-18082.89648560376</v>
      </c>
      <c r="AQ17" s="360">
        <f t="shared" si="3"/>
        <v>-22611.386082781457</v>
      </c>
      <c r="AR17" s="360">
        <f t="shared" si="3"/>
        <v>-18285.068270620566</v>
      </c>
      <c r="AS17" s="360">
        <f t="shared" ref="AS17:BD17" si="4">AS10-SUM(AS14:AS16)</f>
        <v>0</v>
      </c>
      <c r="AT17" s="360">
        <f t="shared" si="4"/>
        <v>0</v>
      </c>
      <c r="AU17" s="360">
        <f t="shared" si="4"/>
        <v>0</v>
      </c>
      <c r="AV17" s="360">
        <f t="shared" si="4"/>
        <v>0</v>
      </c>
      <c r="AW17" s="360">
        <f t="shared" si="4"/>
        <v>0</v>
      </c>
      <c r="AX17" s="360">
        <f t="shared" si="4"/>
        <v>0</v>
      </c>
      <c r="AY17" s="360">
        <f t="shared" si="4"/>
        <v>0</v>
      </c>
      <c r="AZ17" s="360">
        <f t="shared" si="4"/>
        <v>-23374.293259711831</v>
      </c>
      <c r="BA17" s="360">
        <f t="shared" si="4"/>
        <v>42928.03691864881</v>
      </c>
      <c r="BB17" s="360">
        <f t="shared" si="4"/>
        <v>-18699.219455745249</v>
      </c>
      <c r="BC17" s="360">
        <f t="shared" si="4"/>
        <v>-22773.778276436562</v>
      </c>
      <c r="BD17" s="360">
        <f t="shared" si="4"/>
        <v>-23731.974021125025</v>
      </c>
      <c r="BE17" s="360"/>
      <c r="BF17" s="360"/>
      <c r="BG17" s="360"/>
      <c r="BH17" s="360"/>
      <c r="BI17" s="360"/>
      <c r="BJ17" s="360"/>
      <c r="BK17" s="360"/>
      <c r="BL17" s="360"/>
      <c r="BM17" s="360"/>
      <c r="BN17" s="360"/>
      <c r="BO17" s="360"/>
      <c r="BP17" s="360"/>
      <c r="BQ17" s="360"/>
      <c r="BR17" s="360"/>
      <c r="BS17" s="360"/>
      <c r="BT17" s="360"/>
      <c r="BU17" s="360"/>
      <c r="BV17" s="360"/>
      <c r="BW17" s="360"/>
      <c r="BX17" s="360"/>
      <c r="BY17" s="360"/>
      <c r="BZ17" s="360"/>
      <c r="CA17" s="360"/>
      <c r="CB17" s="360"/>
      <c r="CC17" s="360"/>
      <c r="CD17" s="360"/>
      <c r="CE17" s="360"/>
      <c r="CF17" s="360"/>
      <c r="CG17" s="360"/>
      <c r="CH17" s="360"/>
      <c r="CI17" s="360"/>
      <c r="CJ17" s="360"/>
      <c r="CK17" s="360"/>
      <c r="CL17" s="360"/>
      <c r="CM17" s="360"/>
      <c r="CN17" s="360"/>
      <c r="CO17" s="360"/>
      <c r="CP17" s="360"/>
      <c r="CQ17" s="360"/>
      <c r="CR17" s="360"/>
      <c r="CS17" s="360"/>
      <c r="CT17" s="360"/>
      <c r="CU17" s="360"/>
      <c r="CV17" s="360"/>
      <c r="CW17" s="360"/>
      <c r="CX17" s="360"/>
      <c r="CY17" s="360"/>
      <c r="CZ17" s="360"/>
      <c r="DA17" s="360"/>
      <c r="DB17" s="360"/>
      <c r="DC17" s="360"/>
      <c r="DD17" s="360"/>
      <c r="DE17" s="360"/>
      <c r="DF17" s="360"/>
      <c r="DG17" s="360"/>
      <c r="DH17" s="360"/>
      <c r="DI17" s="360"/>
      <c r="DJ17" s="360"/>
      <c r="DK17" s="360"/>
      <c r="DL17" s="360"/>
      <c r="DM17" s="360"/>
      <c r="DN17" s="361">
        <f>SUM(I17:AR17)</f>
        <v>-1829828.9391807669</v>
      </c>
    </row>
    <row r="18" spans="3:118" s="323" customFormat="1" ht="14.4" outlineLevel="1" thickBot="1" x14ac:dyDescent="0.35">
      <c r="C18" s="367"/>
      <c r="D18" s="368" t="s">
        <v>332</v>
      </c>
      <c r="E18" s="368"/>
      <c r="F18" s="368"/>
      <c r="G18" s="368"/>
      <c r="H18" s="368"/>
      <c r="I18" s="369">
        <f t="shared" ref="I18:AR18" si="5">SUM(I14:I17)</f>
        <v>0</v>
      </c>
      <c r="J18" s="369">
        <f t="shared" si="5"/>
        <v>0</v>
      </c>
      <c r="K18" s="369">
        <f t="shared" si="5"/>
        <v>0</v>
      </c>
      <c r="L18" s="369">
        <f t="shared" si="5"/>
        <v>0</v>
      </c>
      <c r="M18" s="369">
        <f t="shared" si="5"/>
        <v>81027.416666666541</v>
      </c>
      <c r="N18" s="369">
        <f t="shared" si="5"/>
        <v>372062.05038194446</v>
      </c>
      <c r="O18" s="369">
        <f t="shared" si="5"/>
        <v>320311.54161413485</v>
      </c>
      <c r="P18" s="369">
        <f t="shared" si="5"/>
        <v>678704.59131858009</v>
      </c>
      <c r="Q18" s="369">
        <f t="shared" si="5"/>
        <v>115563.91933318551</v>
      </c>
      <c r="R18" s="369">
        <f t="shared" si="5"/>
        <v>158985.80036123988</v>
      </c>
      <c r="S18" s="369">
        <f t="shared" si="5"/>
        <v>164599.43794743303</v>
      </c>
      <c r="T18" s="369">
        <f t="shared" si="5"/>
        <v>144735.76683118354</v>
      </c>
      <c r="U18" s="369">
        <f t="shared" si="5"/>
        <v>3339.6733185970879</v>
      </c>
      <c r="V18" s="369">
        <f t="shared" si="5"/>
        <v>1040.0523990359725</v>
      </c>
      <c r="W18" s="369">
        <f t="shared" si="5"/>
        <v>0</v>
      </c>
      <c r="X18" s="369">
        <f t="shared" si="5"/>
        <v>0</v>
      </c>
      <c r="Y18" s="369">
        <f t="shared" si="5"/>
        <v>0</v>
      </c>
      <c r="Z18" s="369">
        <f t="shared" si="5"/>
        <v>464.14915206338628</v>
      </c>
      <c r="AA18" s="369">
        <f t="shared" si="5"/>
        <v>3880.2836661838883</v>
      </c>
      <c r="AB18" s="369">
        <f t="shared" si="5"/>
        <v>6237.062578541183</v>
      </c>
      <c r="AC18" s="369">
        <f t="shared" si="5"/>
        <v>59785.699323954643</v>
      </c>
      <c r="AD18" s="369">
        <f t="shared" si="5"/>
        <v>11258.602776935943</v>
      </c>
      <c r="AE18" s="369">
        <f t="shared" si="5"/>
        <v>6848.8733822533468</v>
      </c>
      <c r="AF18" s="369">
        <f t="shared" si="5"/>
        <v>37081.663629862851</v>
      </c>
      <c r="AG18" s="369">
        <f t="shared" si="5"/>
        <v>0</v>
      </c>
      <c r="AH18" s="369">
        <f t="shared" si="5"/>
        <v>0</v>
      </c>
      <c r="AI18" s="369">
        <f t="shared" si="5"/>
        <v>0</v>
      </c>
      <c r="AJ18" s="369">
        <f t="shared" si="5"/>
        <v>0</v>
      </c>
      <c r="AK18" s="369">
        <f t="shared" si="5"/>
        <v>0</v>
      </c>
      <c r="AL18" s="369">
        <f t="shared" si="5"/>
        <v>0</v>
      </c>
      <c r="AM18" s="369">
        <f t="shared" si="5"/>
        <v>0</v>
      </c>
      <c r="AN18" s="369">
        <f t="shared" si="5"/>
        <v>1833.3315508327323</v>
      </c>
      <c r="AO18" s="369">
        <f t="shared" si="5"/>
        <v>61390.495425610163</v>
      </c>
      <c r="AP18" s="369">
        <f t="shared" si="5"/>
        <v>6917.1035143962399</v>
      </c>
      <c r="AQ18" s="369">
        <f t="shared" si="5"/>
        <v>2388.6139172185431</v>
      </c>
      <c r="AR18" s="369">
        <f t="shared" si="5"/>
        <v>6714.9317293794338</v>
      </c>
      <c r="AS18" s="369">
        <f t="shared" ref="AS18:BD18" si="6">SUM(AS14:AS17)</f>
        <v>0</v>
      </c>
      <c r="AT18" s="369">
        <f t="shared" si="6"/>
        <v>0</v>
      </c>
      <c r="AU18" s="369">
        <f t="shared" si="6"/>
        <v>0</v>
      </c>
      <c r="AV18" s="369">
        <f t="shared" si="6"/>
        <v>0</v>
      </c>
      <c r="AW18" s="369">
        <f t="shared" si="6"/>
        <v>0</v>
      </c>
      <c r="AX18" s="369">
        <f t="shared" si="6"/>
        <v>0</v>
      </c>
      <c r="AY18" s="369">
        <f t="shared" si="6"/>
        <v>0</v>
      </c>
      <c r="AZ18" s="369">
        <f t="shared" si="6"/>
        <v>1625.7067402881694</v>
      </c>
      <c r="BA18" s="369">
        <f t="shared" si="6"/>
        <v>67928.03691864881</v>
      </c>
      <c r="BB18" s="369">
        <f t="shared" si="6"/>
        <v>6300.7805442547506</v>
      </c>
      <c r="BC18" s="369">
        <f t="shared" si="6"/>
        <v>2226.221723563438</v>
      </c>
      <c r="BD18" s="369">
        <f t="shared" si="6"/>
        <v>1268.0259788749754</v>
      </c>
      <c r="BE18" s="369"/>
      <c r="BF18" s="369"/>
      <c r="BG18" s="369"/>
      <c r="BH18" s="369"/>
      <c r="BI18" s="369"/>
      <c r="BJ18" s="369"/>
      <c r="BK18" s="369"/>
      <c r="BL18" s="369"/>
      <c r="BM18" s="369"/>
      <c r="BN18" s="369"/>
      <c r="BO18" s="369"/>
      <c r="BP18" s="369"/>
      <c r="BQ18" s="369"/>
      <c r="BR18" s="369"/>
      <c r="BS18" s="369"/>
      <c r="BT18" s="369"/>
      <c r="BU18" s="369"/>
      <c r="BV18" s="369"/>
      <c r="BW18" s="369"/>
      <c r="BX18" s="369"/>
      <c r="BY18" s="369"/>
      <c r="BZ18" s="369"/>
      <c r="CA18" s="369"/>
      <c r="CB18" s="369"/>
      <c r="CC18" s="369"/>
      <c r="CD18" s="369"/>
      <c r="CE18" s="369"/>
      <c r="CF18" s="369"/>
      <c r="CG18" s="369"/>
      <c r="CH18" s="369"/>
      <c r="CI18" s="369"/>
      <c r="CJ18" s="369"/>
      <c r="CK18" s="369"/>
      <c r="CL18" s="369"/>
      <c r="CM18" s="369"/>
      <c r="CN18" s="369"/>
      <c r="CO18" s="369"/>
      <c r="CP18" s="369"/>
      <c r="CQ18" s="369"/>
      <c r="CR18" s="369"/>
      <c r="CS18" s="369"/>
      <c r="CT18" s="369"/>
      <c r="CU18" s="369"/>
      <c r="CV18" s="369"/>
      <c r="CW18" s="369"/>
      <c r="CX18" s="369"/>
      <c r="CY18" s="369"/>
      <c r="CZ18" s="369"/>
      <c r="DA18" s="369"/>
      <c r="DB18" s="369"/>
      <c r="DC18" s="369"/>
      <c r="DD18" s="369"/>
      <c r="DE18" s="369"/>
      <c r="DF18" s="369"/>
      <c r="DG18" s="369"/>
      <c r="DH18" s="369"/>
      <c r="DI18" s="369"/>
      <c r="DJ18" s="369"/>
      <c r="DK18" s="369"/>
      <c r="DL18" s="369"/>
      <c r="DM18" s="369"/>
      <c r="DN18" s="370">
        <f>SUM(I18:AR18)</f>
        <v>2245171.0608192338</v>
      </c>
    </row>
    <row r="19" spans="3:118" s="323" customFormat="1" ht="13.8" x14ac:dyDescent="0.3">
      <c r="I19" s="340"/>
      <c r="J19" s="340"/>
      <c r="K19" s="340"/>
      <c r="L19" s="340"/>
      <c r="M19" s="340"/>
      <c r="N19" s="340"/>
      <c r="O19" s="340"/>
      <c r="P19" s="340"/>
      <c r="Q19" s="340"/>
      <c r="R19" s="340"/>
      <c r="S19" s="340"/>
      <c r="T19" s="340"/>
      <c r="U19" s="340"/>
      <c r="V19" s="340"/>
      <c r="W19" s="340"/>
      <c r="X19" s="340"/>
      <c r="Y19" s="340"/>
      <c r="Z19" s="340"/>
      <c r="AA19" s="340"/>
      <c r="AB19" s="340"/>
      <c r="AC19" s="340"/>
      <c r="AD19" s="340"/>
      <c r="AE19" s="340"/>
      <c r="AF19" s="340"/>
      <c r="AG19" s="340"/>
      <c r="AH19" s="340"/>
      <c r="AI19" s="340"/>
      <c r="AJ19" s="340"/>
      <c r="AK19" s="340"/>
      <c r="AL19" s="340"/>
      <c r="AM19" s="340"/>
      <c r="AN19" s="340"/>
      <c r="AO19" s="340"/>
      <c r="AP19" s="340"/>
      <c r="AQ19" s="340"/>
      <c r="AR19" s="340"/>
      <c r="AS19" s="340"/>
      <c r="AT19" s="340"/>
      <c r="AU19" s="340"/>
      <c r="AV19" s="340"/>
      <c r="AW19" s="340"/>
      <c r="AX19" s="340"/>
      <c r="AY19" s="340"/>
      <c r="AZ19" s="340"/>
      <c r="BA19" s="340"/>
      <c r="BB19" s="340"/>
      <c r="BC19" s="340"/>
      <c r="BD19" s="340"/>
      <c r="BE19" s="340"/>
      <c r="BF19" s="340"/>
      <c r="BG19" s="340"/>
      <c r="BH19" s="340"/>
      <c r="BI19" s="340"/>
      <c r="BJ19" s="340"/>
      <c r="BK19" s="340"/>
      <c r="BL19" s="340"/>
      <c r="BM19" s="340"/>
      <c r="BN19" s="340"/>
      <c r="BO19" s="340"/>
      <c r="BP19" s="340"/>
      <c r="BQ19" s="340"/>
      <c r="BR19" s="340"/>
      <c r="BS19" s="340"/>
      <c r="BT19" s="340"/>
      <c r="BU19" s="340"/>
      <c r="BV19" s="340"/>
      <c r="BW19" s="340"/>
      <c r="BX19" s="340"/>
      <c r="BY19" s="340"/>
      <c r="BZ19" s="340"/>
      <c r="CA19" s="340"/>
      <c r="CB19" s="340"/>
      <c r="CC19" s="340"/>
      <c r="CD19" s="340"/>
      <c r="CE19" s="340"/>
      <c r="CF19" s="340"/>
      <c r="CG19" s="340"/>
      <c r="CH19" s="340"/>
      <c r="CI19" s="340"/>
      <c r="CJ19" s="340"/>
      <c r="CK19" s="340"/>
      <c r="CL19" s="340"/>
      <c r="CM19" s="340"/>
      <c r="CN19" s="340"/>
      <c r="CO19" s="340"/>
      <c r="CP19" s="340"/>
      <c r="CQ19" s="340"/>
      <c r="CR19" s="340"/>
      <c r="CS19" s="340"/>
      <c r="CT19" s="340"/>
      <c r="CU19" s="340"/>
      <c r="CV19" s="340"/>
      <c r="CW19" s="340"/>
      <c r="CX19" s="340"/>
      <c r="CY19" s="340"/>
      <c r="CZ19" s="340"/>
      <c r="DA19" s="340"/>
      <c r="DB19" s="340"/>
      <c r="DC19" s="340"/>
      <c r="DD19" s="340"/>
      <c r="DE19" s="340"/>
      <c r="DF19" s="340"/>
      <c r="DG19" s="340"/>
      <c r="DH19" s="340"/>
      <c r="DI19" s="340"/>
      <c r="DJ19" s="340"/>
      <c r="DK19" s="340"/>
      <c r="DL19" s="340"/>
      <c r="DM19" s="340"/>
      <c r="DN19" s="340"/>
    </row>
  </sheetData>
  <mergeCells count="9">
    <mergeCell ref="CC2:CN2"/>
    <mergeCell ref="CO2:CZ2"/>
    <mergeCell ref="DA2:DL2"/>
    <mergeCell ref="AS2:BD2"/>
    <mergeCell ref="I2:T2"/>
    <mergeCell ref="U2:AF2"/>
    <mergeCell ref="AG2:AR2"/>
    <mergeCell ref="BE2:BP2"/>
    <mergeCell ref="BQ2:CB2"/>
  </mergeCell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69EF8-DC51-4B4F-A8CE-FE72EEF23242}">
  <dimension ref="B2:Y119"/>
  <sheetViews>
    <sheetView topLeftCell="A78" workbookViewId="0"/>
  </sheetViews>
  <sheetFormatPr defaultColWidth="9.109375" defaultRowHeight="13.8" x14ac:dyDescent="0.3"/>
  <cols>
    <col min="1" max="3" width="1.77734375" style="543" customWidth="1"/>
    <col min="4" max="17" width="9.109375" style="543"/>
    <col min="18" max="18" width="11.21875" style="543" bestFit="1" customWidth="1"/>
    <col min="19" max="16384" width="9.109375" style="543"/>
  </cols>
  <sheetData>
    <row r="2" spans="2:4" x14ac:dyDescent="0.3">
      <c r="B2" s="543" t="s">
        <v>462</v>
      </c>
    </row>
    <row r="3" spans="2:4" x14ac:dyDescent="0.3">
      <c r="C3" s="543" t="s">
        <v>693</v>
      </c>
    </row>
    <row r="4" spans="2:4" x14ac:dyDescent="0.3">
      <c r="D4" s="543" t="s">
        <v>694</v>
      </c>
    </row>
    <row r="21" spans="4:4" x14ac:dyDescent="0.3">
      <c r="D21" s="543" t="s">
        <v>695</v>
      </c>
    </row>
    <row r="35" spans="2:25" ht="14.4" thickBot="1" x14ac:dyDescent="0.35">
      <c r="B35" s="816"/>
      <c r="C35" s="816"/>
      <c r="D35" s="816"/>
      <c r="E35" s="816"/>
      <c r="F35" s="816"/>
      <c r="G35" s="816"/>
      <c r="H35" s="816"/>
      <c r="I35" s="816"/>
      <c r="J35" s="816"/>
      <c r="K35" s="816"/>
      <c r="L35" s="816"/>
      <c r="M35" s="816"/>
      <c r="N35" s="816"/>
      <c r="O35" s="816"/>
      <c r="P35" s="816"/>
      <c r="Q35" s="816"/>
      <c r="R35" s="816"/>
      <c r="S35" s="816"/>
      <c r="T35" s="816"/>
      <c r="U35" s="816"/>
      <c r="V35" s="816"/>
      <c r="W35" s="816"/>
      <c r="X35" s="816"/>
      <c r="Y35" s="816"/>
    </row>
    <row r="37" spans="2:25" x14ac:dyDescent="0.3">
      <c r="B37" s="543" t="s">
        <v>768</v>
      </c>
    </row>
    <row r="40" spans="2:25" x14ac:dyDescent="0.3">
      <c r="R40" s="543" t="s">
        <v>696</v>
      </c>
    </row>
    <row r="41" spans="2:25" x14ac:dyDescent="0.3">
      <c r="R41" s="674">
        <v>12</v>
      </c>
    </row>
    <row r="42" spans="2:25" x14ac:dyDescent="0.3">
      <c r="R42" s="674">
        <v>10</v>
      </c>
    </row>
    <row r="43" spans="2:25" x14ac:dyDescent="0.3">
      <c r="R43" s="674">
        <v>30</v>
      </c>
    </row>
    <row r="44" spans="2:25" x14ac:dyDescent="0.3">
      <c r="R44" s="674">
        <v>40</v>
      </c>
    </row>
    <row r="45" spans="2:25" x14ac:dyDescent="0.3">
      <c r="R45" s="674">
        <v>50</v>
      </c>
    </row>
    <row r="46" spans="2:25" x14ac:dyDescent="0.3">
      <c r="R46" s="674">
        <v>20</v>
      </c>
    </row>
    <row r="47" spans="2:25" x14ac:dyDescent="0.3">
      <c r="R47" s="674">
        <v>45</v>
      </c>
    </row>
    <row r="48" spans="2:25" x14ac:dyDescent="0.3">
      <c r="R48" s="674">
        <v>15</v>
      </c>
    </row>
    <row r="49" spans="17:18" x14ac:dyDescent="0.3">
      <c r="R49" s="674">
        <v>75</v>
      </c>
    </row>
    <row r="50" spans="17:18" x14ac:dyDescent="0.3">
      <c r="R50" s="674">
        <v>20</v>
      </c>
    </row>
    <row r="51" spans="17:18" x14ac:dyDescent="0.3">
      <c r="R51" s="674">
        <v>50</v>
      </c>
    </row>
    <row r="52" spans="17:18" x14ac:dyDescent="0.3">
      <c r="R52" s="674">
        <v>50</v>
      </c>
    </row>
    <row r="53" spans="17:18" x14ac:dyDescent="0.3">
      <c r="R53" s="674">
        <v>50</v>
      </c>
    </row>
    <row r="54" spans="17:18" x14ac:dyDescent="0.3">
      <c r="R54" s="674">
        <v>50</v>
      </c>
    </row>
    <row r="55" spans="17:18" x14ac:dyDescent="0.3">
      <c r="R55" s="674">
        <v>40</v>
      </c>
    </row>
    <row r="56" spans="17:18" x14ac:dyDescent="0.3">
      <c r="R56" s="674">
        <v>25</v>
      </c>
    </row>
    <row r="57" spans="17:18" x14ac:dyDescent="0.3">
      <c r="R57" s="674">
        <v>50</v>
      </c>
    </row>
    <row r="58" spans="17:18" x14ac:dyDescent="0.3">
      <c r="R58" s="674">
        <v>45</v>
      </c>
    </row>
    <row r="59" spans="17:18" x14ac:dyDescent="0.3">
      <c r="R59" s="674">
        <v>30</v>
      </c>
    </row>
    <row r="60" spans="17:18" x14ac:dyDescent="0.3">
      <c r="R60" s="674">
        <v>50</v>
      </c>
    </row>
    <row r="61" spans="17:18" x14ac:dyDescent="0.3">
      <c r="R61" s="674">
        <v>35</v>
      </c>
    </row>
    <row r="62" spans="17:18" x14ac:dyDescent="0.3">
      <c r="R62" s="674">
        <v>40</v>
      </c>
    </row>
    <row r="63" spans="17:18" x14ac:dyDescent="0.3">
      <c r="R63" s="683">
        <v>35</v>
      </c>
    </row>
    <row r="64" spans="17:18" x14ac:dyDescent="0.3">
      <c r="Q64" s="741" t="s">
        <v>691</v>
      </c>
      <c r="R64" s="546">
        <f>AVERAGE(R41:R63)</f>
        <v>37.695652173913047</v>
      </c>
    </row>
    <row r="65" spans="2:25" x14ac:dyDescent="0.3">
      <c r="Q65" s="741" t="s">
        <v>697</v>
      </c>
      <c r="R65" s="546">
        <f>MIN(R41:R64)</f>
        <v>10</v>
      </c>
    </row>
    <row r="66" spans="2:25" x14ac:dyDescent="0.3">
      <c r="Q66" s="741" t="s">
        <v>692</v>
      </c>
      <c r="R66" s="546">
        <f>MAX(R41:R65)</f>
        <v>75</v>
      </c>
    </row>
    <row r="77" spans="2:25" ht="14.4" thickBot="1" x14ac:dyDescent="0.35">
      <c r="B77" s="816"/>
      <c r="C77" s="816"/>
      <c r="D77" s="816"/>
      <c r="E77" s="816"/>
      <c r="F77" s="816"/>
      <c r="G77" s="816"/>
      <c r="H77" s="816"/>
      <c r="I77" s="816"/>
      <c r="J77" s="816"/>
      <c r="K77" s="816"/>
      <c r="L77" s="816"/>
      <c r="M77" s="816"/>
      <c r="N77" s="816"/>
      <c r="O77" s="816"/>
      <c r="P77" s="816"/>
      <c r="Q77" s="816"/>
      <c r="R77" s="816"/>
      <c r="S77" s="816"/>
      <c r="T77" s="816"/>
      <c r="U77" s="816"/>
      <c r="V77" s="816"/>
      <c r="W77" s="816"/>
      <c r="X77" s="816"/>
      <c r="Y77" s="816"/>
    </row>
    <row r="79" spans="2:25" x14ac:dyDescent="0.3">
      <c r="B79" s="543" t="s">
        <v>766</v>
      </c>
    </row>
    <row r="80" spans="2:25" x14ac:dyDescent="0.3">
      <c r="C80" s="543" t="s">
        <v>767</v>
      </c>
    </row>
    <row r="82" spans="2:25" ht="14.4" thickBot="1" x14ac:dyDescent="0.35">
      <c r="B82" s="816"/>
      <c r="C82" s="816"/>
      <c r="D82" s="816"/>
      <c r="E82" s="816"/>
      <c r="F82" s="816"/>
      <c r="G82" s="816"/>
      <c r="H82" s="816"/>
      <c r="I82" s="816"/>
      <c r="J82" s="816"/>
      <c r="K82" s="816"/>
      <c r="L82" s="816"/>
      <c r="M82" s="816"/>
      <c r="N82" s="816"/>
      <c r="O82" s="816"/>
      <c r="P82" s="816"/>
      <c r="Q82" s="816"/>
      <c r="R82" s="816"/>
      <c r="S82" s="816"/>
      <c r="T82" s="816"/>
      <c r="U82" s="816"/>
      <c r="V82" s="816"/>
      <c r="W82" s="816"/>
      <c r="X82" s="816"/>
      <c r="Y82" s="816"/>
    </row>
    <row r="84" spans="2:25" x14ac:dyDescent="0.3">
      <c r="B84" s="543" t="s">
        <v>770</v>
      </c>
    </row>
    <row r="100" spans="3:3" x14ac:dyDescent="0.3">
      <c r="C100" s="543" t="s">
        <v>771</v>
      </c>
    </row>
    <row r="119" spans="3:3" x14ac:dyDescent="0.3">
      <c r="C119" s="543" t="s">
        <v>772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<?xml version="1.0" encoding="utf-8"?>
<ArgusExcelOBA xmlns="urn:argussoftware-com.Argus.ExcelOBA"/>
</file>

<file path=customXml/itemProps1.xml><?xml version="1.0" encoding="utf-8"?>
<ds:datastoreItem xmlns:ds="http://schemas.openxmlformats.org/officeDocument/2006/customXml" ds:itemID="{F4D12532-8AA2-47ED-9AF5-7B694065A327}">
  <ds:schemaRefs>
    <ds:schemaRef ds:uri="http://www.w3.org/2001/XMLSchema"/>
    <ds:schemaRef ds:uri="http://microsoft.data.visualization.Client.Excel/1.0"/>
  </ds:schemaRefs>
</ds:datastoreItem>
</file>

<file path=customXml/itemProps2.xml><?xml version="1.0" encoding="utf-8"?>
<ds:datastoreItem xmlns:ds="http://schemas.openxmlformats.org/officeDocument/2006/customXml" ds:itemID="{8EC1AF31-839A-4C17-A547-8E8F31E60D31}">
  <ds:schemaRefs>
    <ds:schemaRef ds:uri="http://www.w3.org/2001/XMLSchema"/>
    <ds:schemaRef ds:uri="http://microsoft.data.visualization.engine.tours/1.0"/>
  </ds:schemaRefs>
</ds:datastoreItem>
</file>

<file path=customXml/itemProps3.xml><?xml version="1.0" encoding="utf-8"?>
<ds:datastoreItem xmlns:ds="http://schemas.openxmlformats.org/officeDocument/2006/customXml" ds:itemID="{BE4205B5-AF96-4A42-975A-44FB63686A68}">
  <ds:schemaRefs>
    <ds:schemaRef ds:uri="urn:argussoftware-com.Argus.ExcelOB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32</vt:i4>
      </vt:variant>
      <vt:variant>
        <vt:lpstr>Named Ranges</vt:lpstr>
      </vt:variant>
      <vt:variant>
        <vt:i4>13</vt:i4>
      </vt:variant>
    </vt:vector>
  </HeadingPairs>
  <TitlesOfParts>
    <vt:vector size="45" baseType="lpstr">
      <vt:lpstr>Table 1A</vt:lpstr>
      <vt:lpstr>Table 1.0</vt:lpstr>
      <vt:lpstr>Table 1.1</vt:lpstr>
      <vt:lpstr>Table 1.2</vt:lpstr>
      <vt:lpstr>Table 1.3</vt:lpstr>
      <vt:lpstr>Table 1.4</vt:lpstr>
      <vt:lpstr>Table 1.5</vt:lpstr>
      <vt:lpstr>Table 2</vt:lpstr>
      <vt:lpstr>Table 3.0</vt:lpstr>
      <vt:lpstr>CF0</vt:lpstr>
      <vt:lpstr>Distributions</vt:lpstr>
      <vt:lpstr>Monthly</vt:lpstr>
      <vt:lpstr>Labor</vt:lpstr>
      <vt:lpstr>Cost Curves</vt:lpstr>
      <vt:lpstr>Infrastructure</vt:lpstr>
      <vt:lpstr>Soft Costs</vt:lpstr>
      <vt:lpstr>Amenities</vt:lpstr>
      <vt:lpstr>Clubhouse</vt:lpstr>
      <vt:lpstr>FF&amp;E</vt:lpstr>
      <vt:lpstr>Windows &amp; Ext. Doors</vt:lpstr>
      <vt:lpstr>Equipment List</vt:lpstr>
      <vt:lpstr>Equip. Details</vt:lpstr>
      <vt:lpstr>C-Store</vt:lpstr>
      <vt:lpstr>Rent Roll</vt:lpstr>
      <vt:lpstr>Balances</vt:lpstr>
      <vt:lpstr>Perm Loan</vt:lpstr>
      <vt:lpstr>Members Capital</vt:lpstr>
      <vt:lpstr>Purchase Price</vt:lpstr>
      <vt:lpstr>Worksheet</vt:lpstr>
      <vt:lpstr>Org. &amp; Closing Costs</vt:lpstr>
      <vt:lpstr>Sources &amp; Uses</vt:lpstr>
      <vt:lpstr>Notes</vt:lpstr>
      <vt:lpstr>'Soft Costs'!Print_Area</vt:lpstr>
      <vt:lpstr>'Table 1.0'!Print_Area</vt:lpstr>
      <vt:lpstr>'Table 1.1'!Print_Area</vt:lpstr>
      <vt:lpstr>'Table 1.2'!Print_Area</vt:lpstr>
      <vt:lpstr>'Table 1.3'!Print_Area</vt:lpstr>
      <vt:lpstr>'Table 1.4'!Print_Area</vt:lpstr>
      <vt:lpstr>'Table 1.5'!Print_Area</vt:lpstr>
      <vt:lpstr>'Table 1A'!Print_Area</vt:lpstr>
      <vt:lpstr>'Table 2'!Print_Area</vt:lpstr>
      <vt:lpstr>'Table 3.0'!Print_Area</vt:lpstr>
      <vt:lpstr>Balances!Print_Titles</vt:lpstr>
      <vt:lpstr>Monthly!Print_Titles</vt:lpstr>
      <vt:lpstr>'Table 3.0'!Print_Titles</vt:lpstr>
    </vt:vector>
  </TitlesOfParts>
  <Company>Holualoa Arizona,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Cort Chalfant</dc:creator>
  <cp:lastModifiedBy>John Slack</cp:lastModifiedBy>
  <cp:lastPrinted>2023-01-16T15:26:15Z</cp:lastPrinted>
  <dcterms:created xsi:type="dcterms:W3CDTF">2005-06-15T17:52:16Z</dcterms:created>
  <dcterms:modified xsi:type="dcterms:W3CDTF">2024-09-08T02:59:52Z</dcterms:modified>
</cp:coreProperties>
</file>