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10563\Desktop\5190\ese5190-2022-lab2-into-the-void-star\"/>
    </mc:Choice>
  </mc:AlternateContent>
  <xr:revisionPtr revIDLastSave="0" documentId="13_ncr:1_{51B3532C-6763-432E-A126-E00EC3832C9D}" xr6:coauthVersionLast="47" xr6:coauthVersionMax="47" xr10:uidLastSave="{00000000-0000-0000-0000-000000000000}"/>
  <bookViews>
    <workbookView xWindow="-110" yWindow="-110" windowWidth="25820" windowHeight="15760" xr2:uid="{AE96FC25-AF25-467D-ACC8-B04C4DA6AF7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4"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4"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L18" i="1"/>
  <c r="M18" i="1" s="1"/>
  <c r="N18" i="1" s="1"/>
  <c r="C18" i="1" s="1"/>
  <c r="L19" i="1"/>
  <c r="L20" i="1"/>
  <c r="L21" i="1"/>
  <c r="L22" i="1"/>
  <c r="L23" i="1"/>
  <c r="L24" i="1"/>
  <c r="L25" i="1"/>
  <c r="L26" i="1"/>
  <c r="M26" i="1" s="1"/>
  <c r="N26" i="1" s="1"/>
  <c r="C26" i="1" s="1"/>
  <c r="L27" i="1"/>
  <c r="M27" i="1" s="1"/>
  <c r="N27" i="1" s="1"/>
  <c r="C27" i="1" s="1"/>
  <c r="L28" i="1"/>
  <c r="M28" i="1" s="1"/>
  <c r="N28" i="1" s="1"/>
  <c r="C28" i="1" s="1"/>
  <c r="L29" i="1"/>
  <c r="M29" i="1" s="1"/>
  <c r="N29" i="1" s="1"/>
  <c r="C29" i="1" s="1"/>
  <c r="L30" i="1"/>
  <c r="L31" i="1"/>
  <c r="L32" i="1"/>
  <c r="M32" i="1" s="1"/>
  <c r="N32" i="1" s="1"/>
  <c r="C32" i="1" s="1"/>
  <c r="L33" i="1"/>
  <c r="M33" i="1" s="1"/>
  <c r="N33" i="1" s="1"/>
  <c r="C33" i="1" s="1"/>
  <c r="L34" i="1"/>
  <c r="M34" i="1" s="1"/>
  <c r="N34" i="1" s="1"/>
  <c r="C34" i="1" s="1"/>
  <c r="L35" i="1"/>
  <c r="L36" i="1"/>
  <c r="L37" i="1"/>
  <c r="L38" i="1"/>
  <c r="L39" i="1"/>
  <c r="L40" i="1"/>
  <c r="L41" i="1"/>
  <c r="L42" i="1"/>
  <c r="M42" i="1" s="1"/>
  <c r="N42" i="1" s="1"/>
  <c r="C42" i="1" s="1"/>
  <c r="L43" i="1"/>
  <c r="M43" i="1" s="1"/>
  <c r="N43" i="1" s="1"/>
  <c r="C43" i="1" s="1"/>
  <c r="L44" i="1"/>
  <c r="M44" i="1" s="1"/>
  <c r="N44" i="1" s="1"/>
  <c r="C44" i="1" s="1"/>
  <c r="L45" i="1"/>
  <c r="M45" i="1" s="1"/>
  <c r="N45" i="1" s="1"/>
  <c r="C45" i="1" s="1"/>
  <c r="L46" i="1"/>
  <c r="L47" i="1"/>
  <c r="L48" i="1"/>
  <c r="M48" i="1" s="1"/>
  <c r="N48" i="1" s="1"/>
  <c r="C48" i="1" s="1"/>
  <c r="L49" i="1"/>
  <c r="M49" i="1" s="1"/>
  <c r="N49" i="1" s="1"/>
  <c r="C49" i="1" s="1"/>
  <c r="L50" i="1"/>
  <c r="M50" i="1" s="1"/>
  <c r="N50" i="1" s="1"/>
  <c r="C50" i="1" s="1"/>
  <c r="L51" i="1"/>
  <c r="L52" i="1"/>
  <c r="L53" i="1"/>
  <c r="L54" i="1"/>
  <c r="L55" i="1"/>
  <c r="L56" i="1"/>
  <c r="L57" i="1"/>
  <c r="L58" i="1"/>
  <c r="M58" i="1" s="1"/>
  <c r="N58" i="1" s="1"/>
  <c r="C58" i="1" s="1"/>
  <c r="L59" i="1"/>
  <c r="M59" i="1" s="1"/>
  <c r="N59" i="1" s="1"/>
  <c r="C59" i="1" s="1"/>
  <c r="L60" i="1"/>
  <c r="M60" i="1" s="1"/>
  <c r="N60" i="1" s="1"/>
  <c r="C60" i="1" s="1"/>
  <c r="L61" i="1"/>
  <c r="M61" i="1" s="1"/>
  <c r="N61" i="1" s="1"/>
  <c r="C61" i="1" s="1"/>
  <c r="L62" i="1"/>
  <c r="M62" i="1" s="1"/>
  <c r="N62" i="1" s="1"/>
  <c r="C62" i="1" s="1"/>
  <c r="L63" i="1"/>
  <c r="M63" i="1" s="1"/>
  <c r="N63" i="1" s="1"/>
  <c r="C63" i="1" s="1"/>
  <c r="L64" i="1"/>
  <c r="M64" i="1" s="1"/>
  <c r="N64" i="1" s="1"/>
  <c r="C64" i="1" s="1"/>
  <c r="L65" i="1"/>
  <c r="M65" i="1" s="1"/>
  <c r="N65" i="1" s="1"/>
  <c r="C65" i="1" s="1"/>
  <c r="L66" i="1"/>
  <c r="M66" i="1" s="1"/>
  <c r="N66" i="1" s="1"/>
  <c r="C66" i="1" s="1"/>
  <c r="L67" i="1"/>
  <c r="L68" i="1"/>
  <c r="L69" i="1"/>
  <c r="L70" i="1"/>
  <c r="L71" i="1"/>
  <c r="M71" i="1" s="1"/>
  <c r="N71" i="1" s="1"/>
  <c r="C71" i="1" s="1"/>
  <c r="L4"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A69" i="1"/>
  <c r="D69" i="1" s="1"/>
  <c r="A70" i="1"/>
  <c r="D70" i="1" s="1"/>
  <c r="A71" i="1"/>
  <c r="D71" i="1" s="1"/>
  <c r="K2" i="1"/>
  <c r="M69" i="1"/>
  <c r="N69" i="1" s="1"/>
  <c r="C69" i="1" s="1"/>
  <c r="M70" i="1"/>
  <c r="N70" i="1" s="1"/>
  <c r="C70" i="1" s="1"/>
  <c r="M67" i="1"/>
  <c r="N67" i="1" s="1"/>
  <c r="C67" i="1" s="1"/>
  <c r="M68" i="1"/>
  <c r="N68" i="1" s="1"/>
  <c r="C68" i="1" s="1"/>
  <c r="A68" i="1"/>
  <c r="D68" i="1" s="1"/>
  <c r="A59" i="1"/>
  <c r="D59" i="1" s="1"/>
  <c r="A60" i="1"/>
  <c r="D60" i="1" s="1"/>
  <c r="A61" i="1"/>
  <c r="D61" i="1" s="1"/>
  <c r="A62" i="1"/>
  <c r="D62" i="1" s="1"/>
  <c r="A63" i="1"/>
  <c r="D63" i="1" s="1"/>
  <c r="A64" i="1"/>
  <c r="D64" i="1" s="1"/>
  <c r="A65" i="1"/>
  <c r="D65" i="1" s="1"/>
  <c r="A66" i="1"/>
  <c r="D66" i="1" s="1"/>
  <c r="A67" i="1"/>
  <c r="D67" i="1" s="1"/>
  <c r="A49" i="1"/>
  <c r="D49" i="1" s="1"/>
  <c r="A50" i="1"/>
  <c r="D50" i="1" s="1"/>
  <c r="A51" i="1"/>
  <c r="D51" i="1" s="1"/>
  <c r="A52" i="1"/>
  <c r="D52" i="1" s="1"/>
  <c r="A53" i="1"/>
  <c r="D53" i="1" s="1"/>
  <c r="A54" i="1"/>
  <c r="D54" i="1" s="1"/>
  <c r="A55" i="1"/>
  <c r="D55" i="1" s="1"/>
  <c r="A56" i="1"/>
  <c r="D56" i="1" s="1"/>
  <c r="A57" i="1"/>
  <c r="D57" i="1" s="1"/>
  <c r="A58" i="1"/>
  <c r="D58" i="1" s="1"/>
  <c r="A48" i="1"/>
  <c r="D48" i="1" s="1"/>
  <c r="L12" i="1"/>
  <c r="M12" i="1" s="1"/>
  <c r="N12" i="1" s="1"/>
  <c r="C12" i="1" s="1"/>
  <c r="L13" i="1"/>
  <c r="M13" i="1" s="1"/>
  <c r="N13" i="1" s="1"/>
  <c r="C13" i="1" s="1"/>
  <c r="L14" i="1"/>
  <c r="M14" i="1" s="1"/>
  <c r="N14" i="1" s="1"/>
  <c r="C14" i="1" s="1"/>
  <c r="L15" i="1"/>
  <c r="M20" i="1"/>
  <c r="N20" i="1" s="1"/>
  <c r="C20" i="1" s="1"/>
  <c r="M24" i="1"/>
  <c r="N24" i="1" s="1"/>
  <c r="C24" i="1" s="1"/>
  <c r="M25" i="1"/>
  <c r="N25" i="1" s="1"/>
  <c r="C25" i="1" s="1"/>
  <c r="M31" i="1"/>
  <c r="N31" i="1" s="1"/>
  <c r="C31" i="1" s="1"/>
  <c r="M40" i="1"/>
  <c r="N40" i="1" s="1"/>
  <c r="C40" i="1" s="1"/>
  <c r="M41" i="1"/>
  <c r="N41" i="1" s="1"/>
  <c r="C41" i="1" s="1"/>
  <c r="L5" i="1"/>
  <c r="M5" i="1" s="1"/>
  <c r="N5" i="1" s="1"/>
  <c r="C5" i="1" s="1"/>
  <c r="L6" i="1"/>
  <c r="L7" i="1"/>
  <c r="L8" i="1"/>
  <c r="L9" i="1"/>
  <c r="M9" i="1" s="1"/>
  <c r="N9" i="1" s="1"/>
  <c r="C9" i="1" s="1"/>
  <c r="L10" i="1"/>
  <c r="M10" i="1" s="1"/>
  <c r="N10" i="1" s="1"/>
  <c r="C10" i="1" s="1"/>
  <c r="L11" i="1"/>
  <c r="M11" i="1" s="1"/>
  <c r="N11" i="1" s="1"/>
  <c r="C11" i="1" s="1"/>
  <c r="M4" i="1"/>
  <c r="N4" i="1" s="1"/>
  <c r="C4" i="1" s="1"/>
  <c r="M21" i="1"/>
  <c r="N21" i="1" s="1"/>
  <c r="C21" i="1" s="1"/>
  <c r="M22" i="1"/>
  <c r="N22" i="1" s="1"/>
  <c r="C22" i="1" s="1"/>
  <c r="M23" i="1"/>
  <c r="N23" i="1" s="1"/>
  <c r="C23" i="1" s="1"/>
  <c r="M30" i="1"/>
  <c r="N30" i="1" s="1"/>
  <c r="C30" i="1" s="1"/>
  <c r="M35" i="1"/>
  <c r="N35" i="1" s="1"/>
  <c r="C35" i="1" s="1"/>
  <c r="M36" i="1"/>
  <c r="N36" i="1" s="1"/>
  <c r="C36" i="1" s="1"/>
  <c r="M37" i="1"/>
  <c r="N37" i="1" s="1"/>
  <c r="C37" i="1" s="1"/>
  <c r="M38" i="1"/>
  <c r="N38" i="1" s="1"/>
  <c r="C38" i="1" s="1"/>
  <c r="M39" i="1"/>
  <c r="N39" i="1" s="1"/>
  <c r="C39" i="1" s="1"/>
  <c r="M19" i="1"/>
  <c r="N19" i="1" s="1"/>
  <c r="C19" i="1" s="1"/>
  <c r="L16" i="1"/>
  <c r="M53" i="1"/>
  <c r="N53" i="1" s="1"/>
  <c r="C53" i="1" s="1"/>
  <c r="M52" i="1"/>
  <c r="N52" i="1" s="1"/>
  <c r="C52" i="1" s="1"/>
  <c r="M51" i="1"/>
  <c r="N51" i="1" s="1"/>
  <c r="C51" i="1" s="1"/>
  <c r="M47" i="1"/>
  <c r="N47" i="1" s="1"/>
  <c r="C47" i="1" s="1"/>
  <c r="M46" i="1"/>
  <c r="N46" i="1" s="1"/>
  <c r="C46" i="1" s="1"/>
  <c r="M6" i="1"/>
  <c r="N6" i="1" s="1"/>
  <c r="C6" i="1" s="1"/>
  <c r="M7" i="1"/>
  <c r="N7" i="1" s="1"/>
  <c r="C7" i="1" s="1"/>
  <c r="M8" i="1"/>
  <c r="N8" i="1" s="1"/>
  <c r="C8" i="1" s="1"/>
  <c r="M15" i="1"/>
  <c r="N15" i="1" s="1"/>
  <c r="C15" i="1" s="1"/>
  <c r="M54" i="1"/>
  <c r="N54" i="1" s="1"/>
  <c r="C54" i="1" s="1"/>
  <c r="M55" i="1"/>
  <c r="N55" i="1" s="1"/>
  <c r="C55" i="1" s="1"/>
  <c r="M56" i="1"/>
  <c r="N56" i="1" s="1"/>
  <c r="C56" i="1" s="1"/>
  <c r="M57" i="1"/>
  <c r="N57" i="1" s="1"/>
  <c r="C57" i="1" s="1"/>
  <c r="L17" i="1" l="1"/>
  <c r="M17" i="1" s="1"/>
  <c r="N17" i="1" s="1"/>
  <c r="C17" i="1" s="1"/>
  <c r="M16" i="1"/>
  <c r="N16" i="1" s="1"/>
  <c r="C16" i="1" s="1"/>
</calcChain>
</file>

<file path=xl/sharedStrings.xml><?xml version="1.0" encoding="utf-8"?>
<sst xmlns="http://schemas.openxmlformats.org/spreadsheetml/2006/main" count="151" uniqueCount="92">
  <si>
    <t>ADDRESS</t>
    <phoneticPr fontId="1" type="noConversion"/>
  </si>
  <si>
    <t>OFFSET</t>
    <phoneticPr fontId="1" type="noConversion"/>
  </si>
  <si>
    <t>NAME</t>
    <phoneticPr fontId="1" type="noConversion"/>
  </si>
  <si>
    <t>VALUE</t>
    <phoneticPr fontId="1" type="noConversion"/>
  </si>
  <si>
    <t>NOTES</t>
    <phoneticPr fontId="1" type="noConversion"/>
  </si>
  <si>
    <t>BASE</t>
    <phoneticPr fontId="1" type="noConversion"/>
  </si>
  <si>
    <t>CTRL</t>
  </si>
  <si>
    <t>FSTAT</t>
    <phoneticPr fontId="1" type="noConversion"/>
  </si>
  <si>
    <t>FDEBUG</t>
    <phoneticPr fontId="1" type="noConversion"/>
  </si>
  <si>
    <t>FLEVEL</t>
  </si>
  <si>
    <t>RXFn</t>
    <phoneticPr fontId="1" type="noConversion"/>
  </si>
  <si>
    <t>INSTR_MEM31</t>
  </si>
  <si>
    <t>0x50200000</t>
    <phoneticPr fontId="1" type="noConversion"/>
  </si>
  <si>
    <t>0x50300000</t>
    <phoneticPr fontId="1" type="noConversion"/>
  </si>
  <si>
    <t>PIO1</t>
    <phoneticPr fontId="1" type="noConversion"/>
  </si>
  <si>
    <t>PIO0</t>
    <phoneticPr fontId="1" type="noConversion"/>
  </si>
  <si>
    <t>TXFn</t>
    <phoneticPr fontId="1" type="noConversion"/>
  </si>
  <si>
    <t>TXF0</t>
    <phoneticPr fontId="1" type="noConversion"/>
  </si>
  <si>
    <t>TXF1</t>
    <phoneticPr fontId="1" type="noConversion"/>
  </si>
  <si>
    <t>TXF2</t>
  </si>
  <si>
    <t>TXF3</t>
  </si>
  <si>
    <t>RXF0</t>
    <phoneticPr fontId="1" type="noConversion"/>
  </si>
  <si>
    <t>RXF1</t>
    <phoneticPr fontId="1" type="noConversion"/>
  </si>
  <si>
    <t>RXF2</t>
  </si>
  <si>
    <t>RXF3</t>
  </si>
  <si>
    <t>INSTR_MEM1</t>
    <phoneticPr fontId="1" type="noConversion"/>
  </si>
  <si>
    <t>INSTR_MEM0</t>
    <phoneticPr fontId="1" type="noConversion"/>
  </si>
  <si>
    <t>INSTR_MEM2</t>
  </si>
  <si>
    <t>INSTR_MEM3</t>
  </si>
  <si>
    <t>INSTR_MEM29</t>
  </si>
  <si>
    <t>INSTR_MEM30</t>
  </si>
  <si>
    <t>INSTR_MEM4</t>
  </si>
  <si>
    <t>INSTR_MEM5</t>
  </si>
  <si>
    <t>INSTR_MEM6</t>
  </si>
  <si>
    <t>INSTR_MEM7</t>
  </si>
  <si>
    <t>INSTR_MEM8</t>
  </si>
  <si>
    <t>INSTR_MEM9</t>
  </si>
  <si>
    <t>INSTR_MEM10</t>
  </si>
  <si>
    <t>INSTR_MEM11</t>
  </si>
  <si>
    <t>INSTR_MEM12</t>
  </si>
  <si>
    <t>INSTR_MEM13</t>
  </si>
  <si>
    <t>INSTR_MEM14</t>
  </si>
  <si>
    <t>INSTR_MEM15</t>
  </si>
  <si>
    <t>INSTR_MEM16</t>
  </si>
  <si>
    <t>INSTR_MEM17</t>
  </si>
  <si>
    <t>INSTR_MEM18</t>
  </si>
  <si>
    <t>INSTR_MEM19</t>
  </si>
  <si>
    <t>INSTR_MEM20</t>
  </si>
  <si>
    <t>INSTR_MEM21</t>
  </si>
  <si>
    <t>INSTR_MEM22</t>
  </si>
  <si>
    <t>INSTR_MEM23</t>
  </si>
  <si>
    <t>INSTR_MEM24</t>
  </si>
  <si>
    <t>INSTR_MEM25</t>
  </si>
  <si>
    <t>INSTR_MEM26</t>
  </si>
  <si>
    <t>INSTR_MEM27</t>
  </si>
  <si>
    <t>INSTR_MEM28</t>
  </si>
  <si>
    <t>CLKDIV</t>
    <phoneticPr fontId="1" type="noConversion"/>
  </si>
  <si>
    <t>EXECCTRL</t>
    <phoneticPr fontId="1" type="noConversion"/>
  </si>
  <si>
    <t>SHIFTCTRL</t>
    <phoneticPr fontId="1" type="noConversion"/>
  </si>
  <si>
    <t>ADDR</t>
    <phoneticPr fontId="1" type="noConversion"/>
  </si>
  <si>
    <t>INSTR</t>
  </si>
  <si>
    <t>PINCTRL</t>
    <phoneticPr fontId="1" type="noConversion"/>
  </si>
  <si>
    <t>use PIO0 for example</t>
    <phoneticPr fontId="1" type="noConversion"/>
  </si>
  <si>
    <t>0000 0000 0000 1111 1010 0000 0000 0000</t>
    <phoneticPr fontId="1" type="noConversion"/>
  </si>
  <si>
    <t>div=15.625  int=15=&gt; 1111  frac=0.625*256=160 =&gt;1010 0000</t>
    <phoneticPr fontId="1" type="noConversion"/>
  </si>
  <si>
    <t>Stalled,side_en=0,side_pindir=0, NO JMP_PIN, WRAPTOP=31, WRAOP BOTTOM=28</t>
    <phoneticPr fontId="1" type="noConversion"/>
  </si>
  <si>
    <t>1000 0000 0000 0001 1111 1110 0000 0000</t>
    <phoneticPr fontId="1" type="noConversion"/>
  </si>
  <si>
    <t>0000 0000 0000 0000 0000 0000 0000 0000</t>
  </si>
  <si>
    <t>0000 0000 0000 0000 0000 0000 0000 0000</t>
    <phoneticPr fontId="1" type="noConversion"/>
  </si>
  <si>
    <t>TX,pull_thresh=32,shift leeft,autopull=1</t>
    <phoneticPr fontId="1" type="noConversion"/>
  </si>
  <si>
    <t>0111 1110 0000 0010 0000 0000 0000 0000</t>
    <phoneticPr fontId="1" type="noConversion"/>
  </si>
  <si>
    <t>0000 0000 0000 0000 0000 0000 0001 1100</t>
    <phoneticPr fontId="1" type="noConversion"/>
  </si>
  <si>
    <t>ADDRESS=28</t>
    <phoneticPr fontId="1" type="noConversion"/>
  </si>
  <si>
    <t>0000 0000 0000 0000 0110 0010 0010 0001</t>
    <phoneticPr fontId="1" type="noConversion"/>
  </si>
  <si>
    <t>0x6221</t>
    <phoneticPr fontId="1" type="noConversion"/>
  </si>
  <si>
    <t>0010 0000 0001 0000 0110 0000 0000 0000</t>
    <phoneticPr fontId="1" type="noConversion"/>
  </si>
  <si>
    <t>sideset_count=1,out_count=1,SIDESET_BASE=28</t>
    <phoneticPr fontId="1" type="noConversion"/>
  </si>
  <si>
    <t>0x1123</t>
    <phoneticPr fontId="1" type="noConversion"/>
  </si>
  <si>
    <t>0x1400</t>
    <phoneticPr fontId="1" type="noConversion"/>
  </si>
  <si>
    <t>0xa442</t>
    <phoneticPr fontId="1" type="noConversion"/>
  </si>
  <si>
    <t>0000 0000 0000 0000 0001 0001 0010 0011</t>
    <phoneticPr fontId="1" type="noConversion"/>
  </si>
  <si>
    <t>0000 0000 0000 0000 0001 0100 0000 0000</t>
    <phoneticPr fontId="1" type="noConversion"/>
  </si>
  <si>
    <t>0000 0000 0000 0000 1010 0100 0100 0010</t>
    <phoneticPr fontId="1" type="noConversion"/>
  </si>
  <si>
    <t>INSTR_MEM31</t>
    <phoneticPr fontId="1" type="noConversion"/>
  </si>
  <si>
    <t>0000 0000 0000 0000 0000 0000 0000 0001</t>
    <phoneticPr fontId="1" type="noConversion"/>
  </si>
  <si>
    <t>sm0 is enable</t>
    <phoneticPr fontId="1" type="noConversion"/>
  </si>
  <si>
    <t>All the TX FIFOs and RX FIFOs are empty now.</t>
    <phoneticPr fontId="1" type="noConversion"/>
  </si>
  <si>
    <t>Since it's waiting for data, the TX FIFOs are empty.
The datasheet seems not to mention whether the transfer will be cleared or populated with other data after it trassmission is completed. I just suppose this to be 0 here.</t>
    <phoneticPr fontId="1" type="noConversion"/>
  </si>
  <si>
    <t>0000 0001 0000 0000 0000 0000 0000 0000</t>
    <phoneticPr fontId="1" type="noConversion"/>
  </si>
  <si>
    <t>We are using only sm0 in this situation</t>
    <phoneticPr fontId="1" type="noConversion"/>
  </si>
  <si>
    <t>Only TXF0 is going to work.</t>
    <phoneticPr fontId="1" type="noConversion"/>
  </si>
  <si>
    <t>We are stalled for TXF0.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</si>
</sst>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3" x14ac:knownFonts="1">
    <font>
      <sz val="11"/>
      <color theme="1"/>
      <name val="等线"/>
      <family val="2"/>
      <charset val="134"/>
      <scheme val="minor"/>
    </font>
    <font>
      <sz val="9"/>
      <name val="等线"/>
      <family val="2"/>
      <charset val="134"/>
      <scheme val="minor"/>
    </font>
    <font>
      <sz val="11"/>
      <color theme="1"/>
      <name val="Courier New"/>
      <family val="3"/>
    </font>
  </fonts>
  <fills count="2">
    <fill>
      <patternFill patternType="none"/>
    </fill>
    <fill>
      <patternFill patternType="gray125"/>
    </fill>
  </fills>
  <borders count="2">
    <border>
      <left/>
      <right/>
      <top/>
      <bottom/>
      <diagonal/>
    </border>
    <border diagonalUp="1">
      <left/>
      <right/>
      <top/>
      <bottom/>
      <diagonal style="thin">
        <color auto="1"/>
      </diagonal>
    </border>
  </borders>
  <cellStyleXfs count="1">
    <xf numFmtId="0" fontId="0" fillId="0" borderId="0">
      <alignment vertical="center"/>
    </xf>
  </cellStyleXfs>
  <cellXfs count="13">
    <xf numFmtId="0" fontId="0" fillId="0" borderId="0" xfId="0">
      <alignment vertical="center"/>
    </xf>
    <xf numFmtId="0" fontId="2" fillId="0" borderId="0" xfId="0" applyFont="1">
      <alignment vertical="center"/>
    </xf>
    <xf numFmtId="0" fontId="2" fillId="0" borderId="1" xfId="0" applyFont="1" applyBorder="1">
      <alignment vertical="center"/>
    </xf>
    <xf numFmtId="0" fontId="2" fillId="0" borderId="0" xfId="0" applyFont="1" applyAlignment="1">
      <alignment vertical="center"/>
    </xf>
    <xf numFmtId="176" fontId="2" fillId="0" borderId="0" xfId="0" applyNumberFormat="1" applyFont="1">
      <alignment vertical="center"/>
    </xf>
    <xf numFmtId="0" fontId="2" fillId="0" borderId="0" xfId="0" applyFont="1">
      <alignment vertical="center"/>
    </xf>
    <xf numFmtId="0" fontId="2" fillId="0" borderId="0" xfId="0" applyFont="1" applyAlignment="1">
      <alignment vertical="center" wrapText="1"/>
    </xf>
    <xf numFmtId="2" fontId="2" fillId="0" borderId="0" xfId="0" applyNumberFormat="1" applyFont="1">
      <alignment vertical="center"/>
    </xf>
    <xf numFmtId="0" fontId="2" fillId="0" borderId="1" xfId="0" applyFont="1" applyBorder="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C94C-C595-45D9-83FB-25C965AA90C2}">
  <dimension ref="A1:U71"/>
  <sheetViews>
    <sheetView tabSelected="1" topLeftCell="A34" workbookViewId="0">
      <selection activeCell="C7" sqref="C7"/>
    </sheetView>
  </sheetViews>
  <sheetFormatPr defaultRowHeight="14.5" x14ac:dyDescent="0.3"/>
  <cols>
    <col min="1" max="1" width="21.58203125" style="1" customWidth="1"/>
    <col min="2" max="2" width="11.6640625" style="1" customWidth="1"/>
    <col min="3" max="3" width="9.58203125" style="1" customWidth="1"/>
    <col min="4" max="4" width="15.5" style="1" customWidth="1"/>
    <col min="5" max="5" width="45.08203125" style="1" customWidth="1"/>
    <col min="6" max="6" width="81.4140625" style="1" customWidth="1"/>
    <col min="7" max="7" width="9.1640625" style="1" customWidth="1"/>
    <col min="8" max="9" width="8.6640625" style="1"/>
    <col min="10" max="10" width="8.6640625" style="1" customWidth="1"/>
    <col min="11" max="11" width="11.58203125" style="1" customWidth="1"/>
    <col min="12" max="12" width="3.9140625" style="1" customWidth="1"/>
    <col min="13" max="13" width="4.08203125" style="1" customWidth="1"/>
    <col min="14" max="14" width="6.33203125" style="1" customWidth="1"/>
    <col min="15" max="15" width="11.33203125" style="1" customWidth="1"/>
    <col min="16" max="16" width="9.5" style="1" customWidth="1"/>
    <col min="17" max="17" width="9.6640625" style="1" customWidth="1"/>
    <col min="18" max="18" width="11.9140625" style="1" customWidth="1"/>
    <col min="19" max="19" width="8.6640625" style="1"/>
    <col min="20" max="20" width="8.83203125" style="1" bestFit="1" customWidth="1"/>
    <col min="21" max="21" width="11.58203125" style="1" customWidth="1"/>
    <col min="22" max="16384" width="8.6640625" style="1"/>
  </cols>
  <sheetData>
    <row r="1" spans="1:18" x14ac:dyDescent="0.3">
      <c r="B1" s="1" t="s">
        <v>0</v>
      </c>
      <c r="C1" s="1" t="s">
        <v>1</v>
      </c>
      <c r="D1" s="1" t="s">
        <v>2</v>
      </c>
      <c r="E1" s="1" t="s">
        <v>3</v>
      </c>
      <c r="F1" s="1" t="s">
        <v>4</v>
      </c>
    </row>
    <row r="2" spans="1:18" ht="14.5" customHeight="1" x14ac:dyDescent="0.3">
      <c r="A2" s="10" t="s">
        <v>5</v>
      </c>
      <c r="B2" s="1" t="s">
        <v>12</v>
      </c>
      <c r="C2" s="2"/>
      <c r="D2" s="3" t="s">
        <v>15</v>
      </c>
      <c r="E2" s="2"/>
      <c r="F2" s="12" t="s">
        <v>62</v>
      </c>
      <c r="K2" s="1">
        <f>HEX2DEC(50200000)</f>
        <v>1344274432</v>
      </c>
    </row>
    <row r="3" spans="1:18" ht="14.5" customHeight="1" x14ac:dyDescent="0.3">
      <c r="A3" s="10"/>
      <c r="B3" s="1" t="s">
        <v>13</v>
      </c>
      <c r="C3" s="2"/>
      <c r="D3" s="3" t="s">
        <v>14</v>
      </c>
      <c r="E3" s="2"/>
      <c r="F3" s="12"/>
    </row>
    <row r="4" spans="1:18" ht="14.5" customHeight="1" x14ac:dyDescent="0.3">
      <c r="A4" s="1" t="s">
        <v>6</v>
      </c>
      <c r="B4" s="1" t="str">
        <f>R4</f>
        <v>0x50200000</v>
      </c>
      <c r="C4" s="1" t="str">
        <f>N4</f>
        <v>0x000</v>
      </c>
      <c r="D4" s="1" t="s">
        <v>6</v>
      </c>
      <c r="E4" s="1" t="s">
        <v>84</v>
      </c>
      <c r="F4" s="1" t="s">
        <v>85</v>
      </c>
      <c r="K4" s="1">
        <v>0</v>
      </c>
      <c r="L4" s="4" t="str">
        <f>DEC2HEX(K4)</f>
        <v>0</v>
      </c>
      <c r="M4" s="1" t="str">
        <f t="shared" ref="M4:M35" si="0">REPT(0,3-LEN(L4))&amp;L4</f>
        <v>000</v>
      </c>
      <c r="N4" s="1" t="str">
        <f t="shared" ref="N4:N35" si="1">_xlfn.CONCAT("0x",M4)</f>
        <v>0x000</v>
      </c>
      <c r="O4" s="1">
        <f>0+(HEX2DEC(50200000))</f>
        <v>1344274432</v>
      </c>
      <c r="P4" s="4" t="str">
        <f>DEC2HEX(O4)</f>
        <v>50200000</v>
      </c>
      <c r="Q4" s="1" t="str">
        <f>REPT(0,8-LEN(P4))&amp;P4</f>
        <v>50200000</v>
      </c>
      <c r="R4" s="1" t="str">
        <f t="shared" ref="R4:R35" si="2">_xlfn.CONCAT("0x",Q4)</f>
        <v>0x50200000</v>
      </c>
    </row>
    <row r="5" spans="1:18" ht="14.5" customHeight="1" x14ac:dyDescent="0.3">
      <c r="A5" s="1" t="s">
        <v>7</v>
      </c>
      <c r="B5" s="1" t="str">
        <f t="shared" ref="B5:B68" si="3">R5</f>
        <v>0x50200004</v>
      </c>
      <c r="C5" s="1" t="str">
        <f t="shared" ref="C5:C44" si="4">N5</f>
        <v>0x004</v>
      </c>
      <c r="D5" s="1" t="s">
        <v>7</v>
      </c>
      <c r="E5" s="1" t="s">
        <v>68</v>
      </c>
      <c r="F5" s="1" t="s">
        <v>86</v>
      </c>
      <c r="K5" s="1">
        <v>4</v>
      </c>
      <c r="L5" s="4" t="str">
        <f t="shared" ref="L5:L68" si="5">DEC2HEX(K5)</f>
        <v>4</v>
      </c>
      <c r="M5" s="1" t="str">
        <f t="shared" si="0"/>
        <v>004</v>
      </c>
      <c r="N5" s="1" t="str">
        <f t="shared" si="1"/>
        <v>0x004</v>
      </c>
      <c r="O5" s="1">
        <f>4+(HEX2DEC(50200000))</f>
        <v>1344274436</v>
      </c>
      <c r="P5" s="4" t="str">
        <f t="shared" ref="P5:P68" si="6">DEC2HEX(O5)</f>
        <v>50200004</v>
      </c>
      <c r="Q5" s="1" t="str">
        <f t="shared" ref="Q5:Q68" si="7">REPT(0,8-LEN(P5))&amp;P5</f>
        <v>50200004</v>
      </c>
      <c r="R5" s="1" t="str">
        <f t="shared" si="2"/>
        <v>0x50200004</v>
      </c>
    </row>
    <row r="6" spans="1:18" ht="14.5" customHeight="1" x14ac:dyDescent="0.3">
      <c r="A6" s="1" t="s">
        <v>8</v>
      </c>
      <c r="B6" s="1" t="str">
        <f t="shared" si="3"/>
        <v>0x50200008</v>
      </c>
      <c r="C6" s="1" t="str">
        <f t="shared" si="4"/>
        <v>0x008</v>
      </c>
      <c r="D6" s="1" t="s">
        <v>8</v>
      </c>
      <c r="E6" s="1" t="s">
        <v>88</v>
      </c>
      <c r="F6" s="1" t="s">
        <v>91</v>
      </c>
      <c r="K6" s="1">
        <v>8</v>
      </c>
      <c r="L6" s="4" t="str">
        <f t="shared" si="5"/>
        <v>8</v>
      </c>
      <c r="M6" s="1" t="str">
        <f t="shared" si="0"/>
        <v>008</v>
      </c>
      <c r="N6" s="1" t="str">
        <f t="shared" si="1"/>
        <v>0x008</v>
      </c>
      <c r="O6" s="1">
        <f>8+(HEX2DEC(50200000))</f>
        <v>1344274440</v>
      </c>
      <c r="P6" s="4" t="str">
        <f t="shared" si="6"/>
        <v>50200008</v>
      </c>
      <c r="Q6" s="1" t="str">
        <f t="shared" si="7"/>
        <v>50200008</v>
      </c>
      <c r="R6" s="1" t="str">
        <f t="shared" si="2"/>
        <v>0x50200008</v>
      </c>
    </row>
    <row r="7" spans="1:18" ht="14.5" customHeight="1" x14ac:dyDescent="0.3">
      <c r="A7" s="1" t="s">
        <v>9</v>
      </c>
      <c r="B7" s="1" t="str">
        <f t="shared" si="3"/>
        <v>0x5020000C</v>
      </c>
      <c r="C7" s="1" t="str">
        <f t="shared" si="4"/>
        <v>0x00C</v>
      </c>
      <c r="D7" s="1" t="s">
        <v>9</v>
      </c>
      <c r="E7" s="5" t="s">
        <v>84</v>
      </c>
      <c r="F7" s="1" t="s">
        <v>90</v>
      </c>
      <c r="K7" s="1">
        <v>12</v>
      </c>
      <c r="L7" s="4" t="str">
        <f t="shared" si="5"/>
        <v>C</v>
      </c>
      <c r="M7" s="1" t="str">
        <f t="shared" si="0"/>
        <v>00C</v>
      </c>
      <c r="N7" s="1" t="str">
        <f t="shared" si="1"/>
        <v>0x00C</v>
      </c>
      <c r="O7" s="1">
        <f>12+(HEX2DEC(50200000))</f>
        <v>1344274444</v>
      </c>
      <c r="P7" s="4" t="str">
        <f t="shared" si="6"/>
        <v>5020000C</v>
      </c>
      <c r="Q7" s="1" t="str">
        <f t="shared" si="7"/>
        <v>5020000C</v>
      </c>
      <c r="R7" s="1" t="str">
        <f t="shared" si="2"/>
        <v>0x5020000C</v>
      </c>
    </row>
    <row r="8" spans="1:18" ht="14.5" customHeight="1" x14ac:dyDescent="0.3">
      <c r="A8" s="11" t="s">
        <v>16</v>
      </c>
      <c r="B8" s="1" t="str">
        <f t="shared" si="3"/>
        <v>0x50200010</v>
      </c>
      <c r="C8" s="1" t="str">
        <f t="shared" si="4"/>
        <v>0x010</v>
      </c>
      <c r="D8" s="1" t="s">
        <v>17</v>
      </c>
      <c r="E8" s="2" t="s">
        <v>68</v>
      </c>
      <c r="F8" s="12" t="s">
        <v>87</v>
      </c>
      <c r="K8" s="1">
        <v>16</v>
      </c>
      <c r="L8" s="4" t="str">
        <f t="shared" si="5"/>
        <v>10</v>
      </c>
      <c r="M8" s="1" t="str">
        <f t="shared" si="0"/>
        <v>010</v>
      </c>
      <c r="N8" s="1" t="str">
        <f t="shared" si="1"/>
        <v>0x010</v>
      </c>
      <c r="O8" s="1">
        <f>16+(HEX2DEC(50200000))</f>
        <v>1344274448</v>
      </c>
      <c r="P8" s="4" t="str">
        <f t="shared" si="6"/>
        <v>50200010</v>
      </c>
      <c r="Q8" s="1" t="str">
        <f t="shared" si="7"/>
        <v>50200010</v>
      </c>
      <c r="R8" s="1" t="str">
        <f t="shared" si="2"/>
        <v>0x50200010</v>
      </c>
    </row>
    <row r="9" spans="1:18" ht="14.5" customHeight="1" x14ac:dyDescent="0.3">
      <c r="A9" s="11"/>
      <c r="B9" s="1" t="str">
        <f t="shared" si="3"/>
        <v>0x50200014</v>
      </c>
      <c r="C9" s="1" t="str">
        <f t="shared" si="4"/>
        <v>0x014</v>
      </c>
      <c r="D9" s="1" t="s">
        <v>18</v>
      </c>
      <c r="E9" s="2" t="s">
        <v>68</v>
      </c>
      <c r="F9" s="12"/>
      <c r="K9" s="1">
        <v>20</v>
      </c>
      <c r="L9" s="4" t="str">
        <f t="shared" si="5"/>
        <v>14</v>
      </c>
      <c r="M9" s="1" t="str">
        <f t="shared" si="0"/>
        <v>014</v>
      </c>
      <c r="N9" s="1" t="str">
        <f t="shared" si="1"/>
        <v>0x014</v>
      </c>
      <c r="O9" s="1">
        <f>20+(HEX2DEC(50200000))</f>
        <v>1344274452</v>
      </c>
      <c r="P9" s="4" t="str">
        <f t="shared" si="6"/>
        <v>50200014</v>
      </c>
      <c r="Q9" s="1" t="str">
        <f t="shared" si="7"/>
        <v>50200014</v>
      </c>
      <c r="R9" s="1" t="str">
        <f t="shared" si="2"/>
        <v>0x50200014</v>
      </c>
    </row>
    <row r="10" spans="1:18" ht="14.5" customHeight="1" x14ac:dyDescent="0.3">
      <c r="A10" s="11"/>
      <c r="B10" s="1" t="str">
        <f t="shared" si="3"/>
        <v>0x50200018</v>
      </c>
      <c r="C10" s="1" t="str">
        <f t="shared" si="4"/>
        <v>0x018</v>
      </c>
      <c r="D10" s="1" t="s">
        <v>19</v>
      </c>
      <c r="E10" s="2" t="s">
        <v>68</v>
      </c>
      <c r="F10" s="12"/>
      <c r="K10" s="1">
        <v>24</v>
      </c>
      <c r="L10" s="4" t="str">
        <f t="shared" si="5"/>
        <v>18</v>
      </c>
      <c r="M10" s="1" t="str">
        <f t="shared" si="0"/>
        <v>018</v>
      </c>
      <c r="N10" s="1" t="str">
        <f t="shared" si="1"/>
        <v>0x018</v>
      </c>
      <c r="O10" s="1">
        <f>24+(HEX2DEC(50200000))</f>
        <v>1344274456</v>
      </c>
      <c r="P10" s="4" t="str">
        <f t="shared" si="6"/>
        <v>50200018</v>
      </c>
      <c r="Q10" s="1" t="str">
        <f t="shared" si="7"/>
        <v>50200018</v>
      </c>
      <c r="R10" s="1" t="str">
        <f t="shared" si="2"/>
        <v>0x50200018</v>
      </c>
    </row>
    <row r="11" spans="1:18" ht="14.5" customHeight="1" x14ac:dyDescent="0.3">
      <c r="A11" s="11"/>
      <c r="B11" s="1" t="str">
        <f t="shared" si="3"/>
        <v>0x5020001C</v>
      </c>
      <c r="C11" s="1" t="str">
        <f t="shared" si="4"/>
        <v>0x01C</v>
      </c>
      <c r="D11" s="1" t="s">
        <v>20</v>
      </c>
      <c r="E11" s="2" t="s">
        <v>67</v>
      </c>
      <c r="F11" s="12"/>
      <c r="K11" s="1">
        <v>28</v>
      </c>
      <c r="L11" s="4" t="str">
        <f t="shared" si="5"/>
        <v>1C</v>
      </c>
      <c r="M11" s="1" t="str">
        <f t="shared" si="0"/>
        <v>01C</v>
      </c>
      <c r="N11" s="1" t="str">
        <f t="shared" si="1"/>
        <v>0x01C</v>
      </c>
      <c r="O11" s="1">
        <f>28+(HEX2DEC(50200000))</f>
        <v>1344274460</v>
      </c>
      <c r="P11" s="4" t="str">
        <f t="shared" si="6"/>
        <v>5020001C</v>
      </c>
      <c r="Q11" s="1" t="str">
        <f t="shared" si="7"/>
        <v>5020001C</v>
      </c>
      <c r="R11" s="1" t="str">
        <f t="shared" si="2"/>
        <v>0x5020001C</v>
      </c>
    </row>
    <row r="12" spans="1:18" ht="14.5" customHeight="1" x14ac:dyDescent="0.3">
      <c r="A12" s="10" t="s">
        <v>10</v>
      </c>
      <c r="B12" s="1" t="str">
        <f t="shared" si="3"/>
        <v>0x50200020</v>
      </c>
      <c r="C12" s="1" t="str">
        <f t="shared" si="4"/>
        <v>0x020</v>
      </c>
      <c r="D12" s="1" t="s">
        <v>21</v>
      </c>
      <c r="E12" s="2"/>
      <c r="F12" s="6"/>
      <c r="K12" s="1">
        <v>32</v>
      </c>
      <c r="L12" s="4" t="str">
        <f t="shared" si="5"/>
        <v>20</v>
      </c>
      <c r="M12" s="1" t="str">
        <f t="shared" si="0"/>
        <v>020</v>
      </c>
      <c r="N12" s="1" t="str">
        <f t="shared" si="1"/>
        <v>0x020</v>
      </c>
      <c r="O12" s="1">
        <f>32+(HEX2DEC(50200000))</f>
        <v>1344274464</v>
      </c>
      <c r="P12" s="4" t="str">
        <f t="shared" si="6"/>
        <v>50200020</v>
      </c>
      <c r="Q12" s="1" t="str">
        <f t="shared" si="7"/>
        <v>50200020</v>
      </c>
      <c r="R12" s="1" t="str">
        <f t="shared" si="2"/>
        <v>0x50200020</v>
      </c>
    </row>
    <row r="13" spans="1:18" ht="14.5" customHeight="1" x14ac:dyDescent="0.3">
      <c r="A13" s="10"/>
      <c r="B13" s="1" t="str">
        <f t="shared" si="3"/>
        <v>0x50200024</v>
      </c>
      <c r="C13" s="1" t="str">
        <f t="shared" si="4"/>
        <v>0x024</v>
      </c>
      <c r="D13" s="1" t="s">
        <v>22</v>
      </c>
      <c r="E13" s="2"/>
      <c r="F13" s="6"/>
      <c r="K13" s="1">
        <v>36</v>
      </c>
      <c r="L13" s="4" t="str">
        <f t="shared" si="5"/>
        <v>24</v>
      </c>
      <c r="M13" s="1" t="str">
        <f t="shared" si="0"/>
        <v>024</v>
      </c>
      <c r="N13" s="1" t="str">
        <f t="shared" si="1"/>
        <v>0x024</v>
      </c>
      <c r="O13" s="1">
        <f>36+(HEX2DEC(50200000))</f>
        <v>1344274468</v>
      </c>
      <c r="P13" s="4" t="str">
        <f t="shared" si="6"/>
        <v>50200024</v>
      </c>
      <c r="Q13" s="1" t="str">
        <f t="shared" si="7"/>
        <v>50200024</v>
      </c>
      <c r="R13" s="1" t="str">
        <f t="shared" si="2"/>
        <v>0x50200024</v>
      </c>
    </row>
    <row r="14" spans="1:18" ht="14.5" customHeight="1" x14ac:dyDescent="0.3">
      <c r="A14" s="10"/>
      <c r="B14" s="1" t="str">
        <f t="shared" si="3"/>
        <v>0x50200028</v>
      </c>
      <c r="C14" s="1" t="str">
        <f t="shared" si="4"/>
        <v>0x028</v>
      </c>
      <c r="D14" s="1" t="s">
        <v>23</v>
      </c>
      <c r="E14" s="2"/>
      <c r="F14" s="6"/>
      <c r="I14" s="7"/>
      <c r="K14" s="1">
        <v>40</v>
      </c>
      <c r="L14" s="4" t="str">
        <f t="shared" si="5"/>
        <v>28</v>
      </c>
      <c r="M14" s="1" t="str">
        <f t="shared" si="0"/>
        <v>028</v>
      </c>
      <c r="N14" s="1" t="str">
        <f t="shared" si="1"/>
        <v>0x028</v>
      </c>
      <c r="O14" s="1">
        <f>40+(HEX2DEC(50200000))</f>
        <v>1344274472</v>
      </c>
      <c r="P14" s="4" t="str">
        <f t="shared" si="6"/>
        <v>50200028</v>
      </c>
      <c r="Q14" s="1" t="str">
        <f t="shared" si="7"/>
        <v>50200028</v>
      </c>
      <c r="R14" s="1" t="str">
        <f t="shared" si="2"/>
        <v>0x50200028</v>
      </c>
    </row>
    <row r="15" spans="1:18" ht="14.5" customHeight="1" x14ac:dyDescent="0.3">
      <c r="A15" s="10"/>
      <c r="B15" s="1" t="str">
        <f t="shared" si="3"/>
        <v>0x5020002C</v>
      </c>
      <c r="C15" s="1" t="str">
        <f t="shared" si="4"/>
        <v>0x02C</v>
      </c>
      <c r="D15" s="1" t="s">
        <v>24</v>
      </c>
      <c r="E15" s="2"/>
      <c r="F15" s="6"/>
      <c r="K15" s="1">
        <v>44</v>
      </c>
      <c r="L15" s="4" t="str">
        <f t="shared" si="5"/>
        <v>2C</v>
      </c>
      <c r="M15" s="1" t="str">
        <f t="shared" si="0"/>
        <v>02C</v>
      </c>
      <c r="N15" s="1" t="str">
        <f t="shared" si="1"/>
        <v>0x02C</v>
      </c>
      <c r="O15" s="1">
        <f>44+(HEX2DEC(50200000))</f>
        <v>1344274476</v>
      </c>
      <c r="P15" s="4" t="str">
        <f t="shared" si="6"/>
        <v>5020002C</v>
      </c>
      <c r="Q15" s="1" t="str">
        <f t="shared" si="7"/>
        <v>5020002C</v>
      </c>
      <c r="R15" s="1" t="str">
        <f t="shared" si="2"/>
        <v>0x5020002C</v>
      </c>
    </row>
    <row r="16" spans="1:18" ht="14.5" customHeight="1" x14ac:dyDescent="0.3">
      <c r="A16" s="1" t="s">
        <v>26</v>
      </c>
      <c r="B16" s="1" t="str">
        <f t="shared" si="3"/>
        <v>0x50200048</v>
      </c>
      <c r="C16" s="1" t="str">
        <f t="shared" si="4"/>
        <v>0x048</v>
      </c>
      <c r="D16" s="1" t="s">
        <v>26</v>
      </c>
      <c r="E16" s="2"/>
      <c r="F16" s="6"/>
      <c r="K16" s="1">
        <v>72</v>
      </c>
      <c r="L16" s="4" t="str">
        <f t="shared" si="5"/>
        <v>48</v>
      </c>
      <c r="M16" s="1" t="str">
        <f t="shared" si="0"/>
        <v>048</v>
      </c>
      <c r="N16" s="1" t="str">
        <f t="shared" si="1"/>
        <v>0x048</v>
      </c>
      <c r="O16" s="1">
        <f>(HEX2DEC("48"))+(HEX2DEC(50200000))</f>
        <v>1344274504</v>
      </c>
      <c r="P16" s="4" t="str">
        <f t="shared" si="6"/>
        <v>50200048</v>
      </c>
      <c r="Q16" s="1" t="str">
        <f t="shared" si="7"/>
        <v>50200048</v>
      </c>
      <c r="R16" s="1" t="str">
        <f t="shared" si="2"/>
        <v>0x50200048</v>
      </c>
    </row>
    <row r="17" spans="1:18" ht="14.5" customHeight="1" x14ac:dyDescent="0.3">
      <c r="A17" s="1" t="s">
        <v>25</v>
      </c>
      <c r="B17" s="1" t="str">
        <f t="shared" si="3"/>
        <v>0x5020004C</v>
      </c>
      <c r="C17" s="1" t="str">
        <f t="shared" si="4"/>
        <v>0x04C</v>
      </c>
      <c r="D17" s="1" t="s">
        <v>25</v>
      </c>
      <c r="E17" s="2"/>
      <c r="F17" s="6"/>
      <c r="K17" s="1">
        <v>76</v>
      </c>
      <c r="L17" s="4" t="str">
        <f t="shared" si="5"/>
        <v>4C</v>
      </c>
      <c r="M17" s="1" t="str">
        <f t="shared" si="0"/>
        <v>04C</v>
      </c>
      <c r="N17" s="1" t="str">
        <f t="shared" si="1"/>
        <v>0x04C</v>
      </c>
      <c r="O17" s="1">
        <f>(HEX2DEC("4C"))+(HEX2DEC(50200000))</f>
        <v>1344274508</v>
      </c>
      <c r="P17" s="4" t="str">
        <f t="shared" si="6"/>
        <v>5020004C</v>
      </c>
      <c r="Q17" s="1" t="str">
        <f t="shared" si="7"/>
        <v>5020004C</v>
      </c>
      <c r="R17" s="1" t="str">
        <f t="shared" si="2"/>
        <v>0x5020004C</v>
      </c>
    </row>
    <row r="18" spans="1:18" ht="14.5" customHeight="1" x14ac:dyDescent="0.3">
      <c r="A18" s="1" t="s">
        <v>27</v>
      </c>
      <c r="B18" s="1" t="str">
        <f t="shared" si="3"/>
        <v>0x50200050</v>
      </c>
      <c r="C18" s="1" t="str">
        <f t="shared" si="4"/>
        <v>0x050</v>
      </c>
      <c r="D18" s="1" t="s">
        <v>27</v>
      </c>
      <c r="E18" s="2"/>
      <c r="F18" s="6"/>
      <c r="K18" s="1">
        <v>80</v>
      </c>
      <c r="L18" s="4" t="str">
        <f t="shared" si="5"/>
        <v>50</v>
      </c>
      <c r="M18" s="1" t="str">
        <f t="shared" si="0"/>
        <v>050</v>
      </c>
      <c r="N18" s="1" t="str">
        <f t="shared" si="1"/>
        <v>0x050</v>
      </c>
      <c r="O18" s="1">
        <f>80+(HEX2DEC(50200000))</f>
        <v>1344274512</v>
      </c>
      <c r="P18" s="4" t="str">
        <f t="shared" si="6"/>
        <v>50200050</v>
      </c>
      <c r="Q18" s="1" t="str">
        <f t="shared" si="7"/>
        <v>50200050</v>
      </c>
      <c r="R18" s="1" t="str">
        <f t="shared" si="2"/>
        <v>0x50200050</v>
      </c>
    </row>
    <row r="19" spans="1:18" ht="14.5" customHeight="1" x14ac:dyDescent="0.3">
      <c r="A19" s="1" t="s">
        <v>28</v>
      </c>
      <c r="B19" s="1" t="str">
        <f t="shared" si="3"/>
        <v>0x50200054</v>
      </c>
      <c r="C19" s="1" t="str">
        <f t="shared" si="4"/>
        <v>0x054</v>
      </c>
      <c r="D19" s="1" t="s">
        <v>28</v>
      </c>
      <c r="E19" s="2"/>
      <c r="F19" s="6"/>
      <c r="K19" s="1">
        <v>84</v>
      </c>
      <c r="L19" s="4" t="str">
        <f t="shared" si="5"/>
        <v>54</v>
      </c>
      <c r="M19" s="1" t="str">
        <f t="shared" si="0"/>
        <v>054</v>
      </c>
      <c r="N19" s="1" t="str">
        <f t="shared" si="1"/>
        <v>0x054</v>
      </c>
      <c r="O19" s="1">
        <f>84+(HEX2DEC(50200000))</f>
        <v>1344274516</v>
      </c>
      <c r="P19" s="4" t="str">
        <f t="shared" si="6"/>
        <v>50200054</v>
      </c>
      <c r="Q19" s="1" t="str">
        <f t="shared" si="7"/>
        <v>50200054</v>
      </c>
      <c r="R19" s="1" t="str">
        <f t="shared" si="2"/>
        <v>0x50200054</v>
      </c>
    </row>
    <row r="20" spans="1:18" ht="14.5" customHeight="1" x14ac:dyDescent="0.3">
      <c r="A20" s="1" t="s">
        <v>31</v>
      </c>
      <c r="B20" s="1" t="str">
        <f t="shared" si="3"/>
        <v>0x50200058</v>
      </c>
      <c r="C20" s="1" t="str">
        <f t="shared" si="4"/>
        <v>0x058</v>
      </c>
      <c r="D20" s="1" t="s">
        <v>31</v>
      </c>
      <c r="E20" s="2"/>
      <c r="F20" s="6"/>
      <c r="K20" s="1">
        <v>88</v>
      </c>
      <c r="L20" s="4" t="str">
        <f t="shared" si="5"/>
        <v>58</v>
      </c>
      <c r="M20" s="1" t="str">
        <f t="shared" si="0"/>
        <v>058</v>
      </c>
      <c r="N20" s="1" t="str">
        <f t="shared" si="1"/>
        <v>0x058</v>
      </c>
      <c r="O20" s="1">
        <f>88+(HEX2DEC(50200000))</f>
        <v>1344274520</v>
      </c>
      <c r="P20" s="4" t="str">
        <f t="shared" si="6"/>
        <v>50200058</v>
      </c>
      <c r="Q20" s="1" t="str">
        <f t="shared" si="7"/>
        <v>50200058</v>
      </c>
      <c r="R20" s="1" t="str">
        <f t="shared" si="2"/>
        <v>0x50200058</v>
      </c>
    </row>
    <row r="21" spans="1:18" ht="14.5" customHeight="1" x14ac:dyDescent="0.3">
      <c r="A21" s="1" t="s">
        <v>32</v>
      </c>
      <c r="B21" s="1" t="str">
        <f t="shared" si="3"/>
        <v>0x5020005C</v>
      </c>
      <c r="C21" s="1" t="str">
        <f t="shared" si="4"/>
        <v>0x05C</v>
      </c>
      <c r="D21" s="1" t="s">
        <v>32</v>
      </c>
      <c r="E21" s="2"/>
      <c r="F21" s="6"/>
      <c r="K21" s="1">
        <v>92</v>
      </c>
      <c r="L21" s="4" t="str">
        <f t="shared" si="5"/>
        <v>5C</v>
      </c>
      <c r="M21" s="1" t="str">
        <f t="shared" si="0"/>
        <v>05C</v>
      </c>
      <c r="N21" s="1" t="str">
        <f t="shared" si="1"/>
        <v>0x05C</v>
      </c>
      <c r="O21" s="1">
        <f>92+(HEX2DEC(50200000))</f>
        <v>1344274524</v>
      </c>
      <c r="P21" s="4" t="str">
        <f t="shared" si="6"/>
        <v>5020005C</v>
      </c>
      <c r="Q21" s="1" t="str">
        <f t="shared" si="7"/>
        <v>5020005C</v>
      </c>
      <c r="R21" s="1" t="str">
        <f t="shared" si="2"/>
        <v>0x5020005C</v>
      </c>
    </row>
    <row r="22" spans="1:18" ht="14.5" customHeight="1" x14ac:dyDescent="0.3">
      <c r="A22" s="1" t="s">
        <v>33</v>
      </c>
      <c r="B22" s="1" t="str">
        <f t="shared" si="3"/>
        <v>0x50200060</v>
      </c>
      <c r="C22" s="1" t="str">
        <f t="shared" si="4"/>
        <v>0x060</v>
      </c>
      <c r="D22" s="1" t="s">
        <v>33</v>
      </c>
      <c r="E22" s="2"/>
      <c r="K22" s="1">
        <v>96</v>
      </c>
      <c r="L22" s="4" t="str">
        <f t="shared" si="5"/>
        <v>60</v>
      </c>
      <c r="M22" s="1" t="str">
        <f t="shared" si="0"/>
        <v>060</v>
      </c>
      <c r="N22" s="1" t="str">
        <f t="shared" si="1"/>
        <v>0x060</v>
      </c>
      <c r="O22" s="1">
        <f>96+(HEX2DEC(50200000))</f>
        <v>1344274528</v>
      </c>
      <c r="P22" s="4" t="str">
        <f t="shared" si="6"/>
        <v>50200060</v>
      </c>
      <c r="Q22" s="1" t="str">
        <f t="shared" si="7"/>
        <v>50200060</v>
      </c>
      <c r="R22" s="1" t="str">
        <f t="shared" si="2"/>
        <v>0x50200060</v>
      </c>
    </row>
    <row r="23" spans="1:18" ht="14.5" customHeight="1" x14ac:dyDescent="0.3">
      <c r="A23" s="1" t="s">
        <v>34</v>
      </c>
      <c r="B23" s="1" t="str">
        <f t="shared" si="3"/>
        <v>0x50200064</v>
      </c>
      <c r="C23" s="1" t="str">
        <f t="shared" si="4"/>
        <v>0x064</v>
      </c>
      <c r="D23" s="1" t="s">
        <v>34</v>
      </c>
      <c r="E23" s="2"/>
      <c r="K23" s="1">
        <v>100</v>
      </c>
      <c r="L23" s="4" t="str">
        <f t="shared" si="5"/>
        <v>64</v>
      </c>
      <c r="M23" s="1" t="str">
        <f t="shared" si="0"/>
        <v>064</v>
      </c>
      <c r="N23" s="1" t="str">
        <f t="shared" si="1"/>
        <v>0x064</v>
      </c>
      <c r="O23" s="1">
        <f>100+(HEX2DEC(50200000))</f>
        <v>1344274532</v>
      </c>
      <c r="P23" s="4" t="str">
        <f t="shared" si="6"/>
        <v>50200064</v>
      </c>
      <c r="Q23" s="1" t="str">
        <f t="shared" si="7"/>
        <v>50200064</v>
      </c>
      <c r="R23" s="1" t="str">
        <f t="shared" si="2"/>
        <v>0x50200064</v>
      </c>
    </row>
    <row r="24" spans="1:18" ht="14.5" customHeight="1" x14ac:dyDescent="0.3">
      <c r="A24" s="1" t="s">
        <v>35</v>
      </c>
      <c r="B24" s="1" t="str">
        <f t="shared" si="3"/>
        <v>0x50200068</v>
      </c>
      <c r="C24" s="1" t="str">
        <f t="shared" si="4"/>
        <v>0x068</v>
      </c>
      <c r="D24" s="1" t="s">
        <v>35</v>
      </c>
      <c r="E24" s="2"/>
      <c r="K24" s="1">
        <v>104</v>
      </c>
      <c r="L24" s="4" t="str">
        <f t="shared" si="5"/>
        <v>68</v>
      </c>
      <c r="M24" s="1" t="str">
        <f t="shared" si="0"/>
        <v>068</v>
      </c>
      <c r="N24" s="1" t="str">
        <f t="shared" si="1"/>
        <v>0x068</v>
      </c>
      <c r="O24" s="1">
        <f>104+(HEX2DEC(50200000))</f>
        <v>1344274536</v>
      </c>
      <c r="P24" s="4" t="str">
        <f t="shared" si="6"/>
        <v>50200068</v>
      </c>
      <c r="Q24" s="1" t="str">
        <f t="shared" si="7"/>
        <v>50200068</v>
      </c>
      <c r="R24" s="1" t="str">
        <f t="shared" si="2"/>
        <v>0x50200068</v>
      </c>
    </row>
    <row r="25" spans="1:18" ht="14.5" customHeight="1" x14ac:dyDescent="0.3">
      <c r="A25" s="1" t="s">
        <v>36</v>
      </c>
      <c r="B25" s="1" t="str">
        <f t="shared" si="3"/>
        <v>0x5020006C</v>
      </c>
      <c r="C25" s="1" t="str">
        <f t="shared" si="4"/>
        <v>0x06C</v>
      </c>
      <c r="D25" s="1" t="s">
        <v>36</v>
      </c>
      <c r="E25" s="2"/>
      <c r="K25" s="1">
        <v>108</v>
      </c>
      <c r="L25" s="4" t="str">
        <f t="shared" si="5"/>
        <v>6C</v>
      </c>
      <c r="M25" s="1" t="str">
        <f t="shared" si="0"/>
        <v>06C</v>
      </c>
      <c r="N25" s="1" t="str">
        <f t="shared" si="1"/>
        <v>0x06C</v>
      </c>
      <c r="O25" s="1">
        <f>108+(HEX2DEC(50200000))</f>
        <v>1344274540</v>
      </c>
      <c r="P25" s="4" t="str">
        <f t="shared" si="6"/>
        <v>5020006C</v>
      </c>
      <c r="Q25" s="1" t="str">
        <f t="shared" si="7"/>
        <v>5020006C</v>
      </c>
      <c r="R25" s="1" t="str">
        <f t="shared" si="2"/>
        <v>0x5020006C</v>
      </c>
    </row>
    <row r="26" spans="1:18" ht="14.5" customHeight="1" x14ac:dyDescent="0.3">
      <c r="A26" s="1" t="s">
        <v>37</v>
      </c>
      <c r="B26" s="1" t="str">
        <f t="shared" si="3"/>
        <v>0x50200070</v>
      </c>
      <c r="C26" s="1" t="str">
        <f t="shared" si="4"/>
        <v>0x070</v>
      </c>
      <c r="D26" s="1" t="s">
        <v>37</v>
      </c>
      <c r="E26" s="2"/>
      <c r="K26" s="1">
        <v>112</v>
      </c>
      <c r="L26" s="4" t="str">
        <f t="shared" si="5"/>
        <v>70</v>
      </c>
      <c r="M26" s="1" t="str">
        <f t="shared" si="0"/>
        <v>070</v>
      </c>
      <c r="N26" s="1" t="str">
        <f t="shared" si="1"/>
        <v>0x070</v>
      </c>
      <c r="O26" s="1">
        <f>112+(HEX2DEC(50200000))</f>
        <v>1344274544</v>
      </c>
      <c r="P26" s="4" t="str">
        <f t="shared" si="6"/>
        <v>50200070</v>
      </c>
      <c r="Q26" s="1" t="str">
        <f t="shared" si="7"/>
        <v>50200070</v>
      </c>
      <c r="R26" s="1" t="str">
        <f t="shared" si="2"/>
        <v>0x50200070</v>
      </c>
    </row>
    <row r="27" spans="1:18" ht="14.5" customHeight="1" x14ac:dyDescent="0.3">
      <c r="A27" s="1" t="s">
        <v>38</v>
      </c>
      <c r="B27" s="1" t="str">
        <f t="shared" si="3"/>
        <v>0x50200074</v>
      </c>
      <c r="C27" s="1" t="str">
        <f t="shared" si="4"/>
        <v>0x074</v>
      </c>
      <c r="D27" s="1" t="s">
        <v>38</v>
      </c>
      <c r="E27" s="2"/>
      <c r="K27" s="1">
        <v>116</v>
      </c>
      <c r="L27" s="4" t="str">
        <f t="shared" si="5"/>
        <v>74</v>
      </c>
      <c r="M27" s="1" t="str">
        <f t="shared" si="0"/>
        <v>074</v>
      </c>
      <c r="N27" s="1" t="str">
        <f t="shared" si="1"/>
        <v>0x074</v>
      </c>
      <c r="O27" s="1">
        <f>116+(HEX2DEC(50200000))</f>
        <v>1344274548</v>
      </c>
      <c r="P27" s="4" t="str">
        <f t="shared" si="6"/>
        <v>50200074</v>
      </c>
      <c r="Q27" s="1" t="str">
        <f t="shared" si="7"/>
        <v>50200074</v>
      </c>
      <c r="R27" s="1" t="str">
        <f t="shared" si="2"/>
        <v>0x50200074</v>
      </c>
    </row>
    <row r="28" spans="1:18" ht="14.5" customHeight="1" x14ac:dyDescent="0.3">
      <c r="A28" s="1" t="s">
        <v>39</v>
      </c>
      <c r="B28" s="1" t="str">
        <f t="shared" si="3"/>
        <v>0x50200078</v>
      </c>
      <c r="C28" s="1" t="str">
        <f t="shared" si="4"/>
        <v>0x078</v>
      </c>
      <c r="D28" s="1" t="s">
        <v>39</v>
      </c>
      <c r="E28" s="2"/>
      <c r="K28" s="1">
        <v>120</v>
      </c>
      <c r="L28" s="4" t="str">
        <f t="shared" si="5"/>
        <v>78</v>
      </c>
      <c r="M28" s="1" t="str">
        <f t="shared" si="0"/>
        <v>078</v>
      </c>
      <c r="N28" s="1" t="str">
        <f t="shared" si="1"/>
        <v>0x078</v>
      </c>
      <c r="O28" s="1">
        <f>120+(HEX2DEC(50200000))</f>
        <v>1344274552</v>
      </c>
      <c r="P28" s="4" t="str">
        <f t="shared" si="6"/>
        <v>50200078</v>
      </c>
      <c r="Q28" s="1" t="str">
        <f t="shared" si="7"/>
        <v>50200078</v>
      </c>
      <c r="R28" s="1" t="str">
        <f t="shared" si="2"/>
        <v>0x50200078</v>
      </c>
    </row>
    <row r="29" spans="1:18" ht="14.5" customHeight="1" x14ac:dyDescent="0.3">
      <c r="A29" s="1" t="s">
        <v>40</v>
      </c>
      <c r="B29" s="1" t="str">
        <f t="shared" si="3"/>
        <v>0x5020007C</v>
      </c>
      <c r="C29" s="1" t="str">
        <f t="shared" si="4"/>
        <v>0x07C</v>
      </c>
      <c r="D29" s="1" t="s">
        <v>40</v>
      </c>
      <c r="E29" s="2"/>
      <c r="K29" s="1">
        <v>124</v>
      </c>
      <c r="L29" s="4" t="str">
        <f t="shared" si="5"/>
        <v>7C</v>
      </c>
      <c r="M29" s="1" t="str">
        <f t="shared" si="0"/>
        <v>07C</v>
      </c>
      <c r="N29" s="1" t="str">
        <f t="shared" si="1"/>
        <v>0x07C</v>
      </c>
      <c r="O29" s="1">
        <f>124+(HEX2DEC(50200000))</f>
        <v>1344274556</v>
      </c>
      <c r="P29" s="4" t="str">
        <f t="shared" si="6"/>
        <v>5020007C</v>
      </c>
      <c r="Q29" s="1" t="str">
        <f t="shared" si="7"/>
        <v>5020007C</v>
      </c>
      <c r="R29" s="1" t="str">
        <f t="shared" si="2"/>
        <v>0x5020007C</v>
      </c>
    </row>
    <row r="30" spans="1:18" ht="14.5" customHeight="1" x14ac:dyDescent="0.3">
      <c r="A30" s="1" t="s">
        <v>41</v>
      </c>
      <c r="B30" s="1" t="str">
        <f t="shared" si="3"/>
        <v>0x50200080</v>
      </c>
      <c r="C30" s="1" t="str">
        <f t="shared" si="4"/>
        <v>0x080</v>
      </c>
      <c r="D30" s="1" t="s">
        <v>41</v>
      </c>
      <c r="E30" s="2"/>
      <c r="K30" s="1">
        <v>128</v>
      </c>
      <c r="L30" s="4" t="str">
        <f t="shared" si="5"/>
        <v>80</v>
      </c>
      <c r="M30" s="1" t="str">
        <f t="shared" si="0"/>
        <v>080</v>
      </c>
      <c r="N30" s="1" t="str">
        <f t="shared" si="1"/>
        <v>0x080</v>
      </c>
      <c r="O30" s="1">
        <f>128+(HEX2DEC(50200000))</f>
        <v>1344274560</v>
      </c>
      <c r="P30" s="4" t="str">
        <f t="shared" si="6"/>
        <v>50200080</v>
      </c>
      <c r="Q30" s="1" t="str">
        <f t="shared" si="7"/>
        <v>50200080</v>
      </c>
      <c r="R30" s="1" t="str">
        <f t="shared" si="2"/>
        <v>0x50200080</v>
      </c>
    </row>
    <row r="31" spans="1:18" x14ac:dyDescent="0.3">
      <c r="A31" s="1" t="s">
        <v>42</v>
      </c>
      <c r="B31" s="1" t="str">
        <f t="shared" si="3"/>
        <v>0x50200084</v>
      </c>
      <c r="C31" s="1" t="str">
        <f t="shared" si="4"/>
        <v>0x084</v>
      </c>
      <c r="D31" s="1" t="s">
        <v>42</v>
      </c>
      <c r="E31" s="2"/>
      <c r="K31" s="1">
        <v>132</v>
      </c>
      <c r="L31" s="4" t="str">
        <f t="shared" si="5"/>
        <v>84</v>
      </c>
      <c r="M31" s="1" t="str">
        <f t="shared" si="0"/>
        <v>084</v>
      </c>
      <c r="N31" s="1" t="str">
        <f t="shared" si="1"/>
        <v>0x084</v>
      </c>
      <c r="O31" s="1">
        <f>132+(HEX2DEC(50200000))</f>
        <v>1344274564</v>
      </c>
      <c r="P31" s="4" t="str">
        <f t="shared" si="6"/>
        <v>50200084</v>
      </c>
      <c r="Q31" s="1" t="str">
        <f t="shared" si="7"/>
        <v>50200084</v>
      </c>
      <c r="R31" s="1" t="str">
        <f t="shared" si="2"/>
        <v>0x50200084</v>
      </c>
    </row>
    <row r="32" spans="1:18" x14ac:dyDescent="0.3">
      <c r="A32" s="1" t="s">
        <v>43</v>
      </c>
      <c r="B32" s="1" t="str">
        <f t="shared" si="3"/>
        <v>0x50200088</v>
      </c>
      <c r="C32" s="1" t="str">
        <f t="shared" si="4"/>
        <v>0x088</v>
      </c>
      <c r="D32" s="1" t="s">
        <v>43</v>
      </c>
      <c r="E32" s="2"/>
      <c r="K32" s="1">
        <v>136</v>
      </c>
      <c r="L32" s="4" t="str">
        <f t="shared" si="5"/>
        <v>88</v>
      </c>
      <c r="M32" s="1" t="str">
        <f t="shared" si="0"/>
        <v>088</v>
      </c>
      <c r="N32" s="1" t="str">
        <f t="shared" si="1"/>
        <v>0x088</v>
      </c>
      <c r="O32" s="1">
        <f>136+(HEX2DEC(50200000))</f>
        <v>1344274568</v>
      </c>
      <c r="P32" s="4" t="str">
        <f t="shared" si="6"/>
        <v>50200088</v>
      </c>
      <c r="Q32" s="1" t="str">
        <f t="shared" si="7"/>
        <v>50200088</v>
      </c>
      <c r="R32" s="1" t="str">
        <f t="shared" si="2"/>
        <v>0x50200088</v>
      </c>
    </row>
    <row r="33" spans="1:21" x14ac:dyDescent="0.3">
      <c r="A33" s="1" t="s">
        <v>44</v>
      </c>
      <c r="B33" s="1" t="str">
        <f t="shared" si="3"/>
        <v>0x5020008C</v>
      </c>
      <c r="C33" s="1" t="str">
        <f t="shared" si="4"/>
        <v>0x08C</v>
      </c>
      <c r="D33" s="1" t="s">
        <v>44</v>
      </c>
      <c r="E33" s="2"/>
      <c r="K33" s="1">
        <v>140</v>
      </c>
      <c r="L33" s="4" t="str">
        <f t="shared" si="5"/>
        <v>8C</v>
      </c>
      <c r="M33" s="1" t="str">
        <f t="shared" si="0"/>
        <v>08C</v>
      </c>
      <c r="N33" s="1" t="str">
        <f t="shared" si="1"/>
        <v>0x08C</v>
      </c>
      <c r="O33" s="1">
        <f>140+(HEX2DEC(50200000))</f>
        <v>1344274572</v>
      </c>
      <c r="P33" s="4" t="str">
        <f t="shared" si="6"/>
        <v>5020008C</v>
      </c>
      <c r="Q33" s="1" t="str">
        <f t="shared" si="7"/>
        <v>5020008C</v>
      </c>
      <c r="R33" s="1" t="str">
        <f t="shared" si="2"/>
        <v>0x5020008C</v>
      </c>
    </row>
    <row r="34" spans="1:21" x14ac:dyDescent="0.3">
      <c r="A34" s="1" t="s">
        <v>45</v>
      </c>
      <c r="B34" s="1" t="str">
        <f t="shared" si="3"/>
        <v>0x50200090</v>
      </c>
      <c r="C34" s="1" t="str">
        <f t="shared" si="4"/>
        <v>0x090</v>
      </c>
      <c r="D34" s="1" t="s">
        <v>45</v>
      </c>
      <c r="E34" s="2"/>
      <c r="K34" s="1">
        <v>144</v>
      </c>
      <c r="L34" s="4" t="str">
        <f t="shared" si="5"/>
        <v>90</v>
      </c>
      <c r="M34" s="1" t="str">
        <f t="shared" si="0"/>
        <v>090</v>
      </c>
      <c r="N34" s="1" t="str">
        <f t="shared" si="1"/>
        <v>0x090</v>
      </c>
      <c r="O34" s="1">
        <f>144+(HEX2DEC(50200000))</f>
        <v>1344274576</v>
      </c>
      <c r="P34" s="4" t="str">
        <f t="shared" si="6"/>
        <v>50200090</v>
      </c>
      <c r="Q34" s="1" t="str">
        <f t="shared" si="7"/>
        <v>50200090</v>
      </c>
      <c r="R34" s="1" t="str">
        <f t="shared" si="2"/>
        <v>0x50200090</v>
      </c>
    </row>
    <row r="35" spans="1:21" x14ac:dyDescent="0.3">
      <c r="A35" s="1" t="s">
        <v>46</v>
      </c>
      <c r="B35" s="1" t="str">
        <f t="shared" si="3"/>
        <v>0x50200094</v>
      </c>
      <c r="C35" s="1" t="str">
        <f t="shared" si="4"/>
        <v>0x094</v>
      </c>
      <c r="D35" s="1" t="s">
        <v>46</v>
      </c>
      <c r="E35" s="2"/>
      <c r="K35" s="1">
        <v>148</v>
      </c>
      <c r="L35" s="4" t="str">
        <f t="shared" si="5"/>
        <v>94</v>
      </c>
      <c r="M35" s="1" t="str">
        <f t="shared" si="0"/>
        <v>094</v>
      </c>
      <c r="N35" s="1" t="str">
        <f t="shared" si="1"/>
        <v>0x094</v>
      </c>
      <c r="O35" s="1">
        <f>148+(HEX2DEC(50200000))</f>
        <v>1344274580</v>
      </c>
      <c r="P35" s="4" t="str">
        <f t="shared" si="6"/>
        <v>50200094</v>
      </c>
      <c r="Q35" s="1" t="str">
        <f t="shared" si="7"/>
        <v>50200094</v>
      </c>
      <c r="R35" s="1" t="str">
        <f t="shared" si="2"/>
        <v>0x50200094</v>
      </c>
    </row>
    <row r="36" spans="1:21" x14ac:dyDescent="0.3">
      <c r="A36" s="1" t="s">
        <v>47</v>
      </c>
      <c r="B36" s="1" t="str">
        <f t="shared" si="3"/>
        <v>0x50200098</v>
      </c>
      <c r="C36" s="1" t="str">
        <f t="shared" si="4"/>
        <v>0x098</v>
      </c>
      <c r="D36" s="1" t="s">
        <v>47</v>
      </c>
      <c r="E36" s="2"/>
      <c r="K36" s="1">
        <v>152</v>
      </c>
      <c r="L36" s="4" t="str">
        <f t="shared" si="5"/>
        <v>98</v>
      </c>
      <c r="M36" s="1" t="str">
        <f t="shared" ref="M36:M67" si="8">REPT(0,3-LEN(L36))&amp;L36</f>
        <v>098</v>
      </c>
      <c r="N36" s="1" t="str">
        <f t="shared" ref="N36:N67" si="9">_xlfn.CONCAT("0x",M36)</f>
        <v>0x098</v>
      </c>
      <c r="O36" s="1">
        <f>152+(HEX2DEC(50200000))</f>
        <v>1344274584</v>
      </c>
      <c r="P36" s="4" t="str">
        <f t="shared" si="6"/>
        <v>50200098</v>
      </c>
      <c r="Q36" s="1" t="str">
        <f t="shared" si="7"/>
        <v>50200098</v>
      </c>
      <c r="R36" s="1" t="str">
        <f t="shared" ref="R36:R67" si="10">_xlfn.CONCAT("0x",Q36)</f>
        <v>0x50200098</v>
      </c>
    </row>
    <row r="37" spans="1:21" x14ac:dyDescent="0.3">
      <c r="A37" s="1" t="s">
        <v>48</v>
      </c>
      <c r="B37" s="1" t="str">
        <f t="shared" si="3"/>
        <v>0x5020009C</v>
      </c>
      <c r="C37" s="1" t="str">
        <f t="shared" si="4"/>
        <v>0x09C</v>
      </c>
      <c r="D37" s="1" t="s">
        <v>48</v>
      </c>
      <c r="E37" s="2"/>
      <c r="K37" s="1">
        <v>156</v>
      </c>
      <c r="L37" s="4" t="str">
        <f t="shared" si="5"/>
        <v>9C</v>
      </c>
      <c r="M37" s="1" t="str">
        <f t="shared" si="8"/>
        <v>09C</v>
      </c>
      <c r="N37" s="1" t="str">
        <f t="shared" si="9"/>
        <v>0x09C</v>
      </c>
      <c r="O37" s="1">
        <f>156+(HEX2DEC(50200000))</f>
        <v>1344274588</v>
      </c>
      <c r="P37" s="4" t="str">
        <f t="shared" si="6"/>
        <v>5020009C</v>
      </c>
      <c r="Q37" s="1" t="str">
        <f t="shared" si="7"/>
        <v>5020009C</v>
      </c>
      <c r="R37" s="1" t="str">
        <f t="shared" si="10"/>
        <v>0x5020009C</v>
      </c>
    </row>
    <row r="38" spans="1:21" x14ac:dyDescent="0.3">
      <c r="A38" s="1" t="s">
        <v>49</v>
      </c>
      <c r="B38" s="1" t="str">
        <f t="shared" si="3"/>
        <v>0x502000A0</v>
      </c>
      <c r="C38" s="1" t="str">
        <f t="shared" si="4"/>
        <v>0x0A0</v>
      </c>
      <c r="D38" s="1" t="s">
        <v>49</v>
      </c>
      <c r="E38" s="2"/>
      <c r="K38" s="1">
        <v>160</v>
      </c>
      <c r="L38" s="4" t="str">
        <f t="shared" si="5"/>
        <v>A0</v>
      </c>
      <c r="M38" s="1" t="str">
        <f t="shared" si="8"/>
        <v>0A0</v>
      </c>
      <c r="N38" s="1" t="str">
        <f t="shared" si="9"/>
        <v>0x0A0</v>
      </c>
      <c r="O38" s="1">
        <f>160+(HEX2DEC(50200000))</f>
        <v>1344274592</v>
      </c>
      <c r="P38" s="4" t="str">
        <f t="shared" si="6"/>
        <v>502000A0</v>
      </c>
      <c r="Q38" s="1" t="str">
        <f t="shared" si="7"/>
        <v>502000A0</v>
      </c>
      <c r="R38" s="1" t="str">
        <f t="shared" si="10"/>
        <v>0x502000A0</v>
      </c>
    </row>
    <row r="39" spans="1:21" x14ac:dyDescent="0.3">
      <c r="A39" s="1" t="s">
        <v>50</v>
      </c>
      <c r="B39" s="1" t="str">
        <f t="shared" si="3"/>
        <v>0x502000A4</v>
      </c>
      <c r="C39" s="1" t="str">
        <f t="shared" si="4"/>
        <v>0x0A4</v>
      </c>
      <c r="D39" s="1" t="s">
        <v>50</v>
      </c>
      <c r="E39" s="2"/>
      <c r="K39" s="1">
        <v>164</v>
      </c>
      <c r="L39" s="4" t="str">
        <f t="shared" si="5"/>
        <v>A4</v>
      </c>
      <c r="M39" s="1" t="str">
        <f t="shared" si="8"/>
        <v>0A4</v>
      </c>
      <c r="N39" s="1" t="str">
        <f t="shared" si="9"/>
        <v>0x0A4</v>
      </c>
      <c r="O39" s="1">
        <f>164+(HEX2DEC(50200000))</f>
        <v>1344274596</v>
      </c>
      <c r="P39" s="4" t="str">
        <f t="shared" si="6"/>
        <v>502000A4</v>
      </c>
      <c r="Q39" s="1" t="str">
        <f t="shared" si="7"/>
        <v>502000A4</v>
      </c>
      <c r="R39" s="1" t="str">
        <f t="shared" si="10"/>
        <v>0x502000A4</v>
      </c>
    </row>
    <row r="40" spans="1:21" x14ac:dyDescent="0.3">
      <c r="A40" s="1" t="s">
        <v>51</v>
      </c>
      <c r="B40" s="1" t="str">
        <f t="shared" si="3"/>
        <v>0x502000A8</v>
      </c>
      <c r="C40" s="1" t="str">
        <f t="shared" si="4"/>
        <v>0x0A8</v>
      </c>
      <c r="D40" s="1" t="s">
        <v>51</v>
      </c>
      <c r="E40" s="2"/>
      <c r="K40" s="1">
        <v>168</v>
      </c>
      <c r="L40" s="4" t="str">
        <f t="shared" si="5"/>
        <v>A8</v>
      </c>
      <c r="M40" s="1" t="str">
        <f t="shared" si="8"/>
        <v>0A8</v>
      </c>
      <c r="N40" s="1" t="str">
        <f t="shared" si="9"/>
        <v>0x0A8</v>
      </c>
      <c r="O40" s="1">
        <f>168+(HEX2DEC(50200000))</f>
        <v>1344274600</v>
      </c>
      <c r="P40" s="4" t="str">
        <f t="shared" si="6"/>
        <v>502000A8</v>
      </c>
      <c r="Q40" s="1" t="str">
        <f t="shared" si="7"/>
        <v>502000A8</v>
      </c>
      <c r="R40" s="1" t="str">
        <f t="shared" si="10"/>
        <v>0x502000A8</v>
      </c>
    </row>
    <row r="41" spans="1:21" x14ac:dyDescent="0.3">
      <c r="A41" s="1" t="s">
        <v>52</v>
      </c>
      <c r="B41" s="1" t="str">
        <f t="shared" si="3"/>
        <v>0x502000AC</v>
      </c>
      <c r="C41" s="1" t="str">
        <f t="shared" si="4"/>
        <v>0x0AC</v>
      </c>
      <c r="D41" s="1" t="s">
        <v>52</v>
      </c>
      <c r="E41" s="2"/>
      <c r="K41" s="1">
        <v>172</v>
      </c>
      <c r="L41" s="4" t="str">
        <f t="shared" si="5"/>
        <v>AC</v>
      </c>
      <c r="M41" s="1" t="str">
        <f t="shared" si="8"/>
        <v>0AC</v>
      </c>
      <c r="N41" s="1" t="str">
        <f t="shared" si="9"/>
        <v>0x0AC</v>
      </c>
      <c r="O41" s="1">
        <f>172+(HEX2DEC(50200000))</f>
        <v>1344274604</v>
      </c>
      <c r="P41" s="4" t="str">
        <f t="shared" si="6"/>
        <v>502000AC</v>
      </c>
      <c r="Q41" s="1" t="str">
        <f t="shared" si="7"/>
        <v>502000AC</v>
      </c>
      <c r="R41" s="1" t="str">
        <f t="shared" si="10"/>
        <v>0x502000AC</v>
      </c>
    </row>
    <row r="42" spans="1:21" x14ac:dyDescent="0.3">
      <c r="A42" s="1" t="s">
        <v>53</v>
      </c>
      <c r="B42" s="1" t="str">
        <f t="shared" si="3"/>
        <v>0x502000B0</v>
      </c>
      <c r="C42" s="1" t="str">
        <f t="shared" si="4"/>
        <v>0x0B0</v>
      </c>
      <c r="D42" s="1" t="s">
        <v>53</v>
      </c>
      <c r="E42" s="2"/>
      <c r="K42" s="1">
        <v>176</v>
      </c>
      <c r="L42" s="4" t="str">
        <f t="shared" si="5"/>
        <v>B0</v>
      </c>
      <c r="M42" s="1" t="str">
        <f t="shared" si="8"/>
        <v>0B0</v>
      </c>
      <c r="N42" s="1" t="str">
        <f t="shared" si="9"/>
        <v>0x0B0</v>
      </c>
      <c r="O42" s="1">
        <f>176+(HEX2DEC(50200000))</f>
        <v>1344274608</v>
      </c>
      <c r="P42" s="4" t="str">
        <f t="shared" si="6"/>
        <v>502000B0</v>
      </c>
      <c r="Q42" s="1" t="str">
        <f t="shared" si="7"/>
        <v>502000B0</v>
      </c>
      <c r="R42" s="1" t="str">
        <f t="shared" si="10"/>
        <v>0x502000B0</v>
      </c>
    </row>
    <row r="43" spans="1:21" x14ac:dyDescent="0.3">
      <c r="A43" s="1" t="s">
        <v>54</v>
      </c>
      <c r="B43" s="1" t="str">
        <f t="shared" si="3"/>
        <v>0x502000B4</v>
      </c>
      <c r="C43" s="1" t="str">
        <f t="shared" si="4"/>
        <v>0x0B4</v>
      </c>
      <c r="D43" s="1" t="s">
        <v>54</v>
      </c>
      <c r="E43" s="2"/>
      <c r="K43" s="1">
        <v>180</v>
      </c>
      <c r="L43" s="4" t="str">
        <f t="shared" si="5"/>
        <v>B4</v>
      </c>
      <c r="M43" s="1" t="str">
        <f t="shared" si="8"/>
        <v>0B4</v>
      </c>
      <c r="N43" s="1" t="str">
        <f t="shared" si="9"/>
        <v>0x0B4</v>
      </c>
      <c r="O43" s="1">
        <f>180+(HEX2DEC(50200000))</f>
        <v>1344274612</v>
      </c>
      <c r="P43" s="4" t="str">
        <f t="shared" si="6"/>
        <v>502000B4</v>
      </c>
      <c r="Q43" s="1" t="str">
        <f t="shared" si="7"/>
        <v>502000B4</v>
      </c>
      <c r="R43" s="1" t="str">
        <f t="shared" si="10"/>
        <v>0x502000B4</v>
      </c>
    </row>
    <row r="44" spans="1:21" x14ac:dyDescent="0.3">
      <c r="A44" s="1" t="s">
        <v>55</v>
      </c>
      <c r="B44" s="1" t="str">
        <f t="shared" si="3"/>
        <v>0x502000B8</v>
      </c>
      <c r="C44" s="1" t="str">
        <f t="shared" si="4"/>
        <v>0x0B8</v>
      </c>
      <c r="D44" s="1" t="s">
        <v>55</v>
      </c>
      <c r="E44" s="1" t="s">
        <v>73</v>
      </c>
      <c r="F44" s="1" t="s">
        <v>74</v>
      </c>
      <c r="K44" s="1">
        <v>184</v>
      </c>
      <c r="L44" s="4" t="str">
        <f t="shared" si="5"/>
        <v>B8</v>
      </c>
      <c r="M44" s="1" t="str">
        <f t="shared" si="8"/>
        <v>0B8</v>
      </c>
      <c r="N44" s="1" t="str">
        <f t="shared" si="9"/>
        <v>0x0B8</v>
      </c>
      <c r="O44" s="1">
        <f>184+(HEX2DEC(50200000))</f>
        <v>1344274616</v>
      </c>
      <c r="P44" s="4" t="str">
        <f t="shared" si="6"/>
        <v>502000B8</v>
      </c>
      <c r="Q44" s="1" t="str">
        <f t="shared" si="7"/>
        <v>502000B8</v>
      </c>
      <c r="R44" s="1" t="str">
        <f t="shared" si="10"/>
        <v>0x502000B8</v>
      </c>
    </row>
    <row r="45" spans="1:21" x14ac:dyDescent="0.3">
      <c r="A45" s="1" t="s">
        <v>29</v>
      </c>
      <c r="B45" s="1" t="str">
        <f t="shared" si="3"/>
        <v>0x502000BC</v>
      </c>
      <c r="C45" s="1" t="str">
        <f t="shared" ref="C45:C58" si="11">N45</f>
        <v>0x0BC</v>
      </c>
      <c r="D45" s="1" t="s">
        <v>29</v>
      </c>
      <c r="E45" s="1" t="s">
        <v>80</v>
      </c>
      <c r="F45" s="6" t="s">
        <v>77</v>
      </c>
      <c r="K45" s="1">
        <v>188</v>
      </c>
      <c r="L45" s="4" t="str">
        <f t="shared" si="5"/>
        <v>BC</v>
      </c>
      <c r="M45" s="1" t="str">
        <f t="shared" si="8"/>
        <v>0BC</v>
      </c>
      <c r="N45" s="1" t="str">
        <f t="shared" si="9"/>
        <v>0x0BC</v>
      </c>
      <c r="O45" s="1">
        <f>188+(HEX2DEC(50200000))</f>
        <v>1344274620</v>
      </c>
      <c r="P45" s="4" t="str">
        <f t="shared" si="6"/>
        <v>502000BC</v>
      </c>
      <c r="Q45" s="1" t="str">
        <f t="shared" si="7"/>
        <v>502000BC</v>
      </c>
      <c r="R45" s="1" t="str">
        <f t="shared" si="10"/>
        <v>0x502000BC</v>
      </c>
    </row>
    <row r="46" spans="1:21" x14ac:dyDescent="0.3">
      <c r="A46" s="1" t="s">
        <v>30</v>
      </c>
      <c r="B46" s="1" t="str">
        <f t="shared" si="3"/>
        <v>0x502000C0</v>
      </c>
      <c r="C46" s="1" t="str">
        <f t="shared" si="11"/>
        <v>0x0C0</v>
      </c>
      <c r="D46" s="1" t="s">
        <v>30</v>
      </c>
      <c r="E46" s="1" t="s">
        <v>81</v>
      </c>
      <c r="F46" s="6" t="s">
        <v>78</v>
      </c>
      <c r="K46" s="1">
        <v>192</v>
      </c>
      <c r="L46" s="4" t="str">
        <f t="shared" si="5"/>
        <v>C0</v>
      </c>
      <c r="M46" s="1" t="str">
        <f t="shared" si="8"/>
        <v>0C0</v>
      </c>
      <c r="N46" s="1" t="str">
        <f t="shared" si="9"/>
        <v>0x0C0</v>
      </c>
      <c r="O46" s="1">
        <f>192+(HEX2DEC(50200000))</f>
        <v>1344274624</v>
      </c>
      <c r="P46" s="4" t="str">
        <f t="shared" si="6"/>
        <v>502000C0</v>
      </c>
      <c r="Q46" s="1" t="str">
        <f t="shared" si="7"/>
        <v>502000C0</v>
      </c>
      <c r="R46" s="1" t="str">
        <f t="shared" si="10"/>
        <v>0x502000C0</v>
      </c>
    </row>
    <row r="47" spans="1:21" x14ac:dyDescent="0.3">
      <c r="A47" s="1" t="s">
        <v>83</v>
      </c>
      <c r="B47" s="1" t="str">
        <f t="shared" si="3"/>
        <v>0x502000C4</v>
      </c>
      <c r="C47" s="1" t="str">
        <f t="shared" si="11"/>
        <v>0x0C4</v>
      </c>
      <c r="D47" s="1" t="s">
        <v>11</v>
      </c>
      <c r="E47" s="1" t="s">
        <v>82</v>
      </c>
      <c r="F47" s="6" t="s">
        <v>79</v>
      </c>
      <c r="K47" s="1">
        <v>196</v>
      </c>
      <c r="L47" s="4" t="str">
        <f t="shared" si="5"/>
        <v>C4</v>
      </c>
      <c r="M47" s="1" t="str">
        <f t="shared" si="8"/>
        <v>0C4</v>
      </c>
      <c r="N47" s="1" t="str">
        <f t="shared" si="9"/>
        <v>0x0C4</v>
      </c>
      <c r="O47" s="1">
        <f>196+(HEX2DEC(50200000))</f>
        <v>1344274628</v>
      </c>
      <c r="P47" s="4" t="str">
        <f t="shared" si="6"/>
        <v>502000C4</v>
      </c>
      <c r="Q47" s="1" t="str">
        <f t="shared" si="7"/>
        <v>502000C4</v>
      </c>
      <c r="R47" s="1" t="str">
        <f t="shared" si="10"/>
        <v>0x502000C4</v>
      </c>
    </row>
    <row r="48" spans="1:21" x14ac:dyDescent="0.3">
      <c r="A48" s="1" t="str">
        <f t="shared" ref="A48:A71" si="12">_xlfn.CONCAT("SM",T48,"_",U48)</f>
        <v>SM0_CLKDIV</v>
      </c>
      <c r="B48" s="1" t="str">
        <f t="shared" si="3"/>
        <v>0x502000C8</v>
      </c>
      <c r="C48" s="1" t="str">
        <f t="shared" si="11"/>
        <v>0x0C8</v>
      </c>
      <c r="D48" s="1" t="str">
        <f>A48</f>
        <v>SM0_CLKDIV</v>
      </c>
      <c r="E48" s="1" t="s">
        <v>63</v>
      </c>
      <c r="F48" s="1" t="s">
        <v>64</v>
      </c>
      <c r="K48" s="1">
        <v>200</v>
      </c>
      <c r="L48" s="4" t="str">
        <f t="shared" si="5"/>
        <v>C8</v>
      </c>
      <c r="M48" s="1" t="str">
        <f t="shared" si="8"/>
        <v>0C8</v>
      </c>
      <c r="N48" s="1" t="str">
        <f t="shared" si="9"/>
        <v>0x0C8</v>
      </c>
      <c r="O48" s="1">
        <f>200+(HEX2DEC(50200000))</f>
        <v>1344274632</v>
      </c>
      <c r="P48" s="4" t="str">
        <f t="shared" si="6"/>
        <v>502000C8</v>
      </c>
      <c r="Q48" s="1" t="str">
        <f t="shared" si="7"/>
        <v>502000C8</v>
      </c>
      <c r="R48" s="1" t="str">
        <f t="shared" si="10"/>
        <v>0x502000C8</v>
      </c>
      <c r="T48" s="1">
        <v>0</v>
      </c>
      <c r="U48" s="1" t="s">
        <v>56</v>
      </c>
    </row>
    <row r="49" spans="1:21" x14ac:dyDescent="0.3">
      <c r="A49" s="1" t="str">
        <f t="shared" si="12"/>
        <v>SM0_EXECCTRL</v>
      </c>
      <c r="B49" s="1" t="str">
        <f t="shared" si="3"/>
        <v>0x502000CC</v>
      </c>
      <c r="C49" s="1" t="str">
        <f t="shared" si="11"/>
        <v>0x0CC</v>
      </c>
      <c r="D49" s="1" t="str">
        <f t="shared" ref="D49:D68" si="13">A49</f>
        <v>SM0_EXECCTRL</v>
      </c>
      <c r="E49" s="1" t="s">
        <v>66</v>
      </c>
      <c r="F49" s="1" t="s">
        <v>65</v>
      </c>
      <c r="K49" s="1">
        <v>204</v>
      </c>
      <c r="L49" s="4" t="str">
        <f t="shared" si="5"/>
        <v>CC</v>
      </c>
      <c r="M49" s="1" t="str">
        <f t="shared" si="8"/>
        <v>0CC</v>
      </c>
      <c r="N49" s="1" t="str">
        <f t="shared" si="9"/>
        <v>0x0CC</v>
      </c>
      <c r="O49" s="1">
        <f>204+(HEX2DEC(50200000))</f>
        <v>1344274636</v>
      </c>
      <c r="P49" s="4" t="str">
        <f t="shared" si="6"/>
        <v>502000CC</v>
      </c>
      <c r="Q49" s="1" t="str">
        <f t="shared" si="7"/>
        <v>502000CC</v>
      </c>
      <c r="R49" s="1" t="str">
        <f t="shared" si="10"/>
        <v>0x502000CC</v>
      </c>
      <c r="T49" s="1">
        <v>0</v>
      </c>
      <c r="U49" s="1" t="s">
        <v>57</v>
      </c>
    </row>
    <row r="50" spans="1:21" x14ac:dyDescent="0.3">
      <c r="A50" s="1" t="str">
        <f t="shared" si="12"/>
        <v>SM0_SHIFTCTRL</v>
      </c>
      <c r="B50" s="1" t="str">
        <f t="shared" si="3"/>
        <v>0x502000D0</v>
      </c>
      <c r="C50" s="1" t="str">
        <f t="shared" si="11"/>
        <v>0x0D0</v>
      </c>
      <c r="D50" s="1" t="str">
        <f t="shared" si="13"/>
        <v>SM0_SHIFTCTRL</v>
      </c>
      <c r="E50" s="1" t="s">
        <v>70</v>
      </c>
      <c r="F50" s="6" t="s">
        <v>69</v>
      </c>
      <c r="K50" s="1">
        <v>208</v>
      </c>
      <c r="L50" s="4" t="str">
        <f t="shared" si="5"/>
        <v>D0</v>
      </c>
      <c r="M50" s="1" t="str">
        <f t="shared" si="8"/>
        <v>0D0</v>
      </c>
      <c r="N50" s="1" t="str">
        <f t="shared" si="9"/>
        <v>0x0D0</v>
      </c>
      <c r="O50" s="1">
        <f>208+(HEX2DEC(50200000))</f>
        <v>1344274640</v>
      </c>
      <c r="P50" s="4" t="str">
        <f t="shared" si="6"/>
        <v>502000D0</v>
      </c>
      <c r="Q50" s="1" t="str">
        <f t="shared" si="7"/>
        <v>502000D0</v>
      </c>
      <c r="R50" s="1" t="str">
        <f t="shared" si="10"/>
        <v>0x502000D0</v>
      </c>
      <c r="T50" s="1">
        <v>0</v>
      </c>
      <c r="U50" s="1" t="s">
        <v>58</v>
      </c>
    </row>
    <row r="51" spans="1:21" x14ac:dyDescent="0.3">
      <c r="A51" s="1" t="str">
        <f t="shared" si="12"/>
        <v>SM0_ADDR</v>
      </c>
      <c r="B51" s="1" t="str">
        <f t="shared" si="3"/>
        <v>0x502000D4</v>
      </c>
      <c r="C51" s="1" t="str">
        <f t="shared" si="11"/>
        <v>0x0D4</v>
      </c>
      <c r="D51" s="1" t="str">
        <f t="shared" si="13"/>
        <v>SM0_ADDR</v>
      </c>
      <c r="E51" s="5" t="s">
        <v>71</v>
      </c>
      <c r="F51" s="1" t="s">
        <v>72</v>
      </c>
      <c r="K51" s="1">
        <v>212</v>
      </c>
      <c r="L51" s="4" t="str">
        <f t="shared" si="5"/>
        <v>D4</v>
      </c>
      <c r="M51" s="1" t="str">
        <f t="shared" si="8"/>
        <v>0D4</v>
      </c>
      <c r="N51" s="1" t="str">
        <f t="shared" si="9"/>
        <v>0x0D4</v>
      </c>
      <c r="O51" s="1">
        <f>212+(HEX2DEC(50200000))</f>
        <v>1344274644</v>
      </c>
      <c r="P51" s="4" t="str">
        <f t="shared" si="6"/>
        <v>502000D4</v>
      </c>
      <c r="Q51" s="1" t="str">
        <f t="shared" si="7"/>
        <v>502000D4</v>
      </c>
      <c r="R51" s="1" t="str">
        <f t="shared" si="10"/>
        <v>0x502000D4</v>
      </c>
      <c r="T51" s="1">
        <v>0</v>
      </c>
      <c r="U51" s="1" t="s">
        <v>59</v>
      </c>
    </row>
    <row r="52" spans="1:21" x14ac:dyDescent="0.3">
      <c r="A52" s="1" t="str">
        <f t="shared" si="12"/>
        <v>SM0_INSTR</v>
      </c>
      <c r="B52" s="1" t="str">
        <f t="shared" si="3"/>
        <v>0x502000D8</v>
      </c>
      <c r="C52" s="1" t="str">
        <f t="shared" si="11"/>
        <v>0x0D8</v>
      </c>
      <c r="D52" s="1" t="str">
        <f t="shared" si="13"/>
        <v>SM0_INSTR</v>
      </c>
      <c r="E52" s="1" t="s">
        <v>73</v>
      </c>
      <c r="F52" s="6" t="s">
        <v>74</v>
      </c>
      <c r="K52" s="1">
        <v>216</v>
      </c>
      <c r="L52" s="4" t="str">
        <f t="shared" si="5"/>
        <v>D8</v>
      </c>
      <c r="M52" s="1" t="str">
        <f t="shared" si="8"/>
        <v>0D8</v>
      </c>
      <c r="N52" s="1" t="str">
        <f t="shared" si="9"/>
        <v>0x0D8</v>
      </c>
      <c r="O52" s="1">
        <f>216+(HEX2DEC(50200000))</f>
        <v>1344274648</v>
      </c>
      <c r="P52" s="4" t="str">
        <f t="shared" si="6"/>
        <v>502000D8</v>
      </c>
      <c r="Q52" s="1" t="str">
        <f t="shared" si="7"/>
        <v>502000D8</v>
      </c>
      <c r="R52" s="1" t="str">
        <f t="shared" si="10"/>
        <v>0x502000D8</v>
      </c>
      <c r="T52" s="1">
        <v>0</v>
      </c>
      <c r="U52" s="1" t="s">
        <v>60</v>
      </c>
    </row>
    <row r="53" spans="1:21" x14ac:dyDescent="0.3">
      <c r="A53" s="1" t="str">
        <f t="shared" si="12"/>
        <v>SM0_PINCTRL</v>
      </c>
      <c r="B53" s="1" t="str">
        <f t="shared" si="3"/>
        <v>0x502000DC</v>
      </c>
      <c r="C53" s="1" t="str">
        <f t="shared" si="11"/>
        <v>0x0DC</v>
      </c>
      <c r="D53" s="1" t="str">
        <f t="shared" si="13"/>
        <v>SM0_PINCTRL</v>
      </c>
      <c r="E53" s="1" t="s">
        <v>75</v>
      </c>
      <c r="F53" s="1" t="s">
        <v>76</v>
      </c>
      <c r="K53" s="1">
        <v>220</v>
      </c>
      <c r="L53" s="4" t="str">
        <f t="shared" si="5"/>
        <v>DC</v>
      </c>
      <c r="M53" s="1" t="str">
        <f t="shared" si="8"/>
        <v>0DC</v>
      </c>
      <c r="N53" s="1" t="str">
        <f t="shared" si="9"/>
        <v>0x0DC</v>
      </c>
      <c r="O53" s="1">
        <f>220+(HEX2DEC(50200000))</f>
        <v>1344274652</v>
      </c>
      <c r="P53" s="4" t="str">
        <f t="shared" si="6"/>
        <v>502000DC</v>
      </c>
      <c r="Q53" s="1" t="str">
        <f t="shared" si="7"/>
        <v>502000DC</v>
      </c>
      <c r="R53" s="1" t="str">
        <f t="shared" si="10"/>
        <v>0x502000DC</v>
      </c>
      <c r="T53" s="1">
        <v>0</v>
      </c>
      <c r="U53" s="1" t="s">
        <v>61</v>
      </c>
    </row>
    <row r="54" spans="1:21" ht="14" customHeight="1" x14ac:dyDescent="0.3">
      <c r="A54" s="1" t="str">
        <f t="shared" si="12"/>
        <v>SM1_CLKDIV</v>
      </c>
      <c r="B54" s="1" t="str">
        <f t="shared" si="3"/>
        <v>0x502000E0</v>
      </c>
      <c r="C54" s="1" t="str">
        <f t="shared" si="11"/>
        <v>0x0E0</v>
      </c>
      <c r="D54" s="1" t="str">
        <f t="shared" si="13"/>
        <v>SM1_CLKDIV</v>
      </c>
      <c r="E54" s="2"/>
      <c r="F54" s="9" t="s">
        <v>89</v>
      </c>
      <c r="K54" s="1">
        <v>224</v>
      </c>
      <c r="L54" s="4" t="str">
        <f t="shared" si="5"/>
        <v>E0</v>
      </c>
      <c r="M54" s="1" t="str">
        <f t="shared" si="8"/>
        <v>0E0</v>
      </c>
      <c r="N54" s="1" t="str">
        <f t="shared" si="9"/>
        <v>0x0E0</v>
      </c>
      <c r="O54" s="1">
        <f>224+(HEX2DEC(50200000))</f>
        <v>1344274656</v>
      </c>
      <c r="P54" s="4" t="str">
        <f t="shared" si="6"/>
        <v>502000E0</v>
      </c>
      <c r="Q54" s="1" t="str">
        <f t="shared" si="7"/>
        <v>502000E0</v>
      </c>
      <c r="R54" s="1" t="str">
        <f t="shared" si="10"/>
        <v>0x502000E0</v>
      </c>
      <c r="T54" s="1">
        <v>1</v>
      </c>
      <c r="U54" s="1" t="s">
        <v>56</v>
      </c>
    </row>
    <row r="55" spans="1:21" x14ac:dyDescent="0.3">
      <c r="A55" s="1" t="str">
        <f t="shared" si="12"/>
        <v>SM1_EXECCTRL</v>
      </c>
      <c r="B55" s="1" t="str">
        <f t="shared" si="3"/>
        <v>0x502000E4</v>
      </c>
      <c r="C55" s="1" t="str">
        <f t="shared" si="11"/>
        <v>0x0E4</v>
      </c>
      <c r="D55" s="1" t="str">
        <f t="shared" si="13"/>
        <v>SM1_EXECCTRL</v>
      </c>
      <c r="E55" s="2"/>
      <c r="F55" s="9"/>
      <c r="K55" s="1">
        <v>228</v>
      </c>
      <c r="L55" s="4" t="str">
        <f t="shared" si="5"/>
        <v>E4</v>
      </c>
      <c r="M55" s="1" t="str">
        <f t="shared" si="8"/>
        <v>0E4</v>
      </c>
      <c r="N55" s="1" t="str">
        <f t="shared" si="9"/>
        <v>0x0E4</v>
      </c>
      <c r="O55" s="1">
        <f>228+(HEX2DEC(50200000))</f>
        <v>1344274660</v>
      </c>
      <c r="P55" s="4" t="str">
        <f t="shared" si="6"/>
        <v>502000E4</v>
      </c>
      <c r="Q55" s="1" t="str">
        <f t="shared" si="7"/>
        <v>502000E4</v>
      </c>
      <c r="R55" s="1" t="str">
        <f t="shared" si="10"/>
        <v>0x502000E4</v>
      </c>
      <c r="T55" s="1">
        <v>1</v>
      </c>
      <c r="U55" s="1" t="s">
        <v>57</v>
      </c>
    </row>
    <row r="56" spans="1:21" x14ac:dyDescent="0.3">
      <c r="A56" s="1" t="str">
        <f t="shared" si="12"/>
        <v>SM1_SHIFTCTRL</v>
      </c>
      <c r="B56" s="1" t="str">
        <f t="shared" si="3"/>
        <v>0x502000E8</v>
      </c>
      <c r="C56" s="1" t="str">
        <f t="shared" si="11"/>
        <v>0x0E8</v>
      </c>
      <c r="D56" s="1" t="str">
        <f t="shared" si="13"/>
        <v>SM1_SHIFTCTRL</v>
      </c>
      <c r="E56" s="2"/>
      <c r="F56" s="9"/>
      <c r="K56" s="1">
        <v>232</v>
      </c>
      <c r="L56" s="4" t="str">
        <f t="shared" si="5"/>
        <v>E8</v>
      </c>
      <c r="M56" s="1" t="str">
        <f t="shared" si="8"/>
        <v>0E8</v>
      </c>
      <c r="N56" s="1" t="str">
        <f t="shared" si="9"/>
        <v>0x0E8</v>
      </c>
      <c r="O56" s="1">
        <f>232+(HEX2DEC(50200000))</f>
        <v>1344274664</v>
      </c>
      <c r="P56" s="4" t="str">
        <f t="shared" si="6"/>
        <v>502000E8</v>
      </c>
      <c r="Q56" s="1" t="str">
        <f t="shared" si="7"/>
        <v>502000E8</v>
      </c>
      <c r="R56" s="1" t="str">
        <f t="shared" si="10"/>
        <v>0x502000E8</v>
      </c>
      <c r="T56" s="1">
        <v>1</v>
      </c>
      <c r="U56" s="1" t="s">
        <v>58</v>
      </c>
    </row>
    <row r="57" spans="1:21" x14ac:dyDescent="0.3">
      <c r="A57" s="1" t="str">
        <f t="shared" si="12"/>
        <v>SM1_ADDR</v>
      </c>
      <c r="B57" s="1" t="str">
        <f t="shared" si="3"/>
        <v>0x502000EC</v>
      </c>
      <c r="C57" s="1" t="str">
        <f t="shared" si="11"/>
        <v>0x0EC</v>
      </c>
      <c r="D57" s="1" t="str">
        <f t="shared" si="13"/>
        <v>SM1_ADDR</v>
      </c>
      <c r="E57" s="2"/>
      <c r="F57" s="9"/>
      <c r="K57" s="1">
        <v>236</v>
      </c>
      <c r="L57" s="4" t="str">
        <f t="shared" si="5"/>
        <v>EC</v>
      </c>
      <c r="M57" s="1" t="str">
        <f t="shared" si="8"/>
        <v>0EC</v>
      </c>
      <c r="N57" s="1" t="str">
        <f t="shared" si="9"/>
        <v>0x0EC</v>
      </c>
      <c r="O57" s="1">
        <f>236+(HEX2DEC(50200000))</f>
        <v>1344274668</v>
      </c>
      <c r="P57" s="4" t="str">
        <f t="shared" si="6"/>
        <v>502000EC</v>
      </c>
      <c r="Q57" s="1" t="str">
        <f t="shared" si="7"/>
        <v>502000EC</v>
      </c>
      <c r="R57" s="1" t="str">
        <f t="shared" si="10"/>
        <v>0x502000EC</v>
      </c>
      <c r="T57" s="1">
        <v>1</v>
      </c>
      <c r="U57" s="1" t="s">
        <v>59</v>
      </c>
    </row>
    <row r="58" spans="1:21" x14ac:dyDescent="0.3">
      <c r="A58" s="1" t="str">
        <f t="shared" si="12"/>
        <v>SM1_INSTR</v>
      </c>
      <c r="B58" s="1" t="str">
        <f t="shared" si="3"/>
        <v>0x502000F0</v>
      </c>
      <c r="C58" s="1" t="str">
        <f t="shared" si="11"/>
        <v>0x0F0</v>
      </c>
      <c r="D58" s="1" t="str">
        <f t="shared" si="13"/>
        <v>SM1_INSTR</v>
      </c>
      <c r="E58" s="2"/>
      <c r="F58" s="9"/>
      <c r="K58" s="1">
        <v>240</v>
      </c>
      <c r="L58" s="4" t="str">
        <f t="shared" si="5"/>
        <v>F0</v>
      </c>
      <c r="M58" s="1" t="str">
        <f t="shared" si="8"/>
        <v>0F0</v>
      </c>
      <c r="N58" s="1" t="str">
        <f t="shared" si="9"/>
        <v>0x0F0</v>
      </c>
      <c r="O58" s="1">
        <f>240+(HEX2DEC(50200000))</f>
        <v>1344274672</v>
      </c>
      <c r="P58" s="4" t="str">
        <f t="shared" si="6"/>
        <v>502000F0</v>
      </c>
      <c r="Q58" s="1" t="str">
        <f t="shared" si="7"/>
        <v>502000F0</v>
      </c>
      <c r="R58" s="1" t="str">
        <f t="shared" si="10"/>
        <v>0x502000F0</v>
      </c>
      <c r="T58" s="1">
        <v>1</v>
      </c>
      <c r="U58" s="1" t="s">
        <v>60</v>
      </c>
    </row>
    <row r="59" spans="1:21" ht="14" customHeight="1" x14ac:dyDescent="0.3">
      <c r="A59" s="1" t="str">
        <f t="shared" si="12"/>
        <v>SM1_PINCTRL</v>
      </c>
      <c r="B59" s="1" t="str">
        <f t="shared" si="3"/>
        <v>0x502000F4</v>
      </c>
      <c r="C59" s="1" t="str">
        <f t="shared" ref="C59:C68" si="14">N59</f>
        <v>0x0F4</v>
      </c>
      <c r="D59" s="1" t="str">
        <f t="shared" si="13"/>
        <v>SM1_PINCTRL</v>
      </c>
      <c r="E59" s="8"/>
      <c r="F59" s="9"/>
      <c r="K59" s="1">
        <v>244</v>
      </c>
      <c r="L59" s="4" t="str">
        <f t="shared" si="5"/>
        <v>F4</v>
      </c>
      <c r="M59" s="1" t="str">
        <f t="shared" si="8"/>
        <v>0F4</v>
      </c>
      <c r="N59" s="1" t="str">
        <f t="shared" si="9"/>
        <v>0x0F4</v>
      </c>
      <c r="O59" s="1">
        <f>244+(HEX2DEC(50200000))</f>
        <v>1344274676</v>
      </c>
      <c r="P59" s="4" t="str">
        <f t="shared" si="6"/>
        <v>502000F4</v>
      </c>
      <c r="Q59" s="1" t="str">
        <f t="shared" si="7"/>
        <v>502000F4</v>
      </c>
      <c r="R59" s="1" t="str">
        <f t="shared" si="10"/>
        <v>0x502000F4</v>
      </c>
      <c r="T59" s="1">
        <v>1</v>
      </c>
      <c r="U59" s="1" t="s">
        <v>61</v>
      </c>
    </row>
    <row r="60" spans="1:21" x14ac:dyDescent="0.3">
      <c r="A60" s="1" t="str">
        <f t="shared" si="12"/>
        <v>SM2_CLKDIV</v>
      </c>
      <c r="B60" s="1" t="str">
        <f t="shared" si="3"/>
        <v>0x502000F8</v>
      </c>
      <c r="C60" s="1" t="str">
        <f t="shared" si="14"/>
        <v>0x0F8</v>
      </c>
      <c r="D60" s="1" t="str">
        <f t="shared" si="13"/>
        <v>SM2_CLKDIV</v>
      </c>
      <c r="E60" s="2"/>
      <c r="F60" s="9"/>
      <c r="K60" s="1">
        <v>248</v>
      </c>
      <c r="L60" s="4" t="str">
        <f t="shared" si="5"/>
        <v>F8</v>
      </c>
      <c r="M60" s="1" t="str">
        <f t="shared" si="8"/>
        <v>0F8</v>
      </c>
      <c r="N60" s="1" t="str">
        <f t="shared" si="9"/>
        <v>0x0F8</v>
      </c>
      <c r="O60" s="1">
        <f>248+(HEX2DEC(50200000))</f>
        <v>1344274680</v>
      </c>
      <c r="P60" s="4" t="str">
        <f t="shared" si="6"/>
        <v>502000F8</v>
      </c>
      <c r="Q60" s="1" t="str">
        <f t="shared" si="7"/>
        <v>502000F8</v>
      </c>
      <c r="R60" s="1" t="str">
        <f t="shared" si="10"/>
        <v>0x502000F8</v>
      </c>
      <c r="T60" s="1">
        <v>2</v>
      </c>
      <c r="U60" s="1" t="s">
        <v>56</v>
      </c>
    </row>
    <row r="61" spans="1:21" x14ac:dyDescent="0.3">
      <c r="A61" s="1" t="str">
        <f t="shared" si="12"/>
        <v>SM2_EXECCTRL</v>
      </c>
      <c r="B61" s="1" t="str">
        <f t="shared" si="3"/>
        <v>0x502000FC</v>
      </c>
      <c r="C61" s="1" t="str">
        <f t="shared" si="14"/>
        <v>0x0FC</v>
      </c>
      <c r="D61" s="1" t="str">
        <f t="shared" si="13"/>
        <v>SM2_EXECCTRL</v>
      </c>
      <c r="E61" s="2"/>
      <c r="F61" s="9"/>
      <c r="K61" s="1">
        <v>252</v>
      </c>
      <c r="L61" s="4" t="str">
        <f t="shared" si="5"/>
        <v>FC</v>
      </c>
      <c r="M61" s="1" t="str">
        <f t="shared" si="8"/>
        <v>0FC</v>
      </c>
      <c r="N61" s="1" t="str">
        <f t="shared" si="9"/>
        <v>0x0FC</v>
      </c>
      <c r="O61" s="1">
        <f>252+(HEX2DEC(50200000))</f>
        <v>1344274684</v>
      </c>
      <c r="P61" s="4" t="str">
        <f t="shared" si="6"/>
        <v>502000FC</v>
      </c>
      <c r="Q61" s="1" t="str">
        <f t="shared" si="7"/>
        <v>502000FC</v>
      </c>
      <c r="R61" s="1" t="str">
        <f t="shared" si="10"/>
        <v>0x502000FC</v>
      </c>
      <c r="T61" s="1">
        <v>2</v>
      </c>
      <c r="U61" s="1" t="s">
        <v>57</v>
      </c>
    </row>
    <row r="62" spans="1:21" x14ac:dyDescent="0.3">
      <c r="A62" s="1" t="str">
        <f t="shared" si="12"/>
        <v>SM2_SHIFTCTRL</v>
      </c>
      <c r="B62" s="1" t="str">
        <f t="shared" si="3"/>
        <v>0x50200100</v>
      </c>
      <c r="C62" s="1" t="str">
        <f t="shared" si="14"/>
        <v>0x100</v>
      </c>
      <c r="D62" s="1" t="str">
        <f t="shared" si="13"/>
        <v>SM2_SHIFTCTRL</v>
      </c>
      <c r="E62" s="2"/>
      <c r="F62" s="9"/>
      <c r="K62" s="1">
        <v>256</v>
      </c>
      <c r="L62" s="4" t="str">
        <f t="shared" si="5"/>
        <v>100</v>
      </c>
      <c r="M62" s="1" t="str">
        <f t="shared" si="8"/>
        <v>100</v>
      </c>
      <c r="N62" s="1" t="str">
        <f t="shared" si="9"/>
        <v>0x100</v>
      </c>
      <c r="O62" s="1">
        <f>256+(HEX2DEC(50200000))</f>
        <v>1344274688</v>
      </c>
      <c r="P62" s="4" t="str">
        <f t="shared" si="6"/>
        <v>50200100</v>
      </c>
      <c r="Q62" s="1" t="str">
        <f t="shared" si="7"/>
        <v>50200100</v>
      </c>
      <c r="R62" s="1" t="str">
        <f t="shared" si="10"/>
        <v>0x50200100</v>
      </c>
      <c r="T62" s="1">
        <v>2</v>
      </c>
      <c r="U62" s="1" t="s">
        <v>58</v>
      </c>
    </row>
    <row r="63" spans="1:21" x14ac:dyDescent="0.3">
      <c r="A63" s="1" t="str">
        <f t="shared" si="12"/>
        <v>SM2_ADDR</v>
      </c>
      <c r="B63" s="1" t="str">
        <f t="shared" si="3"/>
        <v>0x50200104</v>
      </c>
      <c r="C63" s="1" t="str">
        <f t="shared" si="14"/>
        <v>0x104</v>
      </c>
      <c r="D63" s="1" t="str">
        <f t="shared" si="13"/>
        <v>SM2_ADDR</v>
      </c>
      <c r="E63" s="2"/>
      <c r="F63" s="9"/>
      <c r="K63" s="1">
        <v>260</v>
      </c>
      <c r="L63" s="4" t="str">
        <f t="shared" si="5"/>
        <v>104</v>
      </c>
      <c r="M63" s="1" t="str">
        <f t="shared" si="8"/>
        <v>104</v>
      </c>
      <c r="N63" s="1" t="str">
        <f t="shared" si="9"/>
        <v>0x104</v>
      </c>
      <c r="O63" s="1">
        <f>260+(HEX2DEC(50200000))</f>
        <v>1344274692</v>
      </c>
      <c r="P63" s="4" t="str">
        <f t="shared" si="6"/>
        <v>50200104</v>
      </c>
      <c r="Q63" s="1" t="str">
        <f t="shared" si="7"/>
        <v>50200104</v>
      </c>
      <c r="R63" s="1" t="str">
        <f t="shared" si="10"/>
        <v>0x50200104</v>
      </c>
      <c r="T63" s="1">
        <v>2</v>
      </c>
      <c r="U63" s="1" t="s">
        <v>59</v>
      </c>
    </row>
    <row r="64" spans="1:21" x14ac:dyDescent="0.3">
      <c r="A64" s="1" t="str">
        <f t="shared" si="12"/>
        <v>SM2_INSTR</v>
      </c>
      <c r="B64" s="1" t="str">
        <f t="shared" si="3"/>
        <v>0x50200108</v>
      </c>
      <c r="C64" s="1" t="str">
        <f t="shared" si="14"/>
        <v>0x108</v>
      </c>
      <c r="D64" s="1" t="str">
        <f t="shared" si="13"/>
        <v>SM2_INSTR</v>
      </c>
      <c r="E64" s="2"/>
      <c r="F64" s="9"/>
      <c r="K64" s="1">
        <v>264</v>
      </c>
      <c r="L64" s="4" t="str">
        <f t="shared" si="5"/>
        <v>108</v>
      </c>
      <c r="M64" s="1" t="str">
        <f t="shared" si="8"/>
        <v>108</v>
      </c>
      <c r="N64" s="1" t="str">
        <f t="shared" si="9"/>
        <v>0x108</v>
      </c>
      <c r="O64" s="1">
        <f>264+(HEX2DEC(50200000))</f>
        <v>1344274696</v>
      </c>
      <c r="P64" s="4" t="str">
        <f t="shared" si="6"/>
        <v>50200108</v>
      </c>
      <c r="Q64" s="1" t="str">
        <f t="shared" si="7"/>
        <v>50200108</v>
      </c>
      <c r="R64" s="1" t="str">
        <f t="shared" si="10"/>
        <v>0x50200108</v>
      </c>
      <c r="T64" s="1">
        <v>2</v>
      </c>
      <c r="U64" s="1" t="s">
        <v>60</v>
      </c>
    </row>
    <row r="65" spans="1:21" x14ac:dyDescent="0.3">
      <c r="A65" s="1" t="str">
        <f t="shared" si="12"/>
        <v>SM2_PINCTRL</v>
      </c>
      <c r="B65" s="1" t="str">
        <f t="shared" si="3"/>
        <v>0x5020010C</v>
      </c>
      <c r="C65" s="1" t="str">
        <f t="shared" si="14"/>
        <v>0x10C</v>
      </c>
      <c r="D65" s="1" t="str">
        <f t="shared" si="13"/>
        <v>SM2_PINCTRL</v>
      </c>
      <c r="E65" s="2"/>
      <c r="F65" s="9"/>
      <c r="K65" s="1">
        <v>268</v>
      </c>
      <c r="L65" s="4" t="str">
        <f t="shared" si="5"/>
        <v>10C</v>
      </c>
      <c r="M65" s="1" t="str">
        <f t="shared" si="8"/>
        <v>10C</v>
      </c>
      <c r="N65" s="1" t="str">
        <f t="shared" si="9"/>
        <v>0x10C</v>
      </c>
      <c r="O65" s="1">
        <f>268+(HEX2DEC(50200000))</f>
        <v>1344274700</v>
      </c>
      <c r="P65" s="4" t="str">
        <f t="shared" si="6"/>
        <v>5020010C</v>
      </c>
      <c r="Q65" s="1" t="str">
        <f t="shared" si="7"/>
        <v>5020010C</v>
      </c>
      <c r="R65" s="1" t="str">
        <f t="shared" si="10"/>
        <v>0x5020010C</v>
      </c>
      <c r="T65" s="1">
        <v>2</v>
      </c>
      <c r="U65" s="1" t="s">
        <v>61</v>
      </c>
    </row>
    <row r="66" spans="1:21" x14ac:dyDescent="0.3">
      <c r="A66" s="1" t="str">
        <f t="shared" si="12"/>
        <v>SM3_CLKDIV</v>
      </c>
      <c r="B66" s="1" t="str">
        <f t="shared" si="3"/>
        <v>0x50200110</v>
      </c>
      <c r="C66" s="1" t="str">
        <f t="shared" si="14"/>
        <v>0x110</v>
      </c>
      <c r="D66" s="1" t="str">
        <f t="shared" si="13"/>
        <v>SM3_CLKDIV</v>
      </c>
      <c r="E66" s="2"/>
      <c r="F66" s="9"/>
      <c r="K66" s="1">
        <v>272</v>
      </c>
      <c r="L66" s="4" t="str">
        <f t="shared" si="5"/>
        <v>110</v>
      </c>
      <c r="M66" s="1" t="str">
        <f t="shared" si="8"/>
        <v>110</v>
      </c>
      <c r="N66" s="1" t="str">
        <f t="shared" si="9"/>
        <v>0x110</v>
      </c>
      <c r="O66" s="1">
        <f>272+(HEX2DEC(50200000))</f>
        <v>1344274704</v>
      </c>
      <c r="P66" s="4" t="str">
        <f t="shared" si="6"/>
        <v>50200110</v>
      </c>
      <c r="Q66" s="1" t="str">
        <f t="shared" si="7"/>
        <v>50200110</v>
      </c>
      <c r="R66" s="1" t="str">
        <f t="shared" si="10"/>
        <v>0x50200110</v>
      </c>
      <c r="T66" s="1">
        <v>3</v>
      </c>
      <c r="U66" s="1" t="s">
        <v>56</v>
      </c>
    </row>
    <row r="67" spans="1:21" x14ac:dyDescent="0.3">
      <c r="A67" s="1" t="str">
        <f t="shared" si="12"/>
        <v>SM3_EXECCTRL</v>
      </c>
      <c r="B67" s="1" t="str">
        <f t="shared" si="3"/>
        <v>0x50200114</v>
      </c>
      <c r="C67" s="1" t="str">
        <f t="shared" si="14"/>
        <v>0x114</v>
      </c>
      <c r="D67" s="1" t="str">
        <f t="shared" si="13"/>
        <v>SM3_EXECCTRL</v>
      </c>
      <c r="E67" s="2"/>
      <c r="F67" s="9"/>
      <c r="K67" s="1">
        <v>276</v>
      </c>
      <c r="L67" s="4" t="str">
        <f t="shared" si="5"/>
        <v>114</v>
      </c>
      <c r="M67" s="1" t="str">
        <f t="shared" si="8"/>
        <v>114</v>
      </c>
      <c r="N67" s="1" t="str">
        <f t="shared" si="9"/>
        <v>0x114</v>
      </c>
      <c r="O67" s="1">
        <f>276+(HEX2DEC(50200000))</f>
        <v>1344274708</v>
      </c>
      <c r="P67" s="4" t="str">
        <f t="shared" si="6"/>
        <v>50200114</v>
      </c>
      <c r="Q67" s="1" t="str">
        <f t="shared" si="7"/>
        <v>50200114</v>
      </c>
      <c r="R67" s="1" t="str">
        <f t="shared" si="10"/>
        <v>0x50200114</v>
      </c>
      <c r="T67" s="1">
        <v>3</v>
      </c>
      <c r="U67" s="1" t="s">
        <v>57</v>
      </c>
    </row>
    <row r="68" spans="1:21" x14ac:dyDescent="0.3">
      <c r="A68" s="1" t="str">
        <f t="shared" si="12"/>
        <v>SM3_SHIFTCTRL</v>
      </c>
      <c r="B68" s="1" t="str">
        <f t="shared" si="3"/>
        <v>0x50200118</v>
      </c>
      <c r="C68" s="1" t="str">
        <f t="shared" si="14"/>
        <v>0x118</v>
      </c>
      <c r="D68" s="1" t="str">
        <f t="shared" si="13"/>
        <v>SM3_SHIFTCTRL</v>
      </c>
      <c r="E68" s="2"/>
      <c r="F68" s="9"/>
      <c r="K68" s="1">
        <v>280</v>
      </c>
      <c r="L68" s="4" t="str">
        <f t="shared" si="5"/>
        <v>118</v>
      </c>
      <c r="M68" s="1" t="str">
        <f t="shared" ref="M68:M99" si="15">REPT(0,3-LEN(L68))&amp;L68</f>
        <v>118</v>
      </c>
      <c r="N68" s="1" t="str">
        <f t="shared" ref="N68:N99" si="16">_xlfn.CONCAT("0x",M68)</f>
        <v>0x118</v>
      </c>
      <c r="O68" s="1">
        <f>280+(HEX2DEC(50200000))</f>
        <v>1344274712</v>
      </c>
      <c r="P68" s="4" t="str">
        <f t="shared" si="6"/>
        <v>50200118</v>
      </c>
      <c r="Q68" s="1" t="str">
        <f t="shared" si="7"/>
        <v>50200118</v>
      </c>
      <c r="R68" s="1" t="str">
        <f t="shared" ref="R68:R99" si="17">_xlfn.CONCAT("0x",Q68)</f>
        <v>0x50200118</v>
      </c>
      <c r="T68" s="1">
        <v>3</v>
      </c>
      <c r="U68" s="1" t="s">
        <v>58</v>
      </c>
    </row>
    <row r="69" spans="1:21" ht="14" customHeight="1" x14ac:dyDescent="0.3">
      <c r="A69" s="1" t="str">
        <f t="shared" si="12"/>
        <v>SM3_ADDR</v>
      </c>
      <c r="B69" s="1" t="str">
        <f t="shared" ref="B69:B71" si="18">R69</f>
        <v>0x5020011C</v>
      </c>
      <c r="C69" s="1" t="str">
        <f t="shared" ref="C69:C71" si="19">N69</f>
        <v>0x11C</v>
      </c>
      <c r="D69" s="1" t="str">
        <f t="shared" ref="D69:D71" si="20">A69</f>
        <v>SM3_ADDR</v>
      </c>
      <c r="E69" s="2"/>
      <c r="F69" s="9"/>
      <c r="K69" s="1">
        <v>284</v>
      </c>
      <c r="L69" s="4" t="str">
        <f t="shared" ref="L69:L71" si="21">DEC2HEX(K69)</f>
        <v>11C</v>
      </c>
      <c r="M69" s="1" t="str">
        <f t="shared" si="15"/>
        <v>11C</v>
      </c>
      <c r="N69" s="1" t="str">
        <f t="shared" si="16"/>
        <v>0x11C</v>
      </c>
      <c r="O69" s="1">
        <f>284+(HEX2DEC(50200000))</f>
        <v>1344274716</v>
      </c>
      <c r="P69" s="4" t="str">
        <f t="shared" ref="P69:P71" si="22">DEC2HEX(O69)</f>
        <v>5020011C</v>
      </c>
      <c r="Q69" s="1" t="str">
        <f t="shared" ref="Q69:Q71" si="23">REPT(0,8-LEN(P69))&amp;P69</f>
        <v>5020011C</v>
      </c>
      <c r="R69" s="1" t="str">
        <f t="shared" si="17"/>
        <v>0x5020011C</v>
      </c>
      <c r="T69" s="1">
        <v>3</v>
      </c>
      <c r="U69" s="1" t="s">
        <v>59</v>
      </c>
    </row>
    <row r="70" spans="1:21" x14ac:dyDescent="0.3">
      <c r="A70" s="1" t="str">
        <f t="shared" si="12"/>
        <v>SM3_INSTR</v>
      </c>
      <c r="B70" s="1" t="str">
        <f t="shared" si="18"/>
        <v>0x50200120</v>
      </c>
      <c r="C70" s="1" t="str">
        <f t="shared" si="19"/>
        <v>0x120</v>
      </c>
      <c r="D70" s="1" t="str">
        <f t="shared" si="20"/>
        <v>SM3_INSTR</v>
      </c>
      <c r="E70" s="2"/>
      <c r="F70" s="9"/>
      <c r="K70" s="1">
        <v>288</v>
      </c>
      <c r="L70" s="4" t="str">
        <f t="shared" si="21"/>
        <v>120</v>
      </c>
      <c r="M70" s="1" t="str">
        <f t="shared" si="15"/>
        <v>120</v>
      </c>
      <c r="N70" s="1" t="str">
        <f t="shared" si="16"/>
        <v>0x120</v>
      </c>
      <c r="O70" s="1">
        <f>288+(HEX2DEC(50200000))</f>
        <v>1344274720</v>
      </c>
      <c r="P70" s="4" t="str">
        <f t="shared" si="22"/>
        <v>50200120</v>
      </c>
      <c r="Q70" s="1" t="str">
        <f t="shared" si="23"/>
        <v>50200120</v>
      </c>
      <c r="R70" s="1" t="str">
        <f t="shared" si="17"/>
        <v>0x50200120</v>
      </c>
      <c r="T70" s="1">
        <v>3</v>
      </c>
      <c r="U70" s="1" t="s">
        <v>60</v>
      </c>
    </row>
    <row r="71" spans="1:21" x14ac:dyDescent="0.3">
      <c r="A71" s="1" t="str">
        <f t="shared" si="12"/>
        <v>SM3_PINCTRL</v>
      </c>
      <c r="B71" s="1" t="str">
        <f t="shared" si="18"/>
        <v>0x50200124</v>
      </c>
      <c r="C71" s="1" t="str">
        <f t="shared" si="19"/>
        <v>0x124</v>
      </c>
      <c r="D71" s="1" t="str">
        <f t="shared" si="20"/>
        <v>SM3_PINCTRL</v>
      </c>
      <c r="E71" s="2"/>
      <c r="F71" s="9"/>
      <c r="K71" s="1">
        <v>292</v>
      </c>
      <c r="L71" s="4" t="str">
        <f t="shared" si="21"/>
        <v>124</v>
      </c>
      <c r="M71" s="1" t="str">
        <f t="shared" si="15"/>
        <v>124</v>
      </c>
      <c r="N71" s="1" t="str">
        <f t="shared" si="16"/>
        <v>0x124</v>
      </c>
      <c r="O71" s="1">
        <f>292+(HEX2DEC(50200000))</f>
        <v>1344274724</v>
      </c>
      <c r="P71" s="4" t="str">
        <f t="shared" si="22"/>
        <v>50200124</v>
      </c>
      <c r="Q71" s="1" t="str">
        <f t="shared" si="23"/>
        <v>50200124</v>
      </c>
      <c r="R71" s="1" t="str">
        <f t="shared" si="17"/>
        <v>0x50200124</v>
      </c>
      <c r="T71" s="1">
        <v>3</v>
      </c>
      <c r="U71" s="1" t="s">
        <v>61</v>
      </c>
    </row>
  </sheetData>
  <mergeCells count="6">
    <mergeCell ref="F54:F71"/>
    <mergeCell ref="A2:A3"/>
    <mergeCell ref="A8:A11"/>
    <mergeCell ref="A12:A15"/>
    <mergeCell ref="F2:F3"/>
    <mergeCell ref="F8:F1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罗淇文</dc:creator>
  <cp:lastModifiedBy>罗淇文</cp:lastModifiedBy>
  <dcterms:created xsi:type="dcterms:W3CDTF">2022-10-13T20:02:45Z</dcterms:created>
  <dcterms:modified xsi:type="dcterms:W3CDTF">2022-10-17T01:12:19Z</dcterms:modified>
</cp:coreProperties>
</file>