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HRMS\wwwroot\templates\"/>
    </mc:Choice>
  </mc:AlternateContent>
  <bookViews>
    <workbookView xWindow="0" yWindow="0" windowWidth="28800" windowHeight="11235"/>
  </bookViews>
  <sheets>
    <sheet name="T02"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'T02'!$A$2:$EI$3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'T02'!$1:$2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3" i="1" l="1"/>
  <c r="BT3" i="1"/>
  <c r="AD6" i="2" l="1"/>
  <c r="DV3" i="1"/>
  <c r="DV2" i="1"/>
  <c r="BY3" i="1" l="1"/>
  <c r="BX3" i="1"/>
  <c r="BW3" i="1"/>
  <c r="AA6" i="2" s="1"/>
  <c r="BV3" i="1"/>
  <c r="BU3" i="1"/>
  <c r="T6" i="2"/>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S36" i="4" s="1"/>
  <c r="R5" i="4"/>
  <c r="Q5" i="4"/>
  <c r="P5" i="4"/>
  <c r="O5" i="4"/>
  <c r="N5" i="4"/>
  <c r="M5" i="4"/>
  <c r="L5" i="4"/>
  <c r="K5" i="4"/>
  <c r="J5" i="4"/>
  <c r="I5" i="4"/>
  <c r="H5" i="4"/>
  <c r="G5" i="4"/>
  <c r="F5" i="4"/>
  <c r="E5" i="4"/>
  <c r="D5" i="4"/>
  <c r="C5" i="4"/>
  <c r="C36" i="4" s="1"/>
  <c r="S4" i="4"/>
  <c r="Q4" i="4"/>
  <c r="P4" i="4"/>
  <c r="O4" i="4"/>
  <c r="N4" i="4"/>
  <c r="M4" i="4"/>
  <c r="L4" i="4"/>
  <c r="K4" i="4"/>
  <c r="J4" i="4"/>
  <c r="H4" i="4"/>
  <c r="G4" i="4"/>
  <c r="F4" i="4"/>
  <c r="E4" i="4"/>
  <c r="D4" i="4"/>
  <c r="C4" i="4"/>
  <c r="D36" i="4"/>
  <c r="Q6" i="2"/>
  <c r="Q7" i="2" s="1"/>
  <c r="AN6" i="2"/>
  <c r="AM6" i="2"/>
  <c r="AM7" i="2" s="1"/>
  <c r="AJ6" i="2"/>
  <c r="AI6" i="2"/>
  <c r="AI7" i="2" s="1"/>
  <c r="AG6" i="2"/>
  <c r="AC6" i="2"/>
  <c r="AC7" i="2" s="1"/>
  <c r="AB6" i="2"/>
  <c r="AB7" i="2" s="1"/>
  <c r="Z6" i="2"/>
  <c r="Y6" i="2"/>
  <c r="Y7" i="2" s="1"/>
  <c r="X6" i="2"/>
  <c r="X7" i="2" s="1"/>
  <c r="W6" i="2"/>
  <c r="U6" i="2"/>
  <c r="U7" i="2" s="1"/>
  <c r="R6" i="2"/>
  <c r="P6" i="2"/>
  <c r="P7" i="2" s="1"/>
  <c r="O6" i="2"/>
  <c r="N6" i="2"/>
  <c r="M6" i="2"/>
  <c r="M7" i="2" s="1"/>
  <c r="L6" i="2"/>
  <c r="L7" i="2" s="1"/>
  <c r="K6" i="2"/>
  <c r="J6" i="2"/>
  <c r="I6" i="2"/>
  <c r="I7" i="2" s="1"/>
  <c r="H6" i="2"/>
  <c r="H7" i="2" s="1"/>
  <c r="G6" i="2"/>
  <c r="F6" i="2"/>
  <c r="E6" i="2"/>
  <c r="E7" i="2" s="1"/>
  <c r="D6" i="2"/>
  <c r="C6" i="2"/>
  <c r="AF7" i="2"/>
  <c r="AE7" i="2"/>
  <c r="A6" i="2"/>
  <c r="U8" i="4" l="1"/>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J36" i="4"/>
  <c r="N36" i="4"/>
  <c r="G36" i="4"/>
  <c r="K36" i="4"/>
  <c r="O36" i="4"/>
  <c r="T36" i="4"/>
  <c r="E36" i="4"/>
  <c r="M36" i="4"/>
  <c r="Q36" i="4"/>
  <c r="H36" i="4"/>
  <c r="P36" i="4"/>
  <c r="L36" i="4"/>
  <c r="F7" i="2"/>
  <c r="J7" i="2"/>
  <c r="N7" i="2"/>
  <c r="R7" i="2"/>
  <c r="V7" i="2"/>
  <c r="Z7" i="2"/>
  <c r="AD7" i="2"/>
  <c r="AJ7" i="2"/>
  <c r="AN7" i="2"/>
  <c r="G7" i="2"/>
  <c r="K7" i="2"/>
  <c r="O7" i="2"/>
  <c r="S7" i="2"/>
  <c r="W7" i="2"/>
  <c r="AA7" i="2"/>
  <c r="AG7" i="2"/>
  <c r="AK7" i="2"/>
  <c r="AH6" i="2"/>
  <c r="EC3" i="1"/>
  <c r="EB3" i="1"/>
  <c r="DQ3" i="1"/>
  <c r="DO3" i="1"/>
  <c r="DN3" i="1"/>
  <c r="DM3" i="1"/>
  <c r="DL3" i="1"/>
  <c r="DK3" i="1"/>
  <c r="DJ3" i="1"/>
  <c r="DI3" i="1"/>
  <c r="DH3" i="1"/>
  <c r="DG3" i="1"/>
  <c r="N3" i="1" s="1"/>
  <c r="CM3" i="1" s="1"/>
  <c r="DP3" i="1" s="1"/>
  <c r="DB3" i="1"/>
  <c r="CX3" i="1"/>
  <c r="CT3" i="1"/>
  <c r="BZ3" i="1"/>
  <c r="BI3" i="1"/>
  <c r="AO3" i="1"/>
  <c r="AH7" i="2" l="1"/>
  <c r="DS3" i="1"/>
  <c r="CL3" i="1" s="1"/>
  <c r="P3" i="1"/>
  <c r="V3" i="1" s="1"/>
  <c r="DZ3" i="1"/>
  <c r="CI3" i="1" s="1"/>
  <c r="DY3" i="1"/>
  <c r="CC3" i="1" s="1"/>
  <c r="Z3" i="1" l="1"/>
  <c r="Q3" i="1"/>
  <c r="BO3" i="1" s="1"/>
  <c r="U3" i="1"/>
  <c r="AA3" i="1"/>
  <c r="AS3" i="1"/>
  <c r="CH3" i="1" l="1"/>
  <c r="AB3" i="1"/>
  <c r="BJ3" i="1"/>
  <c r="AP3" i="1"/>
  <c r="AV3" i="1"/>
  <c r="CJ3" i="1" l="1"/>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<sst xmlns="http://schemas.openxmlformats.org/spreadsheetml/2006/main" count="260" uniqueCount="245">
  <si>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</si>
  <si>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</si>
  <si>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</si>
  <si>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</si>
  <si>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</si>
  <si>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</si>
  <si>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</si>
  <si>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</si>
  <si>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</si>
  <si>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</si>
  <si>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</si>
  <si>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</si>
  <si>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</si>
  <si>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</si>
  <si>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</si>
  <si>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</si>
  <si>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</si>
  <si>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</si>
  <si>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</si>
  <si>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</si>
  <si>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</si>
  <si>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</si>
  <si>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</si>
  <si>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</si>
  <si>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</si>
  <si>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</si>
  <si>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</si>
  <si>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</si>
  <si>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</si>
  <si>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</si>
  <si>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</si>
  <si>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</si>
  <si>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</si>
  <si>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</si>
  <si>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</si>
  <si>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</si>
  <si>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</si>
  <si>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</si>
  <si>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</si>
  <si>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</si>
  <si>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</si>
  <si>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</si>
  <si>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</si>
  <si>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</si>
  <si>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</si>
  <si>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</si>
  <si>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</si>
  <si>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</si>
  <si>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</si>
  <si>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</si>
  <si>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</si>
  <si>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</si>
  <si>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</si>
  <si>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</si>
  <si>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</si>
  <si>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</si>
  <si>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</si>
  <si>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</si>
  <si>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</si>
  <si>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</si>
  <si>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</si>
  <si>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</si>
  <si>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</si>
  <si>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</si>
  <si>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</si>
  <si>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</si>
  <si>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</si>
  <si>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</si>
  <si>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</si>
  <si>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</si>
  <si>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</si>
  <si>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</si>
  <si>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</si>
  <si>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</si>
  <si>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</si>
  <si>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</si>
  <si>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</si>
  <si>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</si>
  <si>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</si>
  <si>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</si>
  <si>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</si>
  <si>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</si>
  <si>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</si>
  <si>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</si>
  <si>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</si>
  <si>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</si>
  <si>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</si>
  <si>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</si>
  <si>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</si>
  <si>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</si>
  <si>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</si>
  <si>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</si>
  <si>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</si>
  <si>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</si>
  <si>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</si>
  <si>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</si>
  <si>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</si>
  <si>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</si>
  <si>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</si>
  <si>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</si>
  <si>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</si>
  <si>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</si>
  <si>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</si>
  <si>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</si>
  <si>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</si>
  <si>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</si>
  <si>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</si>
  <si>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</si>
  <si>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</si>
  <si>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</si>
  <si>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</si>
  <si>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</si>
  <si>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</si>
  <si>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</si>
  <si>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</si>
  <si>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</si>
  <si>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</si>
  <si>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</si>
  <si>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</si>
  <si>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</si>
  <si>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</si>
  <si>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</si>
  <si>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</si>
  <si>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</si>
  <si>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</si>
  <si>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</si>
  <si>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</si>
  <si>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</si>
  <si>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</si>
  <si>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</si>
  <si>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</si>
  <si>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</si>
  <si>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</si>
  <si>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</si>
  <si>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</si>
  <si>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</si>
  <si>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</si>
  <si>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</si>
  <si>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</si>
  <si>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</si>
  <si>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</si>
  <si>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</si>
  <si>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</si>
  <si>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</si>
  <si>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</si>
  <si>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</si>
  <si>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</si>
  <si>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</si>
  <si>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</si>
  <si>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</si>
  <si>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</si>
  <si>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</si>
  <si>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</si>
  <si>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</si>
  <si>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</si>
  <si>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</si>
  <si>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</si>
  <si>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</si>
  <si>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</si>
  <si>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</si>
  <si>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</si>
  <si>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</si>
  <si>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</si>
  <si>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</si>
  <si>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</si>
  <si>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</si>
  <si>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</si>
  <si>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</si>
  <si>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</si>
  <si>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</si>
  <si>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</si>
  <si>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</si>
  <si>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</si>
  <si>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</si>
  <si>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</si>
  <si>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</si>
  <si>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</si>
  <si>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</si>
  <si>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</si>
  <si>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</si>
  <si>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</si>
  <si>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</si>
  <si>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</si>
  <si>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</si>
  <si>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</si>
  <si>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</si>
  <si>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</si>
  <si>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</si>
  <si>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</si>
  <si>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</si>
  <si>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</si>
  <si>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</si>
  <si>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</si>
  <si>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</si>
  <si>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</si>
  <si>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</si>
  <si>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</si>
  <si>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</si>
  <si>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</si>
  <si>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</si>
  <si>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</si>
  <si>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</si>
  <si>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</si>
  <si>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</si>
  <si>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</si>
  <si>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</si>
  <si>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</si>
  <si>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</si>
  <si>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</si>
  <si>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</si>
  <si>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</si>
  <si>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</si>
  <si>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</si>
  <si>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</si>
  <si>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</si>
  <si>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</si>
  <si>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</si>
  <si>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</si>
  <si>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</si>
  <si>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</si>
  <si>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</si>
  <si>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</si>
  <si>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</si>
  <si>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</si>
  <si>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</si>
  <si>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</si>
  <si>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</si>
  <si>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</si>
  <si>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</si>
  <si>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</si>
  <si>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</si>
  <si>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</si>
  <si>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</si>
  <si>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</si>
  <si>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</si>
  <si>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</si>
  <si>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</si>
  <si>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</si>
  <si>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</si>
  <si>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</si>
  <si>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</si>
  <si>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</si>
  <si>
    <t>Lương TTV</t>
  </si>
  <si>
    <t xml:space="preserve">SỐ NGÀY
(L160) </t>
  </si>
  <si>
    <t>Lương TTV
최저임금</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</si>
</sst>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 numFmtId="170" formatCode="_-* #,##0.0_-;\-* #,##0.0_-;_-* &quot;-&quot;??_-;_-@_-"/>
    <numFmt numFmtId="171" formatCode="000"/>
  </numFmts>
  <fonts count="38">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
      <b/>
      <sz val="11"/>
      <color rgb="FFFF0000"/>
      <name val="Times"/>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9">
    <xf numFmtId="0" fontId="0" fillId="0" borderId="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14" fillId="0" borderId="0">
      <alignment vertical="center"/>
    </xf>
    <xf numFmtId="0" fontId="2" fillId="0" borderId="0"/>
    <xf numFmtId="0" fontId="1" fillId="0" borderId="0"/>
    <xf numFmtId="164" fontId="1" fillId="0" borderId="0" applyFont="0" applyFill="0" applyBorder="0" applyAlignment="0" applyProtection="0"/>
    <xf numFmtId="0" fontId="27" fillId="0" borderId="0"/>
  </cellStyleXfs>
  <cellXfs count="236">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43" fontId="4" fillId="5" borderId="11" xfId="1" applyNumberFormat="1" applyFont="1" applyFill="1" applyBorder="1" applyAlignment="1">
      <alignment horizontal="center" vertical="center" wrapText="1"/>
    </xf>
    <xf numFmtId="41" fontId="8" fillId="7" borderId="11" xfId="2" applyFont="1" applyFill="1" applyBorder="1" applyAlignment="1">
      <alignment horizontal="center" vertical="center" wrapText="1"/>
    </xf>
    <xf numFmtId="0" fontId="11" fillId="0" borderId="0" xfId="0" applyFont="1" applyFill="1" applyAlignment="1">
      <alignment vertical="center"/>
    </xf>
    <xf numFmtId="167" fontId="8" fillId="0" borderId="0" xfId="0" applyNumberFormat="1" applyFont="1" applyFill="1" applyAlignment="1">
      <alignment vertical="center" wrapText="1"/>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6" fontId="11" fillId="0" borderId="0" xfId="0" applyNumberFormat="1" applyFont="1" applyFill="1" applyAlignment="1">
      <alignment horizontal="center" vertical="center"/>
    </xf>
    <xf numFmtId="166"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7" fontId="11" fillId="0" borderId="0" xfId="1" applyNumberFormat="1" applyFont="1" applyFill="1" applyAlignment="1">
      <alignment vertical="center"/>
    </xf>
    <xf numFmtId="167" fontId="11" fillId="0" borderId="0" xfId="1" applyNumberFormat="1" applyFont="1" applyFill="1" applyAlignment="1">
      <alignment horizontal="center" vertical="center"/>
    </xf>
    <xf numFmtId="0" fontId="11" fillId="0" borderId="0" xfId="0" applyFont="1" applyFill="1" applyBorder="1" applyAlignment="1">
      <alignment vertical="center"/>
    </xf>
    <xf numFmtId="168" fontId="11" fillId="0" borderId="0" xfId="0" applyNumberFormat="1" applyFont="1" applyFill="1" applyAlignment="1">
      <alignment vertical="center"/>
    </xf>
    <xf numFmtId="165" fontId="8" fillId="0" borderId="0" xfId="0" applyNumberFormat="1" applyFont="1" applyFill="1" applyAlignment="1">
      <alignment vertical="center" wrapText="1"/>
    </xf>
    <xf numFmtId="164"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7" fontId="8" fillId="3" borderId="13" xfId="1" applyNumberFormat="1" applyFont="1" applyFill="1" applyBorder="1" applyAlignment="1">
      <alignment horizontal="center" vertical="center" wrapText="1"/>
    </xf>
    <xf numFmtId="167" fontId="8" fillId="3" borderId="17" xfId="1" applyNumberFormat="1" applyFont="1" applyFill="1" applyBorder="1" applyAlignment="1">
      <alignment horizontal="center" vertical="center" wrapText="1"/>
    </xf>
    <xf numFmtId="167" fontId="8" fillId="14" borderId="13" xfId="1" applyNumberFormat="1" applyFont="1" applyFill="1" applyBorder="1" applyAlignment="1">
      <alignment horizontal="center" vertical="center" wrapText="1"/>
    </xf>
    <xf numFmtId="43" fontId="4" fillId="5" borderId="13" xfId="1" applyNumberFormat="1" applyFont="1" applyFill="1" applyBorder="1" applyAlignment="1">
      <alignment horizontal="center" vertical="center" wrapText="1"/>
    </xf>
    <xf numFmtId="167" fontId="8" fillId="7" borderId="13" xfId="3" applyNumberFormat="1" applyFont="1" applyFill="1" applyBorder="1" applyAlignment="1">
      <alignment horizontal="center" vertical="center" wrapText="1"/>
    </xf>
    <xf numFmtId="41" fontId="8" fillId="7" borderId="13" xfId="2" applyFont="1" applyFill="1" applyBorder="1" applyAlignment="1">
      <alignment horizontal="center" vertical="center" wrapText="1"/>
    </xf>
    <xf numFmtId="41" fontId="8" fillId="7" borderId="17" xfId="2" applyFont="1" applyFill="1" applyBorder="1" applyAlignment="1">
      <alignment horizontal="center" vertical="center" wrapText="1"/>
    </xf>
    <xf numFmtId="41" fontId="8" fillId="0" borderId="13" xfId="2" applyFont="1" applyFill="1" applyBorder="1" applyAlignment="1">
      <alignment horizontal="center" vertical="center" wrapText="1"/>
    </xf>
    <xf numFmtId="167" fontId="8" fillId="15" borderId="13" xfId="1" applyNumberFormat="1" applyFont="1" applyFill="1" applyBorder="1" applyAlignment="1">
      <alignment horizontal="center" vertical="center" wrapText="1"/>
    </xf>
    <xf numFmtId="169" fontId="8" fillId="0" borderId="13" xfId="1" applyNumberFormat="1" applyFont="1" applyFill="1" applyBorder="1" applyAlignment="1">
      <alignment horizontal="center" vertical="center" wrapText="1"/>
    </xf>
    <xf numFmtId="167" fontId="8" fillId="7" borderId="13" xfId="1" applyNumberFormat="1" applyFont="1" applyFill="1" applyBorder="1" applyAlignment="1">
      <alignment horizontal="center" vertical="center" wrapText="1"/>
    </xf>
    <xf numFmtId="167" fontId="8" fillId="12" borderId="13" xfId="3" applyNumberFormat="1" applyFont="1" applyFill="1" applyBorder="1" applyAlignment="1">
      <alignment horizontal="center" vertical="center" wrapText="1"/>
    </xf>
    <xf numFmtId="167" fontId="12" fillId="12" borderId="13" xfId="3" applyNumberFormat="1" applyFont="1" applyFill="1" applyBorder="1" applyAlignment="1">
      <alignment horizontal="center" vertical="center" wrapText="1"/>
    </xf>
    <xf numFmtId="167"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7" fontId="8" fillId="0" borderId="14" xfId="0" applyNumberFormat="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4" xfId="0" applyNumberFormat="1" applyFont="1" applyFill="1" applyBorder="1" applyAlignment="1">
      <alignment horizontal="center" vertical="center" wrapText="1"/>
    </xf>
    <xf numFmtId="167" fontId="12" fillId="0" borderId="14" xfId="1" applyNumberFormat="1" applyFont="1" applyFill="1" applyBorder="1" applyAlignment="1">
      <alignment horizontal="center" vertical="center" wrapText="1"/>
    </xf>
    <xf numFmtId="167" fontId="12" fillId="3" borderId="13"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43" fontId="4" fillId="5" borderId="11" xfId="1" applyFont="1" applyFill="1" applyBorder="1" applyAlignment="1">
      <alignment horizontal="center" vertical="center"/>
    </xf>
    <xf numFmtId="0" fontId="1" fillId="0" borderId="0" xfId="6" applyFill="1"/>
    <xf numFmtId="0" fontId="22" fillId="0" borderId="0" xfId="6" applyFont="1" applyFill="1"/>
    <xf numFmtId="170" fontId="22" fillId="0" borderId="0" xfId="7" applyNumberFormat="1" applyFont="1" applyFill="1"/>
    <xf numFmtId="170" fontId="22" fillId="0" borderId="0" xfId="7" applyNumberFormat="1" applyFont="1" applyFill="1" applyAlignment="1">
      <alignment horizontal="center"/>
    </xf>
    <xf numFmtId="165"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5" fontId="26" fillId="0" borderId="10" xfId="7" applyNumberFormat="1" applyFont="1" applyFill="1" applyBorder="1" applyAlignment="1">
      <alignment horizontal="center" vertical="center"/>
    </xf>
    <xf numFmtId="165"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5"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0" fontId="31" fillId="0" borderId="0" xfId="7" applyNumberFormat="1" applyFont="1"/>
    <xf numFmtId="165" fontId="32" fillId="2" borderId="0" xfId="7" applyNumberFormat="1" applyFont="1" applyFill="1" applyBorder="1" applyAlignment="1">
      <alignment horizontal="center" vertical="center"/>
    </xf>
    <xf numFmtId="165"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0" fontId="0" fillId="0" borderId="0" xfId="7" applyNumberFormat="1" applyFont="1"/>
    <xf numFmtId="165" fontId="33" fillId="2" borderId="0" xfId="7" applyNumberFormat="1" applyFont="1" applyFill="1" applyBorder="1" applyAlignment="1">
      <alignment horizontal="center" vertical="center"/>
    </xf>
    <xf numFmtId="165" fontId="33" fillId="2" borderId="0" xfId="7" applyNumberFormat="1" applyFont="1" applyFill="1" applyBorder="1" applyAlignment="1">
      <alignment vertical="center"/>
    </xf>
    <xf numFmtId="165" fontId="34" fillId="2" borderId="0" xfId="7" applyNumberFormat="1" applyFont="1" applyFill="1" applyBorder="1" applyAlignment="1">
      <alignment horizontal="center" vertical="center"/>
    </xf>
    <xf numFmtId="170" fontId="0" fillId="0" borderId="0" xfId="7" applyNumberFormat="1" applyFont="1" applyAlignment="1">
      <alignment horizontal="center"/>
    </xf>
    <xf numFmtId="165"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7"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7" fontId="36" fillId="0" borderId="0" xfId="1" applyNumberFormat="1" applyFont="1"/>
    <xf numFmtId="3" fontId="2" fillId="0" borderId="23" xfId="8" applyNumberFormat="1" applyFont="1" applyBorder="1"/>
    <xf numFmtId="167" fontId="27" fillId="0" borderId="0" xfId="8" applyNumberFormat="1"/>
    <xf numFmtId="167" fontId="0" fillId="0" borderId="0" xfId="1" applyNumberFormat="1" applyFont="1"/>
    <xf numFmtId="43" fontId="27" fillId="0" borderId="0" xfId="8" applyNumberFormat="1"/>
    <xf numFmtId="3" fontId="27" fillId="0" borderId="0" xfId="8" applyNumberFormat="1"/>
    <xf numFmtId="167" fontId="2" fillId="17" borderId="11" xfId="1" applyNumberFormat="1" applyFont="1" applyFill="1" applyBorder="1"/>
    <xf numFmtId="167" fontId="2" fillId="0" borderId="11" xfId="1" applyNumberFormat="1" applyFont="1" applyFill="1" applyBorder="1"/>
    <xf numFmtId="41" fontId="8" fillId="7" borderId="11" xfId="2" applyFont="1" applyFill="1" applyBorder="1" applyAlignment="1">
      <alignment horizontal="center" vertical="center"/>
    </xf>
    <xf numFmtId="0" fontId="37" fillId="5" borderId="14" xfId="0" applyNumberFormat="1"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8" fontId="3" fillId="2" borderId="12" xfId="0" applyNumberFormat="1" applyFont="1" applyFill="1" applyBorder="1" applyAlignment="1">
      <alignment horizontal="center" vertical="center" wrapText="1"/>
    </xf>
    <xf numFmtId="168"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67" fontId="7" fillId="2" borderId="12" xfId="1" applyNumberFormat="1" applyFont="1" applyFill="1" applyBorder="1" applyAlignment="1">
      <alignment horizontal="center" vertical="center" wrapText="1"/>
    </xf>
    <xf numFmtId="167"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65" fontId="3" fillId="7" borderId="10" xfId="1" applyNumberFormat="1" applyFont="1" applyFill="1" applyBorder="1" applyAlignment="1">
      <alignment horizontal="center" vertical="center" wrapText="1"/>
    </xf>
    <xf numFmtId="165" fontId="3" fillId="9" borderId="1" xfId="1" applyNumberFormat="1" applyFont="1" applyFill="1" applyBorder="1" applyAlignment="1">
      <alignment horizontal="center" vertical="center" wrapText="1"/>
    </xf>
    <xf numFmtId="165" fontId="3" fillId="9" borderId="10" xfId="1" applyNumberFormat="1" applyFont="1" applyFill="1" applyBorder="1" applyAlignment="1">
      <alignment horizontal="center" vertical="center" wrapText="1"/>
    </xf>
    <xf numFmtId="167" fontId="3" fillId="10" borderId="1" xfId="1" applyNumberFormat="1" applyFont="1" applyFill="1" applyBorder="1" applyAlignment="1">
      <alignment horizontal="center" vertical="center" wrapText="1"/>
    </xf>
    <xf numFmtId="167" fontId="3" fillId="10" borderId="10" xfId="1" applyNumberFormat="1"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6" fontId="5" fillId="7" borderId="1" xfId="0" applyNumberFormat="1" applyFont="1" applyFill="1" applyBorder="1" applyAlignment="1">
      <alignment horizontal="center" vertical="center" wrapText="1"/>
    </xf>
    <xf numFmtId="166" fontId="5" fillId="7" borderId="10" xfId="0" applyNumberFormat="1" applyFont="1" applyFill="1" applyBorder="1" applyAlignment="1">
      <alignment horizontal="center" vertical="center" wrapText="1"/>
    </xf>
    <xf numFmtId="167" fontId="3" fillId="8" borderId="3" xfId="1" applyNumberFormat="1" applyFont="1" applyFill="1" applyBorder="1" applyAlignment="1">
      <alignment horizontal="center" vertical="center" wrapText="1"/>
    </xf>
    <xf numFmtId="167" fontId="3" fillId="8" borderId="7" xfId="1" applyNumberFormat="1" applyFont="1" applyFill="1" applyBorder="1" applyAlignment="1">
      <alignment horizontal="center" vertical="center" wrapText="1"/>
    </xf>
    <xf numFmtId="167" fontId="3" fillId="8" borderId="6" xfId="1" applyNumberFormat="1" applyFont="1" applyFill="1" applyBorder="1" applyAlignment="1">
      <alignment horizontal="center" vertical="center" wrapText="1"/>
    </xf>
    <xf numFmtId="167" fontId="3" fillId="5" borderId="1" xfId="1" applyNumberFormat="1" applyFont="1" applyFill="1" applyBorder="1" applyAlignment="1">
      <alignment horizontal="center" vertical="center" wrapText="1"/>
    </xf>
    <xf numFmtId="167" fontId="3" fillId="5" borderId="10"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65" fontId="3" fillId="5" borderId="10" xfId="1" applyNumberFormat="1" applyFont="1" applyFill="1" applyBorder="1" applyAlignment="1">
      <alignment horizontal="center" vertical="center" wrapText="1"/>
    </xf>
    <xf numFmtId="43" fontId="4" fillId="5" borderId="8" xfId="1" applyNumberFormat="1" applyFont="1" applyFill="1" applyBorder="1" applyAlignment="1">
      <alignment horizontal="center" vertical="center" wrapText="1"/>
    </xf>
    <xf numFmtId="43" fontId="4" fillId="5" borderId="9" xfId="1" applyNumberFormat="1" applyFont="1" applyFill="1" applyBorder="1" applyAlignment="1">
      <alignment horizontal="center" vertical="center" wrapText="1"/>
    </xf>
    <xf numFmtId="165" fontId="3" fillId="3" borderId="2" xfId="1" applyNumberFormat="1" applyFont="1" applyFill="1" applyBorder="1" applyAlignment="1">
      <alignment horizontal="center" vertical="center" wrapText="1"/>
    </xf>
    <xf numFmtId="165" fontId="3" fillId="3" borderId="11" xfId="1" applyNumberFormat="1" applyFont="1" applyFill="1" applyBorder="1" applyAlignment="1">
      <alignment horizontal="center" vertical="center" wrapText="1"/>
    </xf>
    <xf numFmtId="165" fontId="7" fillId="3" borderId="1" xfId="1" applyNumberFormat="1" applyFont="1" applyFill="1" applyBorder="1" applyAlignment="1">
      <alignment horizontal="center" vertical="center" wrapText="1"/>
    </xf>
    <xf numFmtId="165" fontId="7" fillId="3" borderId="10" xfId="1" applyNumberFormat="1" applyFont="1" applyFill="1" applyBorder="1" applyAlignment="1">
      <alignment horizontal="center" vertical="center" wrapText="1"/>
    </xf>
    <xf numFmtId="165" fontId="3" fillId="3" borderId="3" xfId="1" applyNumberFormat="1" applyFont="1" applyFill="1" applyBorder="1" applyAlignment="1">
      <alignment horizontal="center" vertical="center" wrapText="1"/>
    </xf>
    <xf numFmtId="165" fontId="3" fillId="3" borderId="10"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6" fontId="5" fillId="6" borderId="1" xfId="0" applyNumberFormat="1" applyFont="1" applyFill="1" applyBorder="1" applyAlignment="1">
      <alignment horizontal="center" vertical="center" wrapText="1"/>
    </xf>
    <xf numFmtId="166" fontId="5" fillId="6" borderId="10"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10" xfId="0" applyNumberFormat="1" applyFont="1" applyFill="1" applyBorder="1" applyAlignment="1">
      <alignment horizontal="center" vertical="center" wrapText="1"/>
    </xf>
    <xf numFmtId="165" fontId="3" fillId="3"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70" fontId="25" fillId="0" borderId="19" xfId="7" applyNumberFormat="1" applyFont="1" applyFill="1" applyBorder="1" applyAlignment="1">
      <alignment horizontal="center" vertical="center" wrapText="1"/>
    </xf>
    <xf numFmtId="170" fontId="25" fillId="0" borderId="10"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1" fontId="25" fillId="0" borderId="19" xfId="6" applyNumberFormat="1" applyFont="1" applyFill="1" applyBorder="1" applyAlignment="1">
      <alignment horizontal="center" vertical="center" wrapText="1"/>
    </xf>
    <xf numFmtId="171" fontId="25" fillId="0" borderId="10" xfId="6" applyNumberFormat="1"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5" fontId="32" fillId="2" borderId="0" xfId="7" applyNumberFormat="1" applyFont="1" applyFill="1" applyBorder="1" applyAlignment="1">
      <alignment horizontal="center" vertical="center"/>
    </xf>
    <xf numFmtId="0" fontId="25" fillId="11" borderId="20" xfId="6" applyFont="1" applyFill="1" applyBorder="1" applyAlignment="1">
      <alignment horizontal="center" vertical="center" wrapText="1"/>
    </xf>
    <xf numFmtId="0" fontId="25" fillId="11" borderId="11" xfId="6" applyFont="1" applyFill="1" applyBorder="1" applyAlignment="1">
      <alignment horizontal="center" vertical="center" wrapText="1"/>
    </xf>
    <xf numFmtId="165" fontId="25" fillId="0" borderId="19" xfId="7" applyNumberFormat="1" applyFont="1" applyFill="1" applyBorder="1" applyAlignment="1">
      <alignment horizontal="center" vertical="center" wrapText="1"/>
    </xf>
    <xf numFmtId="165" fontId="25" fillId="0" borderId="10" xfId="7" applyNumberFormat="1" applyFont="1" applyFill="1" applyBorder="1" applyAlignment="1">
      <alignment horizontal="center" vertical="center" wrapText="1"/>
    </xf>
    <xf numFmtId="165" fontId="25" fillId="0" borderId="20" xfId="7" applyNumberFormat="1" applyFont="1" applyFill="1" applyBorder="1" applyAlignment="1">
      <alignment horizontal="center" vertical="center" wrapText="1"/>
    </xf>
    <xf numFmtId="165" fontId="25" fillId="0" borderId="11" xfId="7" applyNumberFormat="1" applyFont="1" applyFill="1" applyBorder="1" applyAlignment="1">
      <alignment horizontal="center" vertical="center" wrapText="1"/>
    </xf>
    <xf numFmtId="165" fontId="33" fillId="2" borderId="0" xfId="7" applyNumberFormat="1" applyFont="1" applyFill="1" applyBorder="1" applyAlignment="1">
      <alignment horizontal="center" vertical="center"/>
    </xf>
    <xf numFmtId="165" fontId="34" fillId="2" borderId="0" xfId="7" applyNumberFormat="1" applyFont="1" applyFill="1" applyBorder="1" applyAlignment="1">
      <alignment horizontal="center" vertical="center"/>
    </xf>
    <xf numFmtId="0" fontId="2" fillId="0" borderId="14" xfId="5" applyBorder="1" applyAlignment="1">
      <alignment horizontal="center" vertical="center" wrapText="1"/>
    </xf>
    <xf numFmtId="0" fontId="2" fillId="0" borderId="14" xfId="5" applyBorder="1" applyAlignment="1">
      <alignment horizontal="center" vertical="center"/>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3"/>
  <sheetViews>
    <sheetView showGridLines="0" tabSelected="1" zoomScaleNormal="100" zoomScaleSheetLayoutView="100" workbookViewId="0">
      <pane xSplit="9" ySplit="2" topLeftCell="CE3" activePane="bottomRight" state="frozen"/>
      <selection pane="topRight" activeCell="J1" sqref="J1"/>
      <selection pane="bottomLeft" activeCell="A3" sqref="A3"/>
      <selection pane="bottomRight" activeCell="CE6" sqref="CE6"/>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204" t="s">
        <v>0</v>
      </c>
      <c r="B1" s="163" t="s">
        <v>1</v>
      </c>
      <c r="C1" s="163" t="s">
        <v>241</v>
      </c>
      <c r="D1" s="163" t="s">
        <v>2</v>
      </c>
      <c r="E1" s="163" t="s">
        <v>3</v>
      </c>
      <c r="F1" s="163" t="s">
        <v>4</v>
      </c>
      <c r="G1" s="206" t="s">
        <v>5</v>
      </c>
      <c r="H1" s="163" t="s">
        <v>6</v>
      </c>
      <c r="I1" s="208" t="s">
        <v>7</v>
      </c>
      <c r="J1" s="210" t="s">
        <v>8</v>
      </c>
      <c r="K1" s="210" t="s">
        <v>9</v>
      </c>
      <c r="L1" s="203" t="s">
        <v>10</v>
      </c>
      <c r="M1" s="191" t="s">
        <v>11</v>
      </c>
      <c r="N1" s="193" t="s">
        <v>12</v>
      </c>
      <c r="O1" s="195" t="s">
        <v>13</v>
      </c>
      <c r="P1" s="1">
        <v>44958</v>
      </c>
      <c r="Q1" s="2">
        <v>44985</v>
      </c>
      <c r="R1" s="197" t="s">
        <v>14</v>
      </c>
      <c r="S1" s="199" t="s">
        <v>15</v>
      </c>
      <c r="T1" s="199" t="s">
        <v>16</v>
      </c>
      <c r="U1" s="180" t="s">
        <v>17</v>
      </c>
      <c r="V1" s="180" t="s">
        <v>18</v>
      </c>
      <c r="W1" s="201" t="s">
        <v>19</v>
      </c>
      <c r="X1" s="201" t="s">
        <v>20</v>
      </c>
      <c r="Y1" s="201" t="s">
        <v>21</v>
      </c>
      <c r="Z1" s="180" t="s">
        <v>22</v>
      </c>
      <c r="AA1" s="180" t="s">
        <v>23</v>
      </c>
      <c r="AB1" s="180" t="s">
        <v>24</v>
      </c>
      <c r="AC1" s="179" t="s">
        <v>25</v>
      </c>
      <c r="AD1" s="179"/>
      <c r="AE1" s="179"/>
      <c r="AF1" s="179"/>
      <c r="AG1" s="179"/>
      <c r="AH1" s="179"/>
      <c r="AI1" s="179" t="s">
        <v>26</v>
      </c>
      <c r="AJ1" s="179"/>
      <c r="AK1" s="179"/>
      <c r="AL1" s="179"/>
      <c r="AM1" s="179"/>
      <c r="AN1" s="179"/>
      <c r="AO1" s="180" t="s">
        <v>27</v>
      </c>
      <c r="AP1" s="180" t="s">
        <v>28</v>
      </c>
      <c r="AQ1" s="185" t="s">
        <v>29</v>
      </c>
      <c r="AR1" s="185" t="s">
        <v>30</v>
      </c>
      <c r="AS1" s="180" t="s">
        <v>31</v>
      </c>
      <c r="AT1" s="185" t="s">
        <v>32</v>
      </c>
      <c r="AU1" s="185" t="s">
        <v>33</v>
      </c>
      <c r="AV1" s="180" t="s">
        <v>34</v>
      </c>
      <c r="AW1" s="179" t="s">
        <v>35</v>
      </c>
      <c r="AX1" s="179"/>
      <c r="AY1" s="179"/>
      <c r="AZ1" s="179"/>
      <c r="BA1" s="179"/>
      <c r="BB1" s="179"/>
      <c r="BC1" s="179" t="s">
        <v>36</v>
      </c>
      <c r="BD1" s="179"/>
      <c r="BE1" s="179"/>
      <c r="BF1" s="179"/>
      <c r="BG1" s="179"/>
      <c r="BH1" s="179"/>
      <c r="BI1" s="180" t="s">
        <v>37</v>
      </c>
      <c r="BJ1" s="180" t="s">
        <v>38</v>
      </c>
      <c r="BK1" s="182" t="s">
        <v>39</v>
      </c>
      <c r="BL1" s="183"/>
      <c r="BM1" s="183"/>
      <c r="BN1" s="183"/>
      <c r="BO1" s="184"/>
      <c r="BP1" s="185" t="s">
        <v>40</v>
      </c>
      <c r="BQ1" s="187" t="s">
        <v>41</v>
      </c>
      <c r="BR1" s="189" t="s">
        <v>42</v>
      </c>
      <c r="BS1" s="190"/>
      <c r="BT1" s="173" t="s">
        <v>43</v>
      </c>
      <c r="BU1" s="173" t="s">
        <v>44</v>
      </c>
      <c r="BV1" s="173" t="s">
        <v>45</v>
      </c>
      <c r="BW1" s="173" t="s">
        <v>46</v>
      </c>
      <c r="BX1" s="173" t="s">
        <v>47</v>
      </c>
      <c r="BY1" s="173" t="s">
        <v>48</v>
      </c>
      <c r="BZ1" s="175" t="s">
        <v>49</v>
      </c>
      <c r="CA1" s="175" t="s">
        <v>50</v>
      </c>
      <c r="CB1" s="175" t="s">
        <v>51</v>
      </c>
      <c r="CC1" s="177" t="s">
        <v>52</v>
      </c>
      <c r="CD1" s="161" t="s">
        <v>53</v>
      </c>
      <c r="CE1" s="161" t="s">
        <v>54</v>
      </c>
      <c r="CF1" s="161" t="s">
        <v>55</v>
      </c>
      <c r="CG1" s="161" t="s">
        <v>56</v>
      </c>
      <c r="CH1" s="146" t="s">
        <v>57</v>
      </c>
      <c r="CI1" s="171" t="s">
        <v>58</v>
      </c>
      <c r="CJ1" s="161" t="s">
        <v>59</v>
      </c>
      <c r="CK1" s="163" t="s">
        <v>60</v>
      </c>
      <c r="CL1" s="146" t="s">
        <v>61</v>
      </c>
      <c r="CM1" s="146" t="s">
        <v>62</v>
      </c>
      <c r="CN1" s="165" t="s">
        <v>63</v>
      </c>
      <c r="CO1" s="146" t="s">
        <v>64</v>
      </c>
      <c r="CP1" s="165" t="s">
        <v>111</v>
      </c>
      <c r="CQ1" s="146" t="s">
        <v>65</v>
      </c>
      <c r="CR1" s="167" t="s">
        <v>66</v>
      </c>
      <c r="CS1" s="169" t="s">
        <v>67</v>
      </c>
      <c r="CT1" s="146" t="s">
        <v>68</v>
      </c>
      <c r="CU1" s="146" t="s">
        <v>69</v>
      </c>
      <c r="CV1" s="146" t="s">
        <v>70</v>
      </c>
      <c r="CW1" s="148" t="s">
        <v>71</v>
      </c>
      <c r="CX1" s="150" t="s">
        <v>72</v>
      </c>
      <c r="CY1" s="152" t="s">
        <v>112</v>
      </c>
      <c r="CZ1" s="140" t="s">
        <v>73</v>
      </c>
      <c r="DA1" s="140"/>
      <c r="DB1" s="140"/>
      <c r="DC1" s="140"/>
      <c r="DD1" s="154" t="s">
        <v>48</v>
      </c>
      <c r="DE1" s="156" t="s">
        <v>74</v>
      </c>
      <c r="DF1" s="158" t="s">
        <v>75</v>
      </c>
      <c r="DG1" s="160">
        <v>44958</v>
      </c>
      <c r="DH1" s="160"/>
      <c r="DI1" s="140" t="s">
        <v>76</v>
      </c>
      <c r="DJ1" s="140"/>
      <c r="DK1" s="140"/>
      <c r="DL1" s="140"/>
      <c r="DM1" s="140"/>
      <c r="DN1" s="140"/>
      <c r="DO1" s="140"/>
      <c r="DP1" s="140" t="s">
        <v>77</v>
      </c>
      <c r="DQ1" s="140"/>
      <c r="DR1" s="140" t="s">
        <v>78</v>
      </c>
      <c r="DS1" s="140"/>
      <c r="DT1" s="140" t="s">
        <v>79</v>
      </c>
      <c r="DU1" s="142" t="s">
        <v>242</v>
      </c>
      <c r="DV1" s="143"/>
      <c r="DW1" s="144" t="s">
        <v>113</v>
      </c>
      <c r="DX1" s="140" t="s">
        <v>80</v>
      </c>
      <c r="DY1" s="140"/>
      <c r="DZ1" s="140"/>
      <c r="EA1" s="140" t="s">
        <v>81</v>
      </c>
      <c r="EB1" s="140"/>
      <c r="EC1" s="140"/>
      <c r="ED1" s="141" t="s">
        <v>82</v>
      </c>
    </row>
    <row r="2" spans="1:139" s="3" customFormat="1" ht="92.25" customHeight="1">
      <c r="A2" s="205"/>
      <c r="B2" s="164"/>
      <c r="C2" s="164"/>
      <c r="D2" s="164"/>
      <c r="E2" s="164"/>
      <c r="F2" s="164"/>
      <c r="G2" s="207"/>
      <c r="H2" s="164"/>
      <c r="I2" s="209"/>
      <c r="J2" s="211"/>
      <c r="K2" s="211"/>
      <c r="L2" s="196"/>
      <c r="M2" s="192"/>
      <c r="N2" s="194"/>
      <c r="O2" s="196"/>
      <c r="P2" s="4" t="s">
        <v>83</v>
      </c>
      <c r="Q2" s="4" t="s">
        <v>84</v>
      </c>
      <c r="R2" s="198"/>
      <c r="S2" s="200"/>
      <c r="T2" s="200"/>
      <c r="U2" s="181"/>
      <c r="V2" s="181"/>
      <c r="W2" s="202"/>
      <c r="X2" s="202"/>
      <c r="Y2" s="202"/>
      <c r="Z2" s="181"/>
      <c r="AA2" s="181"/>
      <c r="AB2" s="181"/>
      <c r="AC2" s="5">
        <v>1.5</v>
      </c>
      <c r="AD2" s="5">
        <v>2</v>
      </c>
      <c r="AE2" s="5">
        <v>2.1</v>
      </c>
      <c r="AF2" s="5">
        <v>2.7</v>
      </c>
      <c r="AG2" s="5">
        <v>3</v>
      </c>
      <c r="AH2" s="5">
        <v>3.9</v>
      </c>
      <c r="AI2" s="5">
        <v>1.5</v>
      </c>
      <c r="AJ2" s="5">
        <v>2</v>
      </c>
      <c r="AK2" s="5">
        <v>2.1</v>
      </c>
      <c r="AL2" s="5">
        <v>2.7</v>
      </c>
      <c r="AM2" s="5">
        <v>3</v>
      </c>
      <c r="AN2" s="5">
        <v>3.9</v>
      </c>
      <c r="AO2" s="181"/>
      <c r="AP2" s="181"/>
      <c r="AQ2" s="186"/>
      <c r="AR2" s="186"/>
      <c r="AS2" s="181"/>
      <c r="AT2" s="186"/>
      <c r="AU2" s="186"/>
      <c r="AV2" s="181"/>
      <c r="AW2" s="5">
        <v>1.5</v>
      </c>
      <c r="AX2" s="5">
        <v>2</v>
      </c>
      <c r="AY2" s="5">
        <v>2</v>
      </c>
      <c r="AZ2" s="5">
        <v>2.7</v>
      </c>
      <c r="BA2" s="5">
        <v>3</v>
      </c>
      <c r="BB2" s="5">
        <v>3.9</v>
      </c>
      <c r="BC2" s="5">
        <v>1.5</v>
      </c>
      <c r="BD2" s="5">
        <v>2</v>
      </c>
      <c r="BE2" s="5">
        <v>2</v>
      </c>
      <c r="BF2" s="5">
        <v>2.7</v>
      </c>
      <c r="BG2" s="5">
        <v>3</v>
      </c>
      <c r="BH2" s="5">
        <v>3.9</v>
      </c>
      <c r="BI2" s="181"/>
      <c r="BJ2" s="181"/>
      <c r="BK2" s="6" t="s">
        <v>85</v>
      </c>
      <c r="BL2" s="6" t="s">
        <v>86</v>
      </c>
      <c r="BM2" s="6" t="s">
        <v>87</v>
      </c>
      <c r="BN2" s="6" t="s">
        <v>88</v>
      </c>
      <c r="BO2" s="7" t="s">
        <v>89</v>
      </c>
      <c r="BP2" s="186"/>
      <c r="BQ2" s="188"/>
      <c r="BR2" s="67" t="s">
        <v>115</v>
      </c>
      <c r="BS2" s="67" t="s">
        <v>116</v>
      </c>
      <c r="BT2" s="174"/>
      <c r="BU2" s="174"/>
      <c r="BV2" s="174"/>
      <c r="BW2" s="174"/>
      <c r="BX2" s="174"/>
      <c r="BY2" s="174"/>
      <c r="BZ2" s="176"/>
      <c r="CA2" s="176"/>
      <c r="CB2" s="176"/>
      <c r="CC2" s="178"/>
      <c r="CD2" s="162"/>
      <c r="CE2" s="162"/>
      <c r="CF2" s="162"/>
      <c r="CG2" s="162"/>
      <c r="CH2" s="147"/>
      <c r="CI2" s="172"/>
      <c r="CJ2" s="162"/>
      <c r="CK2" s="164"/>
      <c r="CL2" s="147"/>
      <c r="CM2" s="147"/>
      <c r="CN2" s="166"/>
      <c r="CO2" s="147"/>
      <c r="CP2" s="166"/>
      <c r="CQ2" s="147"/>
      <c r="CR2" s="168"/>
      <c r="CS2" s="170"/>
      <c r="CT2" s="147"/>
      <c r="CU2" s="147"/>
      <c r="CV2" s="147"/>
      <c r="CW2" s="149"/>
      <c r="CX2" s="151"/>
      <c r="CY2" s="153"/>
      <c r="CZ2" s="30" t="s">
        <v>90</v>
      </c>
      <c r="DA2" s="30" t="s">
        <v>91</v>
      </c>
      <c r="DB2" s="30" t="s">
        <v>92</v>
      </c>
      <c r="DC2" s="30" t="s">
        <v>93</v>
      </c>
      <c r="DD2" s="155"/>
      <c r="DE2" s="157"/>
      <c r="DF2" s="159"/>
      <c r="DG2" s="31" t="s">
        <v>94</v>
      </c>
      <c r="DH2" s="31" t="s">
        <v>95</v>
      </c>
      <c r="DI2" s="32" t="s">
        <v>96</v>
      </c>
      <c r="DJ2" s="32" t="s">
        <v>97</v>
      </c>
      <c r="DK2" s="32" t="s">
        <v>98</v>
      </c>
      <c r="DL2" s="32" t="s">
        <v>99</v>
      </c>
      <c r="DM2" s="32" t="s">
        <v>100</v>
      </c>
      <c r="DN2" s="32" t="s">
        <v>101</v>
      </c>
      <c r="DO2" s="32" t="s">
        <v>102</v>
      </c>
      <c r="DP2" s="32" t="s">
        <v>103</v>
      </c>
      <c r="DQ2" s="32" t="s">
        <v>104</v>
      </c>
      <c r="DR2" s="30" t="s">
        <v>105</v>
      </c>
      <c r="DS2" s="32" t="s">
        <v>106</v>
      </c>
      <c r="DT2" s="141"/>
      <c r="DU2" s="139" t="s">
        <v>243</v>
      </c>
      <c r="DV2" s="33">
        <f>4160000/26</f>
        <v>160000</v>
      </c>
      <c r="DW2" s="145"/>
      <c r="DX2" s="34" t="s">
        <v>107</v>
      </c>
      <c r="DY2" s="34" t="s">
        <v>108</v>
      </c>
      <c r="DZ2" s="34" t="s">
        <v>109</v>
      </c>
      <c r="EA2" s="34" t="s">
        <v>107</v>
      </c>
      <c r="EB2" s="34" t="s">
        <v>108</v>
      </c>
      <c r="EC2" s="34" t="s">
        <v>109</v>
      </c>
      <c r="ED2" s="141"/>
    </row>
    <row r="3" spans="1:139" s="10" customFormat="1" ht="34.5" customHeight="1">
      <c r="A3" s="35"/>
      <c r="B3" s="36" t="s">
        <v>154</v>
      </c>
      <c r="C3" s="37"/>
      <c r="D3" s="38" t="s">
        <v>156</v>
      </c>
      <c r="E3" s="39" t="s">
        <v>157</v>
      </c>
      <c r="F3" s="39" t="s">
        <v>158</v>
      </c>
      <c r="G3" s="39" t="s">
        <v>159</v>
      </c>
      <c r="H3" s="39" t="s">
        <v>160</v>
      </c>
      <c r="I3" s="40">
        <v>42065</v>
      </c>
      <c r="J3" s="41">
        <v>4800000</v>
      </c>
      <c r="K3" s="42">
        <v>350000</v>
      </c>
      <c r="L3" s="42">
        <v>0</v>
      </c>
      <c r="M3" s="41">
        <v>0</v>
      </c>
      <c r="N3" s="65">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42">
        <v>0</v>
      </c>
      <c r="P3" s="43">
        <f t="shared" ref="P3" si="1">+SUM($J3:$O3)/NETWORKDAYS.INTL($P$1,$Q$1,11)</f>
        <v>214583.33333333334</v>
      </c>
      <c r="Q3" s="43">
        <f t="shared" ref="Q3" si="2">+IF(NETWORKDAYS.INTL($P$1,$Q$1,11)&lt;=26,P3/8,(SUM(J3:O3)/26)/8)</f>
        <v>26822.916666666668</v>
      </c>
      <c r="R3" s="44"/>
      <c r="S3" s="44">
        <v>0</v>
      </c>
      <c r="T3" s="44">
        <v>0</v>
      </c>
      <c r="U3" s="45">
        <f t="shared" ref="U3" si="3">85%*$P3*$S3</f>
        <v>0</v>
      </c>
      <c r="V3" s="45">
        <f t="shared" ref="V3" si="4">85%*$P3*130%*$T3</f>
        <v>0</v>
      </c>
      <c r="W3" s="44"/>
      <c r="X3" s="44">
        <v>0</v>
      </c>
      <c r="Y3" s="44">
        <v>0</v>
      </c>
      <c r="Z3" s="45">
        <f t="shared" ref="Z3" si="5">+$P3*($W3+$Y3)</f>
        <v>0</v>
      </c>
      <c r="AA3" s="45">
        <f t="shared" ref="AA3" si="6">+$P3*130%*X3</f>
        <v>0</v>
      </c>
      <c r="AB3" s="45">
        <f t="shared" ref="AB3" si="7">+U3+V3+Z3+AA3</f>
        <v>0</v>
      </c>
      <c r="AC3" s="44">
        <v>0</v>
      </c>
      <c r="AD3" s="44">
        <v>0</v>
      </c>
      <c r="AE3" s="44">
        <v>0</v>
      </c>
      <c r="AF3" s="44">
        <v>0</v>
      </c>
      <c r="AG3" s="44">
        <v>0</v>
      </c>
      <c r="AH3" s="44">
        <v>0</v>
      </c>
      <c r="AI3" s="44">
        <v>0</v>
      </c>
      <c r="AJ3" s="44">
        <v>0</v>
      </c>
      <c r="AK3" s="44">
        <v>0</v>
      </c>
      <c r="AL3" s="44">
        <v>0</v>
      </c>
      <c r="AM3" s="44">
        <v>0</v>
      </c>
      <c r="AN3" s="44">
        <v>0</v>
      </c>
      <c r="AO3" s="45">
        <f t="shared" ref="AO3" si="8">SUM(AC3:AH3,AI3:AN3)</f>
        <v>0</v>
      </c>
      <c r="AP3" s="45">
        <f t="shared" ref="AP3" si="9">+IF(H3="operator",Q3*((AC3+AI3)*150%+(AD3+AJ3)*200%+(AE3+AK3)*210%+(AF3+AL3)*270%+(AG3+AM3)*300%+(AH3+AN3)*390%),Q3*85%*(AC3*150%+AD3*200%+AE3*210%+AF3*270%+AG3*300%+AH3*390%)+Q3*(AI3*150%+AJ3*200%+AK3*210%+AL3*270%+AM3*300%+AN3*390%))</f>
        <v>0</v>
      </c>
      <c r="AQ3" s="44">
        <v>0</v>
      </c>
      <c r="AR3" s="44">
        <v>0</v>
      </c>
      <c r="AS3" s="45">
        <f t="shared" ref="AS3" si="10">260%*P3*(85%*AQ3/2+AR3/2)</f>
        <v>0</v>
      </c>
      <c r="AT3" s="44">
        <v>0</v>
      </c>
      <c r="AU3" s="44">
        <v>0</v>
      </c>
      <c r="AV3" s="45">
        <f t="shared" ref="AV3" si="11">+IF(E3="M1-1",Q3*(AT3+AU3)*200%*(45/60),Q3*85%*AT3*200%*(45/60)+Q3*AU3*200%*(45/60))</f>
        <v>0</v>
      </c>
      <c r="AW3" s="44">
        <v>0</v>
      </c>
      <c r="AX3" s="44">
        <v>0</v>
      </c>
      <c r="AY3" s="44">
        <v>0</v>
      </c>
      <c r="AZ3" s="44">
        <v>0</v>
      </c>
      <c r="BA3" s="44">
        <v>0</v>
      </c>
      <c r="BB3" s="44">
        <v>0</v>
      </c>
      <c r="BC3" s="44">
        <v>0</v>
      </c>
      <c r="BD3" s="44">
        <v>0</v>
      </c>
      <c r="BE3" s="44">
        <v>0</v>
      </c>
      <c r="BF3" s="44">
        <v>0</v>
      </c>
      <c r="BG3" s="44">
        <v>0</v>
      </c>
      <c r="BH3" s="44">
        <v>0</v>
      </c>
      <c r="BI3" s="45">
        <f t="shared" ref="BI3" si="12">SUM(AW3:BB3,BC3:BH3)</f>
        <v>0</v>
      </c>
      <c r="BJ3" s="45">
        <f t="shared" ref="BJ3" si="13">+Q3*85%*(AW3*$AW$2+AX3*$AX$2+AY3*$AY$2+AZ3*$AZ$2+BA3*$BA$2+BB3*$BB$2)+Q3*(BC3*$BC$2+BD3*$BD$2+BE3*$BE$2+BF3*$BF$2+BG3*$BG$2+BH3*$BH$2)</f>
        <v>0</v>
      </c>
      <c r="BK3" s="44">
        <v>0</v>
      </c>
      <c r="BL3" s="44">
        <v>0</v>
      </c>
      <c r="BM3" s="44">
        <v>0</v>
      </c>
      <c r="BN3" s="44">
        <v>0</v>
      </c>
      <c r="BO3" s="46">
        <f t="shared" ref="BO3" si="14">+P3*(BK3*85%+BL3)+Q3*(85%*BM3*(2*70%+2*140%)+BN3*(2*70%+2*140%))</f>
        <v>0</v>
      </c>
      <c r="BP3" s="44">
        <v>0</v>
      </c>
      <c r="BQ3" s="44">
        <v>0</v>
      </c>
      <c r="BR3" s="44">
        <v>0</v>
      </c>
      <c r="BS3" s="44">
        <v>0</v>
      </c>
      <c r="BT3" s="46">
        <f>+IF(BQ3&lt;=0,IF(E3="M1-1",350000/NETWORKDAYS.INTL($P$1,$Q$1,11)*(R3+BP3),350000*85%/NETWORKDAYS.INTL($P$1,$Q$1,11)*(S3+T3)+350000/NETWORKDAYS.INTL($P$1,$Q$1,11)*((W3+X3+Y3+BP3))),0)+(BS3)*350000/NETWORKDAYS.INTL($P$1,$Q$1,11)</f>
        <v>0</v>
      </c>
      <c r="BU3" s="46">
        <f>(DB3/NETWORKDAYS.INTL($P$1,$Q$1,11)*(S3+T3)*85%+DB3/NETWORKDAYS.INTL($P$1,$Q$1,11)*(W3+X3+Y3))+(85%*BS3)*DB3/NETWORKDAYS.INTL($P$1,$Q$1,11)</f>
        <v>0</v>
      </c>
      <c r="BV3" s="46">
        <f>DC3/NETWORKDAYS.INTL($P$1,$Q$1,11)*R3</f>
        <v>0</v>
      </c>
      <c r="BW3" s="138">
        <f>+BS3*SUM(K3:O3)/NETWORKDAYS.INTL($P$1,$Q$1,11)</f>
        <v>0</v>
      </c>
      <c r="BX3" s="138">
        <f>30%*P3*(BR3+BS3)</f>
        <v>0</v>
      </c>
      <c r="BY3" s="46">
        <f>(DD3/NETWORKDAYS.INTL($P$1,$Q$1,11)*(S3+T3)*85%+DD3/NETWORKDAYS.INTL($P$1,$Q$1,11)*(W3+X3+Y3))+(85%*BS3)*DD3/NETWORKDAYS.INTL($P$1,$Q$1,11)</f>
        <v>0</v>
      </c>
      <c r="BZ3" s="46">
        <f t="shared" ref="BZ3" si="15">30000*$DT3</f>
        <v>0</v>
      </c>
      <c r="CA3" s="47"/>
      <c r="CB3" s="46">
        <v>0</v>
      </c>
      <c r="CC3" s="48">
        <f>+DY3+EB3+ED3</f>
        <v>0</v>
      </c>
      <c r="CD3" s="44">
        <v>0</v>
      </c>
      <c r="CE3" s="44">
        <v>0</v>
      </c>
      <c r="CF3" s="44">
        <v>0</v>
      </c>
      <c r="CG3" s="44">
        <v>0</v>
      </c>
      <c r="CH3" s="45">
        <f t="shared" ref="CH3" si="16">IF(H3="operator",(CF3+CG3)*$Q3,CF3*$Q3*85%+CG3*$Q3)</f>
        <v>0</v>
      </c>
      <c r="CI3" s="48">
        <f>+DZ3+EC3</f>
        <v>0</v>
      </c>
      <c r="CJ3" s="49">
        <f>ROUND(AB3+AP3+AS3+AV3+BJ3+BO3+SUM(BT3:CC3)+DV3-SUM(CH3:CI3),0)</f>
        <v>0</v>
      </c>
      <c r="CK3" s="50">
        <v>0</v>
      </c>
      <c r="CL3" s="51">
        <f t="shared" ref="CL3" si="17">IF(CK3="x",10.5%*(J3+K3+L3+M3+N3+O3+CA3+CB3),IF(DR3="x",DS3,0))</f>
        <v>231750</v>
      </c>
      <c r="CM3" s="51">
        <f>+IF(DF3="x",IF(((J3+K3+L3+M3+N3+O3)*1%)&lt;149000,(J3+K3+L3+M3+N3+O3)*1%,149000),0)</f>
        <v>0</v>
      </c>
      <c r="CN3" s="51">
        <v>0</v>
      </c>
      <c r="CO3" s="45">
        <f>IF(H3="operator",Q3*((AC3+AI3)*50%+(AD3+AJ3)*100%+(AE3+AK3)*110%+(AF3+AL3)*170%+(AG3+AM3)*200%+(AH3+AN3)*290%),Q3*85%*(AC3*50%+AD3*100%+AE3*110%+AF3*170%+AG3*200%+AH3*290%)+Q3*(AI3*50%+AJ3*100%+AK3*110%+AL3*170%+AM3*200%+AN3*290%))+P3*30%*(85%*T3+X3)</f>
        <v>0</v>
      </c>
      <c r="CP3" s="52">
        <v>0</v>
      </c>
      <c r="CQ3" s="45">
        <f t="shared" ref="CQ3" si="18">(CJ3+CP3-CO3-O3)</f>
        <v>0</v>
      </c>
      <c r="CR3" s="52">
        <v>11000000</v>
      </c>
      <c r="CS3" s="53">
        <v>0</v>
      </c>
      <c r="CT3" s="45">
        <f t="shared" ref="CT3" si="19">CS3*4400000</f>
        <v>0</v>
      </c>
      <c r="CU3" s="51">
        <f t="shared" ref="CU3" si="20">IF((CQ3-CL3-CR3-CT3-CN3)&lt;=0,0,(CQ3-CL3-CR3-CT3-CN3))</f>
        <v>0</v>
      </c>
      <c r="CV3" s="51">
        <f t="shared" ref="CV3" si="21">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4">
        <f t="shared" ref="CW3" si="22">ROUND(+CJ3-SUM(CL3:CN3,CV3),0)</f>
        <v>-231750</v>
      </c>
      <c r="CX3" s="55">
        <f t="shared" ref="CX3" si="23">I3</f>
        <v>42065</v>
      </c>
      <c r="CY3" s="56"/>
      <c r="CZ3" s="57">
        <v>0</v>
      </c>
      <c r="DA3" s="57"/>
      <c r="DB3" s="57">
        <f t="shared" ref="DB3" si="24">ROUNDUP(IF($DA3="A",$CZ3*110%,IF($DA3="B",$CZ3*105%,IF(OR($DA3="C",$DA3="D",$DA3="N"),$CZ3,0))),-3)</f>
        <v>0</v>
      </c>
      <c r="DC3" s="58">
        <v>0</v>
      </c>
      <c r="DD3" s="57">
        <v>0</v>
      </c>
      <c r="DE3" s="59"/>
      <c r="DF3" s="66"/>
      <c r="DG3" s="60">
        <f t="shared" ref="DG3" si="25">IF(OR($E3="M1-1",$E3="P2-1"),IF(ISERROR(DATEDIF($I3,$DG$1,"m")),0,DATEDIF($I3,$DG$1,"m")),0)</f>
        <v>0</v>
      </c>
      <c r="DH3" s="60">
        <f t="shared" ref="DH3" si="26">IF(OR($E3="M1-1",$E3="P2-1"),IF(ISERROR(DATEDIF($I3,$DG$1,"md")),0,DATEDIF($I3,$DG$1,"md")&amp;" "&amp;"ngày"),0)</f>
        <v>0</v>
      </c>
      <c r="DI3" s="61">
        <f t="shared" ref="DI3" si="27">+IF($CK3="x",($J3+$K3+$L3+M3+$N3+$O3+CA3+CB3)*8%,0)</f>
        <v>0</v>
      </c>
      <c r="DJ3" s="61">
        <f t="shared" ref="DJ3" si="28">+IF($CK3="x",($J3+$K3+$L3+M3+$N3+$O3+CA3+CB3)*1.5%,0)</f>
        <v>0</v>
      </c>
      <c r="DK3" s="61">
        <f t="shared" ref="DK3" si="29">+IF($CK3="x",($J3+$K3+$L3+M3+$N3+$O3+CA3+CB3)*1%,0)</f>
        <v>0</v>
      </c>
      <c r="DL3" s="61">
        <f t="shared" ref="DL3" si="30">+IF($CK3="x",($J3+$K3+$L3+M3+$N3+$O3+CA3+CB3)*17%,0)</f>
        <v>0</v>
      </c>
      <c r="DM3" s="61">
        <f t="shared" ref="DM3" si="31">+IF($CK3="x",($J3+$K3+$L3+M3+$N3+$O3+CA3+CB3)*0.5%,0)</f>
        <v>0</v>
      </c>
      <c r="DN3" s="61">
        <f t="shared" ref="DN3" si="32">+IF($CK3="x",($J3+$K3+$L3+$M3+$N3+$O3+$CA3+$CB3)*3%,0)</f>
        <v>0</v>
      </c>
      <c r="DO3" s="61">
        <f t="shared" ref="DO3" si="33">+IF($CK3="x",($J3+$K3+$L3+$M3+$N3+$O3+$CA3+$CB3)*1%,0)</f>
        <v>0</v>
      </c>
      <c r="DP3" s="57">
        <f t="shared" ref="DP3" si="34">+CM3</f>
        <v>0</v>
      </c>
      <c r="DQ3" s="57">
        <f t="shared" ref="DQ3" si="35">IF(CK3="x",SUM(J3:O3)*2%,0)</f>
        <v>0</v>
      </c>
      <c r="DR3" s="58" t="s">
        <v>114</v>
      </c>
      <c r="DS3" s="62">
        <f t="shared" ref="DS3" si="36">+IF($DR3="x",($J3+$K3+$L3+M3+$N3+$O3)*4.5%,0)</f>
        <v>231750</v>
      </c>
      <c r="DT3" s="63">
        <v>0</v>
      </c>
      <c r="DU3" s="61">
        <v>0</v>
      </c>
      <c r="DV3" s="61">
        <f>+DU3*$DV$2</f>
        <v>0</v>
      </c>
      <c r="DW3" s="55" t="s">
        <v>110</v>
      </c>
      <c r="DX3" s="64">
        <v>0</v>
      </c>
      <c r="DY3" s="64">
        <f t="shared" ref="DY3" si="37">+IF(DX3&gt;0,DX3,0)</f>
        <v>0</v>
      </c>
      <c r="DZ3" s="64">
        <f t="shared" ref="DZ3" si="38">+IF(DX3&lt;0,-DX3,0)</f>
        <v>0</v>
      </c>
      <c r="EA3" s="64">
        <v>0</v>
      </c>
      <c r="EB3" s="57">
        <f t="shared" ref="EB3" si="39">+IF(EA3&gt;0,EA3,0)</f>
        <v>0</v>
      </c>
      <c r="EC3" s="57">
        <f t="shared" ref="EC3" si="40">-IF(EA3&lt;0,EA3,0)</f>
        <v>0</v>
      </c>
      <c r="ED3" s="64">
        <v>0</v>
      </c>
      <c r="EE3" s="28"/>
      <c r="EF3" s="9"/>
      <c r="EG3" s="9"/>
      <c r="EH3" s="29"/>
      <c r="EI3" s="29"/>
    </row>
  </sheetData>
  <autoFilter ref="A2:EI3"/>
  <mergeCells count="90">
    <mergeCell ref="L1:L2"/>
    <mergeCell ref="A1:A2"/>
    <mergeCell ref="B1:B2"/>
    <mergeCell ref="C1:C2"/>
    <mergeCell ref="D1:D2"/>
    <mergeCell ref="E1:E2"/>
    <mergeCell ref="F1:F2"/>
    <mergeCell ref="G1:G2"/>
    <mergeCell ref="H1:H2"/>
    <mergeCell ref="I1:I2"/>
    <mergeCell ref="J1:J2"/>
    <mergeCell ref="K1:K2"/>
    <mergeCell ref="Z1:Z2"/>
    <mergeCell ref="M1:M2"/>
    <mergeCell ref="N1:N2"/>
    <mergeCell ref="O1:O2"/>
    <mergeCell ref="R1:R2"/>
    <mergeCell ref="S1:S2"/>
    <mergeCell ref="T1:T2"/>
    <mergeCell ref="U1:U2"/>
    <mergeCell ref="V1:V2"/>
    <mergeCell ref="W1:W2"/>
    <mergeCell ref="X1:X2"/>
    <mergeCell ref="Y1:Y2"/>
    <mergeCell ref="AV1:AV2"/>
    <mergeCell ref="AA1:AA2"/>
    <mergeCell ref="AB1:AB2"/>
    <mergeCell ref="AC1:AH1"/>
    <mergeCell ref="AI1:AN1"/>
    <mergeCell ref="AO1:AO2"/>
    <mergeCell ref="AP1:AP2"/>
    <mergeCell ref="AQ1:AQ2"/>
    <mergeCell ref="AR1:AR2"/>
    <mergeCell ref="AS1:AS2"/>
    <mergeCell ref="AT1:AT2"/>
    <mergeCell ref="AU1:AU2"/>
    <mergeCell ref="BW1:BW2"/>
    <mergeCell ref="AW1:BB1"/>
    <mergeCell ref="BC1:BH1"/>
    <mergeCell ref="BI1:BI2"/>
    <mergeCell ref="BJ1:BJ2"/>
    <mergeCell ref="BK1:BO1"/>
    <mergeCell ref="BP1:BP2"/>
    <mergeCell ref="BQ1:BQ2"/>
    <mergeCell ref="BR1:BS1"/>
    <mergeCell ref="BT1:BT2"/>
    <mergeCell ref="BU1:BU2"/>
    <mergeCell ref="BV1:BV2"/>
    <mergeCell ref="CI1:CI2"/>
    <mergeCell ref="BX1:BX2"/>
    <mergeCell ref="BY1:BY2"/>
    <mergeCell ref="BZ1:BZ2"/>
    <mergeCell ref="CA1:CA2"/>
    <mergeCell ref="CB1:CB2"/>
    <mergeCell ref="CC1:CC2"/>
    <mergeCell ref="CD1:CD2"/>
    <mergeCell ref="CE1:CE2"/>
    <mergeCell ref="CF1:CF2"/>
    <mergeCell ref="CG1:CG2"/>
    <mergeCell ref="CH1:CH2"/>
    <mergeCell ref="CU1:CU2"/>
    <mergeCell ref="CJ1:CJ2"/>
    <mergeCell ref="CK1:CK2"/>
    <mergeCell ref="CL1:CL2"/>
    <mergeCell ref="CM1:CM2"/>
    <mergeCell ref="CN1:CN2"/>
    <mergeCell ref="CO1:CO2"/>
    <mergeCell ref="CP1:CP2"/>
    <mergeCell ref="CQ1:CQ2"/>
    <mergeCell ref="CR1:CR2"/>
    <mergeCell ref="CS1:CS2"/>
    <mergeCell ref="CT1:CT2"/>
    <mergeCell ref="DI1:DO1"/>
    <mergeCell ref="DP1:DQ1"/>
    <mergeCell ref="DR1:DS1"/>
    <mergeCell ref="CV1:CV2"/>
    <mergeCell ref="CW1:CW2"/>
    <mergeCell ref="CX1:CX2"/>
    <mergeCell ref="CY1:CY2"/>
    <mergeCell ref="CZ1:DC1"/>
    <mergeCell ref="DD1:DD2"/>
    <mergeCell ref="DE1:DE2"/>
    <mergeCell ref="DF1:DF2"/>
    <mergeCell ref="DG1:DH1"/>
    <mergeCell ref="EA1:EC1"/>
    <mergeCell ref="ED1:ED2"/>
    <mergeCell ref="DT1:DT2"/>
    <mergeCell ref="DU1:DV1"/>
    <mergeCell ref="DW1:DW2"/>
    <mergeCell ref="DX1:DZ1"/>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view="pageBreakPreview" zoomScaleNormal="100" zoomScaleSheetLayoutView="100" workbookViewId="0">
      <pane xSplit="4" ySplit="5" topLeftCell="Q6" activePane="bottomRight" state="frozen"/>
      <selection activeCell="AO601" sqref="AO601"/>
      <selection pane="topRight" activeCell="AO601" sqref="AO601"/>
      <selection pane="bottomLeft" activeCell="AO601" sqref="AO601"/>
      <selection pane="bottomRight" activeCell="AD10" sqref="AD10"/>
    </sheetView>
  </sheetViews>
  <sheetFormatPr defaultColWidth="9.140625" defaultRowHeight="15"/>
  <cols>
    <col min="1" max="1" width="5" style="73" customWidth="1"/>
    <col min="2" max="2" width="9.140625" style="73" customWidth="1"/>
    <col min="3" max="3" width="6" style="73" customWidth="1"/>
    <col min="4" max="4" width="10.42578125" style="99" customWidth="1"/>
    <col min="5" max="5" width="12.85546875" style="73" customWidth="1"/>
    <col min="6" max="6" width="12.7109375" style="73" bestFit="1" customWidth="1"/>
    <col min="7" max="8" width="11.5703125" style="73" customWidth="1"/>
    <col min="9" max="9" width="12.28515625" style="73" customWidth="1"/>
    <col min="10" max="10" width="9.7109375" style="73" customWidth="1"/>
    <col min="11" max="11" width="10.85546875" style="73" customWidth="1"/>
    <col min="12" max="12" width="9.5703125" style="73" customWidth="1"/>
    <col min="13" max="13" width="8.42578125" style="101" customWidth="1"/>
    <col min="14" max="14" width="7.7109375" style="105" customWidth="1"/>
    <col min="15" max="15" width="15" style="106" bestFit="1" customWidth="1"/>
    <col min="16" max="16" width="10" style="106" customWidth="1"/>
    <col min="17" max="18" width="10.7109375" style="106" customWidth="1"/>
    <col min="19" max="19" width="10.7109375" style="106" hidden="1" customWidth="1"/>
    <col min="20" max="20" width="10.85546875" style="73" customWidth="1"/>
    <col min="21" max="21" width="11" style="73" customWidth="1"/>
    <col min="22" max="22" width="10.7109375" style="73" hidden="1" customWidth="1"/>
    <col min="23" max="23" width="12.42578125" style="73" customWidth="1"/>
    <col min="24" max="24" width="13.42578125" style="73" customWidth="1"/>
    <col min="25" max="25" width="11.5703125" style="73" customWidth="1"/>
    <col min="26" max="26" width="9" style="73" customWidth="1"/>
    <col min="27" max="27" width="11" style="73" customWidth="1"/>
    <col min="28" max="28" width="13" style="73" customWidth="1"/>
    <col min="29" max="29" width="12.7109375" style="73" customWidth="1"/>
    <col min="30" max="30" width="11.140625" style="73" customWidth="1"/>
    <col min="31" max="31" width="11.28515625" style="73" hidden="1" customWidth="1"/>
    <col min="32" max="32" width="10.7109375" style="73" hidden="1" customWidth="1"/>
    <col min="33" max="33" width="10.85546875" style="73" customWidth="1"/>
    <col min="34" max="34" width="13.5703125" style="73" bestFit="1" customWidth="1"/>
    <col min="35" max="36" width="11" style="73" customWidth="1"/>
    <col min="37" max="37" width="13" style="73" hidden="1" customWidth="1"/>
    <col min="38" max="38" width="11" style="73" customWidth="1"/>
    <col min="39" max="39" width="11.140625" style="73" bestFit="1" customWidth="1"/>
    <col min="40" max="40" width="10.28515625" style="73" customWidth="1"/>
    <col min="41" max="41" width="12.5703125" style="73" customWidth="1"/>
    <col min="42" max="16384" width="9.140625" style="73"/>
  </cols>
  <sheetData>
    <row r="1" spans="1:41" ht="30.75" customHeight="1">
      <c r="A1" s="68"/>
      <c r="B1" s="69"/>
      <c r="C1" s="214" t="s">
        <v>117</v>
      </c>
      <c r="D1" s="214"/>
      <c r="E1" s="214"/>
      <c r="F1" s="214"/>
      <c r="G1" s="214"/>
      <c r="H1" s="214"/>
      <c r="I1" s="214"/>
      <c r="J1" s="214"/>
      <c r="K1" s="69"/>
      <c r="L1" s="69"/>
      <c r="M1" s="70"/>
      <c r="N1" s="71"/>
      <c r="O1" s="72"/>
      <c r="P1" s="72"/>
      <c r="Q1" s="72"/>
      <c r="R1" s="72"/>
      <c r="S1" s="72"/>
      <c r="T1" s="69"/>
      <c r="U1" s="69"/>
      <c r="V1" s="69"/>
      <c r="W1" s="69"/>
      <c r="X1" s="69"/>
      <c r="Y1" s="69"/>
      <c r="Z1" s="69"/>
      <c r="AA1" s="69"/>
      <c r="AB1" s="69"/>
      <c r="AC1" s="69"/>
      <c r="AD1" s="69"/>
      <c r="AE1" s="69"/>
      <c r="AF1" s="69"/>
      <c r="AG1" s="69"/>
      <c r="AH1" s="69"/>
      <c r="AI1" s="69"/>
      <c r="AJ1" s="69"/>
      <c r="AK1" s="69"/>
      <c r="AL1" s="69"/>
      <c r="AM1" s="69"/>
      <c r="AN1" s="69"/>
      <c r="AO1" s="69"/>
    </row>
    <row r="2" spans="1:41" ht="23.25" customHeight="1">
      <c r="A2" s="68"/>
      <c r="B2" s="215" t="s">
        <v>161</v>
      </c>
      <c r="C2" s="215"/>
      <c r="D2" s="215"/>
      <c r="E2" s="215"/>
      <c r="F2" s="215"/>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row>
    <row r="3" spans="1:41" ht="30" customHeight="1">
      <c r="A3" s="68"/>
      <c r="B3" s="215" t="s">
        <v>155</v>
      </c>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row>
    <row r="4" spans="1:41" ht="21.75" customHeight="1">
      <c r="A4" s="216" t="s">
        <v>0</v>
      </c>
      <c r="B4" s="216" t="s">
        <v>118</v>
      </c>
      <c r="C4" s="216" t="s">
        <v>119</v>
      </c>
      <c r="D4" s="218" t="s">
        <v>120</v>
      </c>
      <c r="E4" s="218" t="s">
        <v>121</v>
      </c>
      <c r="F4" s="218" t="s">
        <v>9</v>
      </c>
      <c r="G4" s="218" t="s">
        <v>122</v>
      </c>
      <c r="H4" s="220" t="s">
        <v>11</v>
      </c>
      <c r="I4" s="218" t="s">
        <v>12</v>
      </c>
      <c r="J4" s="218" t="s">
        <v>13</v>
      </c>
      <c r="K4" s="218" t="s">
        <v>123</v>
      </c>
      <c r="L4" s="218" t="s">
        <v>124</v>
      </c>
      <c r="M4" s="212" t="s">
        <v>125</v>
      </c>
      <c r="N4" s="212" t="s">
        <v>126</v>
      </c>
      <c r="O4" s="228" t="s">
        <v>127</v>
      </c>
      <c r="P4" s="230" t="s">
        <v>128</v>
      </c>
      <c r="Q4" s="228" t="s">
        <v>129</v>
      </c>
      <c r="R4" s="230" t="s">
        <v>130</v>
      </c>
      <c r="S4" s="230" t="s">
        <v>131</v>
      </c>
      <c r="T4" s="218" t="s">
        <v>132</v>
      </c>
      <c r="U4" s="218"/>
      <c r="V4" s="218"/>
      <c r="W4" s="218"/>
      <c r="X4" s="218"/>
      <c r="Y4" s="218"/>
      <c r="Z4" s="218"/>
      <c r="AA4" s="218"/>
      <c r="AB4" s="218"/>
      <c r="AC4" s="218" t="s">
        <v>133</v>
      </c>
      <c r="AD4" s="226" t="s">
        <v>244</v>
      </c>
      <c r="AE4" s="220" t="s">
        <v>134</v>
      </c>
      <c r="AF4" s="220" t="s">
        <v>135</v>
      </c>
      <c r="AG4" s="218" t="s">
        <v>136</v>
      </c>
      <c r="AH4" s="220" t="s">
        <v>137</v>
      </c>
      <c r="AI4" s="218" t="s">
        <v>138</v>
      </c>
      <c r="AJ4" s="218"/>
      <c r="AK4" s="218"/>
      <c r="AL4" s="218"/>
      <c r="AM4" s="218"/>
      <c r="AN4" s="218"/>
      <c r="AO4" s="222" t="s">
        <v>139</v>
      </c>
    </row>
    <row r="5" spans="1:41" ht="45" customHeight="1">
      <c r="A5" s="217"/>
      <c r="B5" s="217"/>
      <c r="C5" s="217"/>
      <c r="D5" s="219"/>
      <c r="E5" s="219"/>
      <c r="F5" s="219"/>
      <c r="G5" s="219"/>
      <c r="H5" s="221"/>
      <c r="I5" s="219"/>
      <c r="J5" s="219"/>
      <c r="K5" s="219"/>
      <c r="L5" s="219"/>
      <c r="M5" s="213"/>
      <c r="N5" s="213"/>
      <c r="O5" s="229"/>
      <c r="P5" s="231"/>
      <c r="Q5" s="229"/>
      <c r="R5" s="231"/>
      <c r="S5" s="231"/>
      <c r="T5" s="74" t="s">
        <v>140</v>
      </c>
      <c r="U5" s="74" t="s">
        <v>141</v>
      </c>
      <c r="V5" s="74" t="s">
        <v>142</v>
      </c>
      <c r="W5" s="74" t="s">
        <v>143</v>
      </c>
      <c r="X5" s="74" t="s">
        <v>144</v>
      </c>
      <c r="Y5" s="74" t="s">
        <v>145</v>
      </c>
      <c r="Z5" s="74" t="s">
        <v>48</v>
      </c>
      <c r="AA5" s="74" t="s">
        <v>146</v>
      </c>
      <c r="AB5" s="74" t="s">
        <v>147</v>
      </c>
      <c r="AC5" s="219"/>
      <c r="AD5" s="227"/>
      <c r="AE5" s="221"/>
      <c r="AF5" s="221"/>
      <c r="AG5" s="219"/>
      <c r="AH5" s="221"/>
      <c r="AI5" s="74" t="s">
        <v>148</v>
      </c>
      <c r="AJ5" s="74" t="s">
        <v>149</v>
      </c>
      <c r="AK5" s="74" t="s">
        <v>150</v>
      </c>
      <c r="AL5" s="74" t="s">
        <v>151</v>
      </c>
      <c r="AM5" s="74" t="s">
        <v>152</v>
      </c>
      <c r="AN5" s="74" t="s">
        <v>153</v>
      </c>
      <c r="AO5" s="223"/>
    </row>
    <row r="6" spans="1:41" s="79" customFormat="1" ht="24.75" customHeight="1">
      <c r="A6" s="75">
        <f>+IF(B6="","",SUBTOTAL(3,$B$6:B6))</f>
        <v>1</v>
      </c>
      <c r="B6" s="76" t="s">
        <v>154</v>
      </c>
      <c r="C6" s="75" t="str">
        <f>+VLOOKUP($B6,'T02'!$B$3:$EI$1048576,4,0)</f>
        <v>M7-1</v>
      </c>
      <c r="D6" s="75" t="str">
        <f>+VLOOKUP($B6,'T02'!$B$3:$EI$1048576,5,0)</f>
        <v>Vũ Thị Ngọc</v>
      </c>
      <c r="E6" s="77">
        <f>+VLOOKUP($B6,'T02'!$B$3:$EI$1048576,9,0)</f>
        <v>4800000</v>
      </c>
      <c r="F6" s="77">
        <f>+VLOOKUP($B6,'T02'!$B$3:$EI$1048576,10,0)</f>
        <v>350000</v>
      </c>
      <c r="G6" s="77">
        <f>+VLOOKUP($B6,'T02'!$B$3:$EI$1048576,11,0)</f>
        <v>0</v>
      </c>
      <c r="H6" s="77">
        <f>+VLOOKUP($B6,'T02'!$B$3:$EI$1048576,12,0)</f>
        <v>0</v>
      </c>
      <c r="I6" s="77">
        <f>+VLOOKUP($B6,'T02'!$B$3:$EI$1048576,13,0)</f>
        <v>0</v>
      </c>
      <c r="J6" s="77">
        <f>+VLOOKUP($B6,'T02'!$B$3:$EI$1048576,14,0)</f>
        <v>0</v>
      </c>
      <c r="K6" s="77">
        <f>+VLOOKUP($B6,'T02'!$B$3:$EI$1048576,15,0)</f>
        <v>214583.33333333334</v>
      </c>
      <c r="L6" s="77">
        <f>+VLOOKUP($B6,'T02'!$B$3:$EI$1048576,16,0)</f>
        <v>26822.916666666668</v>
      </c>
      <c r="M6" s="77">
        <f>+VLOOKUP($B6,'T02'!$B$3:$EI$1048576,17,0)</f>
        <v>0</v>
      </c>
      <c r="N6" s="77">
        <f>+VLOOKUP($B6,'T02'!$B$3:$EI$1048576,40,0)</f>
        <v>0</v>
      </c>
      <c r="O6" s="77">
        <f>+VLOOKUP($B6,'T02'!$B$3:$EI$1048576,41,0)</f>
        <v>0</v>
      </c>
      <c r="P6" s="77">
        <f>+VLOOKUP($B6,'T02'!$B$3:$EI$1048576,44,0)</f>
        <v>0</v>
      </c>
      <c r="Q6" s="77">
        <f>+VLOOKUP($B6,'T02'!$B$3:$EI$1048576,47,0)</f>
        <v>0</v>
      </c>
      <c r="R6" s="77">
        <f>+VLOOKUP($B6,'T02'!$B$3:$EI$1048576,61,0)</f>
        <v>0</v>
      </c>
      <c r="S6" s="77">
        <v>0</v>
      </c>
      <c r="T6" s="77">
        <f>+VLOOKUP($B6,'T02'!$B$3:$EI$1048576,71,0)</f>
        <v>0</v>
      </c>
      <c r="U6" s="77">
        <f>+VLOOKUP($B6,'T02'!$B$3:$EI$1048576,72,0)</f>
        <v>0</v>
      </c>
      <c r="V6" s="77">
        <v>0</v>
      </c>
      <c r="W6" s="77">
        <f>+VLOOKUP($B6,'T02'!$B$3:$EI$1048576,73,0)</f>
        <v>0</v>
      </c>
      <c r="X6" s="77">
        <f>+VLOOKUP($B6,'T02'!$B$3:$EI$1048576,78,0)</f>
        <v>0</v>
      </c>
      <c r="Y6" s="77">
        <f>+VLOOKUP($B6,'T02'!$B$3:$EI$1048576,79,0)</f>
        <v>0</v>
      </c>
      <c r="Z6" s="77">
        <f>+VLOOKUP($B6,'T02'!$B$3:$EI$1048576,76,0)</f>
        <v>0</v>
      </c>
      <c r="AA6" s="77">
        <f>+VLOOKUP($B6,'T02'!$B$3:$EI$1048576,74,0)</f>
        <v>0</v>
      </c>
      <c r="AB6" s="77">
        <f>+VLOOKUP($B6,'T02'!$B$3:$EI$1048576,75,0)</f>
        <v>0</v>
      </c>
      <c r="AC6" s="77">
        <f>+VLOOKUP($B6,'T02'!$B$3:$EI$1048576,27,0)</f>
        <v>0</v>
      </c>
      <c r="AD6" s="77">
        <f>+VLOOKUP($B6,'T02'!$B$3:$EI$1048576,125,0)</f>
        <v>0</v>
      </c>
      <c r="AE6" s="77">
        <v>0</v>
      </c>
      <c r="AF6" s="77">
        <v>0</v>
      </c>
      <c r="AG6" s="77">
        <f>+VLOOKUP($B6,'T02'!$B$3:$EI$1048576,80,0)</f>
        <v>0</v>
      </c>
      <c r="AH6" s="77">
        <f>ROUND(SUM(O6:AG6)-AN6-AM6,0)</f>
        <v>0</v>
      </c>
      <c r="AI6" s="77">
        <f>+VLOOKUP($B6,'T02'!$B$3:$EI$1048576,89,0)</f>
        <v>231750</v>
      </c>
      <c r="AJ6" s="77">
        <f>+VLOOKUP($B6,'T02'!$B$3:$EI$1048576,90,0)</f>
        <v>0</v>
      </c>
      <c r="AK6" s="77">
        <v>0</v>
      </c>
      <c r="AL6" s="77">
        <f>+VLOOKUP($B6,'T02'!$B$3:$EI$1048576,99,0)</f>
        <v>0</v>
      </c>
      <c r="AM6" s="77">
        <f>+VLOOKUP($B6,'T02'!$B$3:$EI$1048576,86,0)</f>
        <v>0</v>
      </c>
      <c r="AN6" s="77">
        <f>+VLOOKUP($B6,'T02'!$B$3:$EI$1048576,85,0)</f>
        <v>0</v>
      </c>
      <c r="AO6" s="78">
        <f>ROUND(AH6-SUM(AI6:AL6),0)</f>
        <v>-231750</v>
      </c>
    </row>
    <row r="7" spans="1:41" s="82" customFormat="1" ht="24.75" customHeight="1">
      <c r="A7" s="80"/>
      <c r="B7" s="224" t="s">
        <v>107</v>
      </c>
      <c r="C7" s="224"/>
      <c r="D7" s="224"/>
      <c r="E7" s="81">
        <f t="shared" ref="E7:AO7" si="0">+SUBTOTAL(9,E6:E6)</f>
        <v>4800000</v>
      </c>
      <c r="F7" s="81">
        <f t="shared" si="0"/>
        <v>350000</v>
      </c>
      <c r="G7" s="81">
        <f t="shared" si="0"/>
        <v>0</v>
      </c>
      <c r="H7" s="81">
        <f t="shared" si="0"/>
        <v>0</v>
      </c>
      <c r="I7" s="81">
        <f t="shared" si="0"/>
        <v>0</v>
      </c>
      <c r="J7" s="81">
        <f t="shared" si="0"/>
        <v>0</v>
      </c>
      <c r="K7" s="81">
        <f t="shared" si="0"/>
        <v>214583.33333333334</v>
      </c>
      <c r="L7" s="81">
        <f t="shared" si="0"/>
        <v>26822.916666666668</v>
      </c>
      <c r="M7" s="81">
        <f t="shared" si="0"/>
        <v>0</v>
      </c>
      <c r="N7" s="81">
        <f t="shared" si="0"/>
        <v>0</v>
      </c>
      <c r="O7" s="81">
        <f t="shared" si="0"/>
        <v>0</v>
      </c>
      <c r="P7" s="81">
        <f t="shared" si="0"/>
        <v>0</v>
      </c>
      <c r="Q7" s="81">
        <f t="shared" si="0"/>
        <v>0</v>
      </c>
      <c r="R7" s="81">
        <f t="shared" si="0"/>
        <v>0</v>
      </c>
      <c r="S7" s="81">
        <f t="shared" si="0"/>
        <v>0</v>
      </c>
      <c r="T7" s="81">
        <f t="shared" si="0"/>
        <v>0</v>
      </c>
      <c r="U7" s="81">
        <f t="shared" si="0"/>
        <v>0</v>
      </c>
      <c r="V7" s="81">
        <f t="shared" si="0"/>
        <v>0</v>
      </c>
      <c r="W7" s="81">
        <f t="shared" si="0"/>
        <v>0</v>
      </c>
      <c r="X7" s="81">
        <f t="shared" si="0"/>
        <v>0</v>
      </c>
      <c r="Y7" s="81">
        <f t="shared" si="0"/>
        <v>0</v>
      </c>
      <c r="Z7" s="81">
        <f t="shared" si="0"/>
        <v>0</v>
      </c>
      <c r="AA7" s="81">
        <f t="shared" si="0"/>
        <v>0</v>
      </c>
      <c r="AB7" s="81">
        <f t="shared" si="0"/>
        <v>0</v>
      </c>
      <c r="AC7" s="81">
        <f t="shared" si="0"/>
        <v>0</v>
      </c>
      <c r="AD7" s="81">
        <f t="shared" si="0"/>
        <v>0</v>
      </c>
      <c r="AE7" s="81">
        <f t="shared" si="0"/>
        <v>0</v>
      </c>
      <c r="AF7" s="81">
        <f t="shared" si="0"/>
        <v>0</v>
      </c>
      <c r="AG7" s="81">
        <f t="shared" si="0"/>
        <v>0</v>
      </c>
      <c r="AH7" s="81">
        <f t="shared" si="0"/>
        <v>0</v>
      </c>
      <c r="AI7" s="81">
        <f t="shared" si="0"/>
        <v>231750</v>
      </c>
      <c r="AJ7" s="81">
        <f t="shared" si="0"/>
        <v>0</v>
      </c>
      <c r="AK7" s="81">
        <f t="shared" si="0"/>
        <v>0</v>
      </c>
      <c r="AL7" s="81">
        <f t="shared" si="0"/>
        <v>0</v>
      </c>
      <c r="AM7" s="81">
        <f t="shared" si="0"/>
        <v>0</v>
      </c>
      <c r="AN7" s="81">
        <f t="shared" si="0"/>
        <v>0</v>
      </c>
      <c r="AO7" s="81">
        <f t="shared" si="0"/>
        <v>-231750</v>
      </c>
    </row>
    <row r="8" spans="1:41" s="88" customFormat="1" ht="23.25" customHeight="1">
      <c r="A8" s="83"/>
      <c r="B8" s="84"/>
      <c r="C8" s="84"/>
      <c r="D8" s="85"/>
      <c r="E8" s="86"/>
      <c r="F8" s="86"/>
      <c r="G8" s="86"/>
      <c r="H8" s="86"/>
      <c r="I8" s="86"/>
      <c r="J8" s="86"/>
      <c r="K8" s="86"/>
      <c r="L8" s="86"/>
      <c r="M8" s="86"/>
      <c r="N8" s="86"/>
      <c r="O8" s="86"/>
      <c r="P8" s="87"/>
      <c r="Q8" s="87"/>
      <c r="R8" s="87"/>
      <c r="S8" s="87"/>
      <c r="T8" s="87"/>
      <c r="U8" s="87"/>
      <c r="V8" s="87"/>
      <c r="W8" s="87"/>
      <c r="X8" s="87"/>
      <c r="Y8" s="87"/>
      <c r="Z8" s="87"/>
      <c r="AA8" s="86"/>
      <c r="AB8" s="86"/>
      <c r="AC8" s="86"/>
      <c r="AD8" s="86"/>
      <c r="AE8" s="86"/>
      <c r="AF8" s="86"/>
      <c r="AG8" s="86"/>
      <c r="AH8" s="86"/>
      <c r="AI8" s="86"/>
      <c r="AJ8" s="86"/>
      <c r="AK8" s="86"/>
      <c r="AL8" s="86"/>
      <c r="AM8" s="86"/>
      <c r="AN8" s="86"/>
      <c r="AO8" s="86"/>
    </row>
    <row r="9" spans="1:41" s="92" customFormat="1" ht="23.25" customHeight="1">
      <c r="A9" s="89"/>
      <c r="B9" s="89"/>
      <c r="C9" s="89"/>
      <c r="D9" s="90"/>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row>
    <row r="10" spans="1:41" s="93" customFormat="1" ht="12.75" customHeight="1">
      <c r="D10" s="94"/>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row>
    <row r="11" spans="1:41" s="93" customFormat="1" ht="18.75">
      <c r="D11" s="94"/>
      <c r="M11" s="96"/>
      <c r="N11" s="225"/>
      <c r="O11" s="225"/>
      <c r="P11" s="225"/>
      <c r="Q11" s="225"/>
      <c r="R11" s="97"/>
      <c r="S11" s="97"/>
      <c r="T11" s="97"/>
      <c r="U11" s="97"/>
      <c r="V11" s="97"/>
      <c r="W11" s="97"/>
      <c r="X11" s="97"/>
      <c r="Y11" s="97"/>
      <c r="Z11" s="97"/>
      <c r="AA11" s="97"/>
      <c r="AB11" s="97"/>
      <c r="AC11" s="97"/>
      <c r="AD11" s="97"/>
      <c r="AE11" s="97"/>
      <c r="AF11" s="97"/>
      <c r="AG11" s="225"/>
      <c r="AH11" s="225"/>
      <c r="AI11" s="225"/>
      <c r="AJ11" s="225"/>
      <c r="AK11" s="97"/>
      <c r="AL11" s="97"/>
      <c r="AM11" s="97"/>
      <c r="AN11" s="97"/>
      <c r="AO11" s="95"/>
    </row>
    <row r="12" spans="1:41" s="93" customFormat="1" ht="18.75" customHeight="1">
      <c r="D12" s="94"/>
      <c r="M12" s="96"/>
      <c r="N12" s="232"/>
      <c r="O12" s="232"/>
      <c r="P12" s="232"/>
      <c r="Q12" s="232"/>
      <c r="R12" s="97"/>
      <c r="S12" s="97"/>
      <c r="T12" s="97"/>
      <c r="U12" s="97"/>
      <c r="V12" s="97"/>
      <c r="W12" s="97"/>
      <c r="X12" s="97"/>
      <c r="Y12" s="97"/>
      <c r="Z12" s="97"/>
      <c r="AA12" s="97"/>
      <c r="AB12" s="97"/>
      <c r="AC12" s="97"/>
      <c r="AD12" s="97"/>
      <c r="AE12" s="97"/>
      <c r="AF12" s="97"/>
      <c r="AG12" s="98"/>
      <c r="AH12" s="98"/>
      <c r="AI12" s="98"/>
      <c r="AJ12" s="98"/>
      <c r="AK12" s="97"/>
      <c r="AL12" s="97"/>
      <c r="AM12" s="97"/>
      <c r="AN12" s="97"/>
      <c r="AO12" s="95"/>
    </row>
    <row r="13" spans="1:41" ht="18.75" customHeight="1">
      <c r="I13" s="100"/>
      <c r="N13" s="232"/>
      <c r="O13" s="232"/>
      <c r="P13" s="232"/>
      <c r="Q13" s="232"/>
      <c r="R13" s="102"/>
      <c r="S13" s="102"/>
      <c r="T13" s="102"/>
      <c r="U13" s="102"/>
      <c r="V13" s="102"/>
      <c r="W13" s="102"/>
      <c r="X13" s="102"/>
      <c r="Y13" s="102"/>
      <c r="Z13" s="102"/>
      <c r="AA13" s="102"/>
      <c r="AB13" s="102"/>
      <c r="AC13" s="102"/>
      <c r="AD13" s="102"/>
      <c r="AE13" s="102"/>
      <c r="AF13" s="102"/>
      <c r="AG13" s="103"/>
      <c r="AH13" s="103"/>
      <c r="AI13" s="103"/>
      <c r="AJ13" s="103"/>
      <c r="AK13" s="102"/>
      <c r="AL13" s="102"/>
      <c r="AM13" s="102"/>
      <c r="AN13" s="102"/>
    </row>
    <row r="14" spans="1:41" ht="18.75" customHeight="1">
      <c r="N14" s="232"/>
      <c r="O14" s="232"/>
      <c r="P14" s="232"/>
      <c r="Q14" s="232"/>
      <c r="R14" s="102"/>
      <c r="S14" s="102"/>
      <c r="T14" s="102"/>
      <c r="U14" s="102"/>
      <c r="V14" s="102"/>
      <c r="W14" s="102"/>
      <c r="X14" s="102"/>
      <c r="Y14" s="102"/>
      <c r="Z14" s="102"/>
      <c r="AA14" s="102"/>
      <c r="AB14" s="102"/>
      <c r="AC14" s="102"/>
      <c r="AD14" s="102"/>
      <c r="AE14" s="102"/>
      <c r="AF14" s="102"/>
      <c r="AG14" s="103"/>
      <c r="AH14" s="103"/>
      <c r="AI14" s="103"/>
      <c r="AJ14" s="103"/>
      <c r="AK14" s="102"/>
      <c r="AL14" s="102"/>
      <c r="AM14" s="102"/>
      <c r="AN14" s="102"/>
    </row>
    <row r="15" spans="1:41" ht="18.75" customHeight="1">
      <c r="N15" s="232"/>
      <c r="O15" s="232"/>
      <c r="P15" s="232"/>
      <c r="Q15" s="232"/>
      <c r="R15" s="102"/>
      <c r="S15" s="102"/>
      <c r="T15" s="102"/>
      <c r="U15" s="102"/>
      <c r="V15" s="102"/>
      <c r="W15" s="102"/>
      <c r="X15" s="102"/>
      <c r="Y15" s="102"/>
      <c r="Z15" s="102"/>
      <c r="AA15" s="102"/>
      <c r="AB15" s="102"/>
      <c r="AC15" s="102"/>
      <c r="AD15" s="102"/>
      <c r="AE15" s="102"/>
      <c r="AF15" s="102"/>
      <c r="AG15" s="103"/>
      <c r="AH15" s="103"/>
      <c r="AI15" s="103"/>
      <c r="AJ15" s="103"/>
      <c r="AK15" s="102"/>
      <c r="AL15" s="102"/>
      <c r="AM15" s="102"/>
      <c r="AN15" s="102"/>
    </row>
    <row r="16" spans="1:41" ht="18.75" customHeight="1">
      <c r="N16" s="232"/>
      <c r="O16" s="232"/>
      <c r="P16" s="232"/>
      <c r="Q16" s="232"/>
      <c r="R16" s="102"/>
      <c r="S16" s="102"/>
      <c r="T16" s="102"/>
      <c r="U16" s="102"/>
      <c r="V16" s="102"/>
      <c r="W16" s="102"/>
      <c r="X16" s="102"/>
      <c r="Y16" s="102"/>
      <c r="Z16" s="102"/>
      <c r="AA16" s="102"/>
      <c r="AB16" s="102"/>
      <c r="AC16" s="102"/>
      <c r="AD16" s="102"/>
      <c r="AE16" s="102"/>
      <c r="AF16" s="102"/>
      <c r="AG16" s="103"/>
      <c r="AH16" s="103"/>
      <c r="AI16" s="103"/>
      <c r="AJ16" s="103"/>
      <c r="AK16" s="102"/>
      <c r="AL16" s="102"/>
      <c r="AM16" s="102"/>
      <c r="AN16" s="102"/>
    </row>
    <row r="17" spans="14:41" ht="22.5" customHeight="1">
      <c r="N17" s="233"/>
      <c r="O17" s="233"/>
      <c r="P17" s="233"/>
      <c r="Q17" s="233"/>
      <c r="R17" s="104"/>
      <c r="S17" s="104"/>
      <c r="T17" s="104"/>
      <c r="U17" s="104"/>
      <c r="V17" s="104"/>
      <c r="W17" s="104"/>
      <c r="X17" s="104"/>
      <c r="Y17" s="104"/>
      <c r="Z17" s="104"/>
      <c r="AA17" s="104"/>
      <c r="AB17" s="104"/>
      <c r="AC17" s="104"/>
      <c r="AD17" s="104"/>
      <c r="AE17" s="104"/>
      <c r="AF17" s="104"/>
      <c r="AG17" s="233"/>
      <c r="AH17" s="233"/>
      <c r="AI17" s="233"/>
      <c r="AJ17" s="233"/>
      <c r="AK17" s="104"/>
      <c r="AL17" s="104"/>
      <c r="AM17" s="104"/>
      <c r="AN17" s="104"/>
    </row>
    <row r="18" spans="14:41">
      <c r="AO18" s="107"/>
    </row>
  </sheetData>
  <autoFilter ref="A5:AO9"/>
  <mergeCells count="37">
    <mergeCell ref="N12:Q16"/>
    <mergeCell ref="N17:Q17"/>
    <mergeCell ref="AG17:AJ17"/>
    <mergeCell ref="AH4:AH5"/>
    <mergeCell ref="AI4:AN4"/>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8"/>
    <col min="2" max="2" width="26.140625" style="110" customWidth="1"/>
    <col min="3" max="3" width="11.7109375" style="110" customWidth="1"/>
    <col min="4" max="4" width="16.42578125" style="110" customWidth="1"/>
    <col min="5" max="8" width="15.85546875" style="110" customWidth="1"/>
    <col min="9" max="9" width="16.7109375" style="110" customWidth="1"/>
    <col min="10" max="10" width="21.140625" style="110" customWidth="1"/>
    <col min="11" max="11" width="21.42578125" style="110" bestFit="1" customWidth="1"/>
    <col min="12" max="12" width="20.5703125" style="110" bestFit="1" customWidth="1"/>
    <col min="13" max="13" width="19" style="110" bestFit="1" customWidth="1"/>
    <col min="14" max="14" width="20.42578125" style="110" customWidth="1"/>
    <col min="15" max="15" width="21.85546875" style="110" customWidth="1"/>
    <col min="16" max="16" width="18.42578125" style="110" bestFit="1" customWidth="1"/>
    <col min="17" max="17" width="16.42578125" style="110" bestFit="1" customWidth="1"/>
    <col min="18" max="18" width="15.42578125" style="110" bestFit="1" customWidth="1"/>
    <col min="19" max="20" width="12.140625" style="110" customWidth="1"/>
    <col min="21" max="21" width="16.7109375" style="110" customWidth="1"/>
    <col min="22" max="16384" width="9.140625" style="110"/>
  </cols>
  <sheetData>
    <row r="1" spans="1:22" ht="59.25" customHeight="1">
      <c r="B1" s="109" t="s">
        <v>162</v>
      </c>
    </row>
    <row r="3" spans="1:22" s="116" customFormat="1" ht="51" customHeight="1">
      <c r="A3" s="234" t="s">
        <v>163</v>
      </c>
      <c r="B3" s="235"/>
      <c r="C3" s="111" t="s">
        <v>164</v>
      </c>
      <c r="D3" s="111" t="s">
        <v>165</v>
      </c>
      <c r="E3" s="111" t="s">
        <v>166</v>
      </c>
      <c r="F3" s="112" t="s">
        <v>167</v>
      </c>
      <c r="G3" s="112" t="s">
        <v>168</v>
      </c>
      <c r="H3" s="112" t="s">
        <v>169</v>
      </c>
      <c r="I3" s="113" t="s">
        <v>170</v>
      </c>
      <c r="J3" s="113" t="s">
        <v>171</v>
      </c>
      <c r="K3" s="113" t="s">
        <v>172</v>
      </c>
      <c r="L3" s="113" t="s">
        <v>173</v>
      </c>
      <c r="M3" s="113" t="s">
        <v>174</v>
      </c>
      <c r="N3" s="113" t="s">
        <v>175</v>
      </c>
      <c r="O3" s="113" t="s">
        <v>176</v>
      </c>
      <c r="P3" s="113" t="s">
        <v>177</v>
      </c>
      <c r="Q3" s="113" t="s">
        <v>178</v>
      </c>
      <c r="R3" s="113" t="s">
        <v>179</v>
      </c>
      <c r="S3" s="114" t="s">
        <v>180</v>
      </c>
      <c r="T3" s="114" t="s">
        <v>150</v>
      </c>
      <c r="U3" s="115" t="s">
        <v>181</v>
      </c>
      <c r="V3" s="113" t="s">
        <v>182</v>
      </c>
    </row>
    <row r="4" spans="1:22" s="120" customFormat="1" ht="21" customHeight="1">
      <c r="A4" s="108" t="s">
        <v>156</v>
      </c>
      <c r="B4" s="117" t="s">
        <v>183</v>
      </c>
      <c r="C4" s="118">
        <f>+COUNTIF('T02'!$D$3:$D$1048576,'Pivot 01 (.)'!$A4)</f>
        <v>1</v>
      </c>
      <c r="D4" s="136">
        <f>+SUMIF('T02'!$D$3:$D$1048576,'Pivot 01 (.)'!$A4,'T02'!$J$3:$J$1048576)</f>
        <v>4800000</v>
      </c>
      <c r="E4" s="136">
        <f>+SUMIF('T02'!$D$3:$D$1048576,'Pivot 01 (.)'!$A4,'T02'!$K$3:$K$1048576)</f>
        <v>350000</v>
      </c>
      <c r="F4" s="136">
        <f>+SUMIF('T02'!$D$3:$D$1048576,'Pivot 01 (.)'!$A4,'T02'!$L$3:$L$1048576)</f>
        <v>0</v>
      </c>
      <c r="G4" s="136">
        <f>+SUMIF('T02'!$D$3:$D$1048576,'Pivot 01 (.)'!$A4,'T02'!$N$3:$N$1048576)</f>
        <v>0</v>
      </c>
      <c r="H4" s="136">
        <f>+SUMIF('T02'!$D$3:$D$1048576,'Pivot 01 (.)'!$A4,'T02'!$O$3:$O$1048576)</f>
        <v>0</v>
      </c>
      <c r="I4" s="137">
        <f>+SUMIF('T02'!$D$3:$D$1048576,'Pivot 01 (.)'!$A4,'T02'!$CJ$3:$CJ$1048576)</f>
        <v>0</v>
      </c>
      <c r="J4" s="137">
        <f>+SUMIF('T02'!$D$3:$D$1048576,'Pivot 01 (.)'!$A4,'T02'!$DI$3:$DI$1048576)</f>
        <v>0</v>
      </c>
      <c r="K4" s="137">
        <f>+SUMIF('T02'!$D$3:$D$1048576,'Pivot 01 (.)'!$A4,'T02'!$DJ$3:$DJ$1048576)</f>
        <v>0</v>
      </c>
      <c r="L4" s="137">
        <f>+SUMIF('T02'!$D$3:$D$1048576,'Pivot 01 (.)'!$A4,'T02'!$DK$3:$DK$1048576)</f>
        <v>0</v>
      </c>
      <c r="M4" s="137">
        <f>+SUMIF('T02'!$D$3:$D$1048576,'Pivot 01 (.)'!$A4,'T02'!$DL$3:$DL$1048576)+SUMIF('T02'!$D$3:$D$1048576,'Pivot 01 (.)'!$A4,'T02'!$DM$3:$DM$1048576)</f>
        <v>0</v>
      </c>
      <c r="N4" s="137">
        <f>+SUMIF('T02'!$D$3:$D$1048576,'Pivot 01 (.)'!$A4,'T02'!$DN$3:$DN$1048576)</f>
        <v>0</v>
      </c>
      <c r="O4" s="137">
        <f>+SUMIF('T02'!$D$3:$D$1048576,'Pivot 01 (.)'!$A4,'T02'!$DO$3:$DO$1048576)</f>
        <v>0</v>
      </c>
      <c r="P4" s="137">
        <f>+SUMIF('T02'!$D$3:$D$1048576,'Pivot 01 (.)'!$A4,'T02'!$DP$3:$DP$1048576)</f>
        <v>0</v>
      </c>
      <c r="Q4" s="137">
        <f>+SUMIF('T02'!$D$3:$D$1048576,'Pivot 01 (.)'!$A4,'T02'!$DQ$3:$DQ$1048576)</f>
        <v>0</v>
      </c>
      <c r="R4" s="137">
        <f>+SUMIF('T02'!$D$3:$D$1048576,'Pivot 01 (.)'!$A4,'T02'!$CV$3:$CV$1048576)</f>
        <v>0</v>
      </c>
      <c r="S4" s="137">
        <f>+SUMIF('T02'!$D$3:$D$1048576,'Pivot 01 (.)'!$A4,'T02'!$DS$3:$DS$1048576)</f>
        <v>231750</v>
      </c>
      <c r="T4" s="137">
        <v>0</v>
      </c>
      <c r="U4" s="119">
        <f>ROUND(I4-SUM(J4:L4,P4,R4,S4,T4),0)</f>
        <v>-231750</v>
      </c>
      <c r="V4" s="119"/>
    </row>
    <row r="5" spans="1:22" s="120" customFormat="1" ht="21" customHeight="1">
      <c r="A5" s="108" t="s">
        <v>184</v>
      </c>
      <c r="B5" s="117" t="s">
        <v>185</v>
      </c>
      <c r="C5" s="118">
        <f>+COUNTIF('T02'!$D$3:$D$1048576,'Pivot 01 (.)'!$A5)</f>
        <v>0</v>
      </c>
      <c r="D5" s="136">
        <f>+SUMIF('T02'!$D$3:$D$1048576,'Pivot 01 (.)'!$A5,'T02'!$J$3:$J$1048576)</f>
        <v>0</v>
      </c>
      <c r="E5" s="136">
        <f>+SUMIF('T02'!$D$3:$D$1048576,'Pivot 01 (.)'!$A5,'T02'!$K$3:$K$1048576)</f>
        <v>0</v>
      </c>
      <c r="F5" s="136">
        <f>+SUMIF('T02'!$D$3:$D$1048576,'Pivot 01 (.)'!$A5,'T02'!$L$3:$L$1048576)</f>
        <v>0</v>
      </c>
      <c r="G5" s="136">
        <f>+SUMIF('T02'!$D$3:$D$1048576,'Pivot 01 (.)'!$A5,'T02'!$N$3:$N$1048576)</f>
        <v>0</v>
      </c>
      <c r="H5" s="136">
        <f>+SUMIF('T02'!$D$3:$D$1048576,'Pivot 01 (.)'!$A5,'T02'!$O$3:$O$1048576)</f>
        <v>0</v>
      </c>
      <c r="I5" s="137">
        <f>+SUMIF('T02'!$D$3:$D$1048576,'Pivot 01 (.)'!$A5,'T02'!$CJ$3:$CJ$1048576)</f>
        <v>0</v>
      </c>
      <c r="J5" s="137">
        <f>+SUMIF('T02'!$D$3:$D$1048576,'Pivot 01 (.)'!$A5,'T02'!$DI$3:$DI$1048576)</f>
        <v>0</v>
      </c>
      <c r="K5" s="137">
        <f>+SUMIF('T02'!$D$3:$D$1048576,'Pivot 01 (.)'!$A5,'T02'!$DJ$3:$DJ$1048576)</f>
        <v>0</v>
      </c>
      <c r="L5" s="137">
        <f>+SUMIF('T02'!$D$3:$D$1048576,'Pivot 01 (.)'!$A5,'T02'!$DK$3:$DK$1048576)</f>
        <v>0</v>
      </c>
      <c r="M5" s="137">
        <f>+SUMIF('T02'!$D$3:$D$1048576,'Pivot 01 (.)'!$A5,'T02'!$DL$3:$DL$1048576)+SUMIF('T02'!$D$3:$D$1048576,'Pivot 01 (.)'!$A5,'T02'!$DM$3:$DM$1048576)</f>
        <v>0</v>
      </c>
      <c r="N5" s="137">
        <f>+SUMIF('T02'!$D$3:$D$1048576,'Pivot 01 (.)'!$A5,'T02'!$DN$3:$DN$1048576)</f>
        <v>0</v>
      </c>
      <c r="O5" s="137">
        <f>+SUMIF('T02'!$D$3:$D$1048576,'Pivot 01 (.)'!$A5,'T02'!$DO$3:$DO$1048576)</f>
        <v>0</v>
      </c>
      <c r="P5" s="137">
        <f>+SUMIF('T02'!$D$3:$D$1048576,'Pivot 01 (.)'!$A5,'T02'!$DP$3:$DP$1048576)</f>
        <v>0</v>
      </c>
      <c r="Q5" s="137">
        <f>+SUMIF('T02'!$D$3:$D$1048576,'Pivot 01 (.)'!$A5,'T02'!$DQ$3:$DQ$1048576)</f>
        <v>0</v>
      </c>
      <c r="R5" s="137">
        <f>+SUMIF('T02'!$D$3:$D$1048576,'Pivot 01 (.)'!$A5,'T02'!$CV$3:$CV$1048576)</f>
        <v>0</v>
      </c>
      <c r="S5" s="137">
        <f>+SUMIF('T02'!$D$3:$D$1048576,'Pivot 01 (.)'!$A5,'T02'!$DS$3:$DS$1048576)</f>
        <v>0</v>
      </c>
      <c r="T5" s="137">
        <v>0</v>
      </c>
      <c r="U5" s="119">
        <f t="shared" ref="U5:U35" si="0">ROUND(I5-SUM(J5:L5,P5,R5,S5,T5),0)</f>
        <v>0</v>
      </c>
      <c r="V5" s="119"/>
    </row>
    <row r="6" spans="1:22" s="120" customFormat="1" ht="21" customHeight="1">
      <c r="A6" s="108" t="s">
        <v>186</v>
      </c>
      <c r="B6" s="117" t="s">
        <v>187</v>
      </c>
      <c r="C6" s="118">
        <f>+COUNTIF('T02'!$D$3:$D$1048576,'Pivot 01 (.)'!$A6)</f>
        <v>0</v>
      </c>
      <c r="D6" s="136">
        <f>+SUMIF('T02'!$D$3:$D$1048576,'Pivot 01 (.)'!$A6,'T02'!$J$3:$J$1048576)</f>
        <v>0</v>
      </c>
      <c r="E6" s="136">
        <f>+SUMIF('T02'!$D$3:$D$1048576,'Pivot 01 (.)'!$A6,'T02'!$K$3:$K$1048576)</f>
        <v>0</v>
      </c>
      <c r="F6" s="136">
        <f>+SUMIF('T02'!$D$3:$D$1048576,'Pivot 01 (.)'!$A6,'T02'!$L$3:$L$1048576)</f>
        <v>0</v>
      </c>
      <c r="G6" s="136">
        <f>+SUMIF('T02'!$D$3:$D$1048576,'Pivot 01 (.)'!$A6,'T02'!$N$3:$N$1048576)</f>
        <v>0</v>
      </c>
      <c r="H6" s="136">
        <f>+SUMIF('T02'!$D$3:$D$1048576,'Pivot 01 (.)'!$A6,'T02'!$O$3:$O$1048576)</f>
        <v>0</v>
      </c>
      <c r="I6" s="137">
        <f>+SUMIF('T02'!$D$3:$D$1048576,'Pivot 01 (.)'!$A6,'T02'!$CJ$3:$CJ$1048576)</f>
        <v>0</v>
      </c>
      <c r="J6" s="137">
        <f>+SUMIF('T02'!$D$3:$D$1048576,'Pivot 01 (.)'!$A6,'T02'!$DI$3:$DI$1048576)</f>
        <v>0</v>
      </c>
      <c r="K6" s="137">
        <f>+SUMIF('T02'!$D$3:$D$1048576,'Pivot 01 (.)'!$A6,'T02'!$DJ$3:$DJ$1048576)</f>
        <v>0</v>
      </c>
      <c r="L6" s="137">
        <f>+SUMIF('T02'!$D$3:$D$1048576,'Pivot 01 (.)'!$A6,'T02'!$DK$3:$DK$1048576)</f>
        <v>0</v>
      </c>
      <c r="M6" s="137">
        <f>+SUMIF('T02'!$D$3:$D$1048576,'Pivot 01 (.)'!$A6,'T02'!$DL$3:$DL$1048576)+SUMIF('T02'!$D$3:$D$1048576,'Pivot 01 (.)'!$A6,'T02'!$DM$3:$DM$1048576)</f>
        <v>0</v>
      </c>
      <c r="N6" s="137">
        <f>+SUMIF('T02'!$D$3:$D$1048576,'Pivot 01 (.)'!$A6,'T02'!$DN$3:$DN$1048576)</f>
        <v>0</v>
      </c>
      <c r="O6" s="137">
        <f>+SUMIF('T02'!$D$3:$D$1048576,'Pivot 01 (.)'!$A6,'T02'!$DO$3:$DO$1048576)</f>
        <v>0</v>
      </c>
      <c r="P6" s="137">
        <f>+SUMIF('T02'!$D$3:$D$1048576,'Pivot 01 (.)'!$A6,'T02'!$DP$3:$DP$1048576)</f>
        <v>0</v>
      </c>
      <c r="Q6" s="137">
        <f>+SUMIF('T02'!$D$3:$D$1048576,'Pivot 01 (.)'!$A6,'T02'!$DQ$3:$DQ$1048576)</f>
        <v>0</v>
      </c>
      <c r="R6" s="137">
        <f>+SUMIF('T02'!$D$3:$D$1048576,'Pivot 01 (.)'!$A6,'T02'!$CV$3:$CV$1048576)</f>
        <v>0</v>
      </c>
      <c r="S6" s="137">
        <f>+SUMIF('T02'!$D$3:$D$1048576,'Pivot 01 (.)'!$A6,'T02'!$DS$3:$DS$1048576)</f>
        <v>0</v>
      </c>
      <c r="T6" s="137">
        <v>0</v>
      </c>
      <c r="U6" s="119">
        <f t="shared" si="0"/>
        <v>0</v>
      </c>
      <c r="V6" s="119"/>
    </row>
    <row r="7" spans="1:22" s="120" customFormat="1" ht="21" customHeight="1">
      <c r="A7" s="108" t="s">
        <v>188</v>
      </c>
      <c r="B7" s="117" t="s">
        <v>189</v>
      </c>
      <c r="C7" s="118">
        <f>+COUNTIF('T02'!$D$3:$D$1048576,'Pivot 01 (.)'!$A7)</f>
        <v>0</v>
      </c>
      <c r="D7" s="136">
        <f>+SUMIF('T02'!$D$3:$D$1048576,'Pivot 01 (.)'!$A7,'T02'!$J$3:$J$1048576)</f>
        <v>0</v>
      </c>
      <c r="E7" s="136">
        <f>+SUMIF('T02'!$D$3:$D$1048576,'Pivot 01 (.)'!$A7,'T02'!$K$3:$K$1048576)</f>
        <v>0</v>
      </c>
      <c r="F7" s="136">
        <f>+SUMIF('T02'!$D$3:$D$1048576,'Pivot 01 (.)'!$A7,'T02'!$L$3:$L$1048576)</f>
        <v>0</v>
      </c>
      <c r="G7" s="136">
        <f>+SUMIF('T02'!$D$3:$D$1048576,'Pivot 01 (.)'!$A7,'T02'!$N$3:$N$1048576)</f>
        <v>0</v>
      </c>
      <c r="H7" s="136">
        <f>+SUMIF('T02'!$D$3:$D$1048576,'Pivot 01 (.)'!$A7,'T02'!$O$3:$O$1048576)</f>
        <v>0</v>
      </c>
      <c r="I7" s="137">
        <f>+SUMIF('T02'!$D$3:$D$1048576,'Pivot 01 (.)'!$A7,'T02'!$CJ$3:$CJ$1048576)</f>
        <v>0</v>
      </c>
      <c r="J7" s="137">
        <f>+SUMIF('T02'!$D$3:$D$1048576,'Pivot 01 (.)'!$A7,'T02'!$DI$3:$DI$1048576)</f>
        <v>0</v>
      </c>
      <c r="K7" s="137">
        <f>+SUMIF('T02'!$D$3:$D$1048576,'Pivot 01 (.)'!$A7,'T02'!$DJ$3:$DJ$1048576)</f>
        <v>0</v>
      </c>
      <c r="L7" s="137">
        <f>+SUMIF('T02'!$D$3:$D$1048576,'Pivot 01 (.)'!$A7,'T02'!$DK$3:$DK$1048576)</f>
        <v>0</v>
      </c>
      <c r="M7" s="137">
        <f>+SUMIF('T02'!$D$3:$D$1048576,'Pivot 01 (.)'!$A7,'T02'!$DL$3:$DL$1048576)+SUMIF('T02'!$D$3:$D$1048576,'Pivot 01 (.)'!$A7,'T02'!$DM$3:$DM$1048576)</f>
        <v>0</v>
      </c>
      <c r="N7" s="137">
        <f>+SUMIF('T02'!$D$3:$D$1048576,'Pivot 01 (.)'!$A7,'T02'!$DN$3:$DN$1048576)</f>
        <v>0</v>
      </c>
      <c r="O7" s="137">
        <f>+SUMIF('T02'!$D$3:$D$1048576,'Pivot 01 (.)'!$A7,'T02'!$DO$3:$DO$1048576)</f>
        <v>0</v>
      </c>
      <c r="P7" s="137">
        <f>+SUMIF('T02'!$D$3:$D$1048576,'Pivot 01 (.)'!$A7,'T02'!$DP$3:$DP$1048576)</f>
        <v>0</v>
      </c>
      <c r="Q7" s="137">
        <f>+SUMIF('T02'!$D$3:$D$1048576,'Pivot 01 (.)'!$A7,'T02'!$DQ$3:$DQ$1048576)</f>
        <v>0</v>
      </c>
      <c r="R7" s="137">
        <f>+SUMIF('T02'!$D$3:$D$1048576,'Pivot 01 (.)'!$A7,'T02'!$CV$3:$CV$1048576)</f>
        <v>0</v>
      </c>
      <c r="S7" s="137">
        <f>+SUMIF('T02'!$D$3:$D$1048576,'Pivot 01 (.)'!$A7,'T02'!$DS$3:$DS$1048576)</f>
        <v>0</v>
      </c>
      <c r="T7" s="137">
        <v>0</v>
      </c>
      <c r="U7" s="119">
        <f t="shared" si="0"/>
        <v>0</v>
      </c>
      <c r="V7" s="119"/>
    </row>
    <row r="8" spans="1:22" s="121" customFormat="1" ht="21" customHeight="1">
      <c r="A8" s="108" t="s">
        <v>190</v>
      </c>
      <c r="B8" s="117" t="s">
        <v>191</v>
      </c>
      <c r="C8" s="118">
        <f>+COUNTIF('T02'!$D$3:$D$1048576,'Pivot 01 (.)'!$A8)</f>
        <v>0</v>
      </c>
      <c r="D8" s="136">
        <f>+SUMIF('T02'!$D$3:$D$1048576,'Pivot 01 (.)'!$A8,'T02'!$J$3:$J$1048576)</f>
        <v>0</v>
      </c>
      <c r="E8" s="136">
        <f>+SUMIF('T02'!$D$3:$D$1048576,'Pivot 01 (.)'!$A8,'T02'!$K$3:$K$1048576)</f>
        <v>0</v>
      </c>
      <c r="F8" s="136">
        <f>+SUMIF('T02'!$D$3:$D$1048576,'Pivot 01 (.)'!$A8,'T02'!$L$3:$L$1048576)</f>
        <v>0</v>
      </c>
      <c r="G8" s="136">
        <f>+SUMIF('T02'!$D$3:$D$1048576,'Pivot 01 (.)'!$A8,'T02'!$N$3:$N$1048576)</f>
        <v>0</v>
      </c>
      <c r="H8" s="136">
        <f>+SUMIF('T02'!$D$3:$D$1048576,'Pivot 01 (.)'!$A8,'T02'!$O$3:$O$1048576)</f>
        <v>0</v>
      </c>
      <c r="I8" s="137">
        <f>+SUMIF('T02'!$D$3:$D$1048576,'Pivot 01 (.)'!$A8,'T02'!$CJ$3:$CJ$1048576)</f>
        <v>0</v>
      </c>
      <c r="J8" s="137">
        <f>+SUMIF('T02'!$D$3:$D$1048576,'Pivot 01 (.)'!$A8,'T02'!$DI$3:$DI$1048576)</f>
        <v>0</v>
      </c>
      <c r="K8" s="137">
        <f>+SUMIF('T02'!$D$3:$D$1048576,'Pivot 01 (.)'!$A8,'T02'!$DJ$3:$DJ$1048576)</f>
        <v>0</v>
      </c>
      <c r="L8" s="137">
        <f>+SUMIF('T02'!$D$3:$D$1048576,'Pivot 01 (.)'!$A8,'T02'!$DK$3:$DK$1048576)</f>
        <v>0</v>
      </c>
      <c r="M8" s="137">
        <f>+SUMIF('T02'!$D$3:$D$1048576,'Pivot 01 (.)'!$A8,'T02'!$DL$3:$DL$1048576)+SUMIF('T02'!$D$3:$D$1048576,'Pivot 01 (.)'!$A8,'T02'!$DM$3:$DM$1048576)</f>
        <v>0</v>
      </c>
      <c r="N8" s="137">
        <f>+SUMIF('T02'!$D$3:$D$1048576,'Pivot 01 (.)'!$A8,'T02'!$DN$3:$DN$1048576)</f>
        <v>0</v>
      </c>
      <c r="O8" s="137">
        <f>+SUMIF('T02'!$D$3:$D$1048576,'Pivot 01 (.)'!$A8,'T02'!$DO$3:$DO$1048576)</f>
        <v>0</v>
      </c>
      <c r="P8" s="137">
        <f>+SUMIF('T02'!$D$3:$D$1048576,'Pivot 01 (.)'!$A8,'T02'!$DP$3:$DP$1048576)</f>
        <v>0</v>
      </c>
      <c r="Q8" s="137">
        <f>+SUMIF('T02'!$D$3:$D$1048576,'Pivot 01 (.)'!$A8,'T02'!$DQ$3:$DQ$1048576)</f>
        <v>0</v>
      </c>
      <c r="R8" s="137">
        <f>+SUMIF('T02'!$D$3:$D$1048576,'Pivot 01 (.)'!$A8,'T02'!$CV$3:$CV$1048576)</f>
        <v>0</v>
      </c>
      <c r="S8" s="137">
        <f>+SUMIF('T02'!$D$3:$D$1048576,'Pivot 01 (.)'!$A8,'T02'!$DS$3:$DS$1048576)</f>
        <v>0</v>
      </c>
      <c r="T8" s="137">
        <v>0</v>
      </c>
      <c r="U8" s="119">
        <f t="shared" si="0"/>
        <v>0</v>
      </c>
      <c r="V8" s="119"/>
    </row>
    <row r="9" spans="1:22" s="121" customFormat="1" ht="21" customHeight="1">
      <c r="A9" s="108" t="s">
        <v>192</v>
      </c>
      <c r="B9" s="117" t="s">
        <v>193</v>
      </c>
      <c r="C9" s="118">
        <f>+COUNTIF('T02'!$D$3:$D$1048576,'Pivot 01 (.)'!$A9)</f>
        <v>0</v>
      </c>
      <c r="D9" s="136">
        <f>+SUMIF('T02'!$D$3:$D$1048576,'Pivot 01 (.)'!$A9,'T02'!$J$3:$J$1048576)</f>
        <v>0</v>
      </c>
      <c r="E9" s="136">
        <f>+SUMIF('T02'!$D$3:$D$1048576,'Pivot 01 (.)'!$A9,'T02'!$K$3:$K$1048576)</f>
        <v>0</v>
      </c>
      <c r="F9" s="136">
        <f>+SUMIF('T02'!$D$3:$D$1048576,'Pivot 01 (.)'!$A9,'T02'!$L$3:$L$1048576)</f>
        <v>0</v>
      </c>
      <c r="G9" s="136">
        <f>+SUMIF('T02'!$D$3:$D$1048576,'Pivot 01 (.)'!$A9,'T02'!$N$3:$N$1048576)</f>
        <v>0</v>
      </c>
      <c r="H9" s="136">
        <f>+SUMIF('T02'!$D$3:$D$1048576,'Pivot 01 (.)'!$A9,'T02'!$O$3:$O$1048576)</f>
        <v>0</v>
      </c>
      <c r="I9" s="137">
        <f>+SUMIF('T02'!$D$3:$D$1048576,'Pivot 01 (.)'!$A9,'T02'!$CJ$3:$CJ$1048576)</f>
        <v>0</v>
      </c>
      <c r="J9" s="137">
        <f>+SUMIF('T02'!$D$3:$D$1048576,'Pivot 01 (.)'!$A9,'T02'!$DI$3:$DI$1048576)</f>
        <v>0</v>
      </c>
      <c r="K9" s="137">
        <f>+SUMIF('T02'!$D$3:$D$1048576,'Pivot 01 (.)'!$A9,'T02'!$DJ$3:$DJ$1048576)</f>
        <v>0</v>
      </c>
      <c r="L9" s="137">
        <f>+SUMIF('T02'!$D$3:$D$1048576,'Pivot 01 (.)'!$A9,'T02'!$DK$3:$DK$1048576)</f>
        <v>0</v>
      </c>
      <c r="M9" s="137">
        <f>+SUMIF('T02'!$D$3:$D$1048576,'Pivot 01 (.)'!$A9,'T02'!$DL$3:$DL$1048576)+SUMIF('T02'!$D$3:$D$1048576,'Pivot 01 (.)'!$A9,'T02'!$DM$3:$DM$1048576)</f>
        <v>0</v>
      </c>
      <c r="N9" s="137">
        <f>+SUMIF('T02'!$D$3:$D$1048576,'Pivot 01 (.)'!$A9,'T02'!$DN$3:$DN$1048576)</f>
        <v>0</v>
      </c>
      <c r="O9" s="137">
        <f>+SUMIF('T02'!$D$3:$D$1048576,'Pivot 01 (.)'!$A9,'T02'!$DO$3:$DO$1048576)</f>
        <v>0</v>
      </c>
      <c r="P9" s="137">
        <f>+SUMIF('T02'!$D$3:$D$1048576,'Pivot 01 (.)'!$A9,'T02'!$DP$3:$DP$1048576)</f>
        <v>0</v>
      </c>
      <c r="Q9" s="137">
        <f>+SUMIF('T02'!$D$3:$D$1048576,'Pivot 01 (.)'!$A9,'T02'!$DQ$3:$DQ$1048576)</f>
        <v>0</v>
      </c>
      <c r="R9" s="137">
        <f>+SUMIF('T02'!$D$3:$D$1048576,'Pivot 01 (.)'!$A9,'T02'!$CV$3:$CV$1048576)</f>
        <v>0</v>
      </c>
      <c r="S9" s="137">
        <f>+SUMIF('T02'!$D$3:$D$1048576,'Pivot 01 (.)'!$A9,'T02'!$DS$3:$DS$1048576)</f>
        <v>0</v>
      </c>
      <c r="T9" s="137">
        <v>0</v>
      </c>
      <c r="U9" s="119">
        <f t="shared" si="0"/>
        <v>0</v>
      </c>
      <c r="V9" s="119"/>
    </row>
    <row r="10" spans="1:22" s="121" customFormat="1" ht="21" customHeight="1">
      <c r="A10" s="108">
        <v>201016</v>
      </c>
      <c r="B10" s="117" t="s">
        <v>194</v>
      </c>
      <c r="C10" s="118">
        <f>+COUNTIF('T02'!$D$3:$D$1048576,'Pivot 01 (.)'!$A10)</f>
        <v>0</v>
      </c>
      <c r="D10" s="136">
        <f>+SUMIF('T02'!$D$3:$D$1048576,'Pivot 01 (.)'!$A10,'T02'!$J$3:$J$1048576)</f>
        <v>0</v>
      </c>
      <c r="E10" s="136">
        <f>+SUMIF('T02'!$D$3:$D$1048576,'Pivot 01 (.)'!$A10,'T02'!$K$3:$K$1048576)</f>
        <v>0</v>
      </c>
      <c r="F10" s="136">
        <f>+SUMIF('T02'!$D$3:$D$1048576,'Pivot 01 (.)'!$A10,'T02'!$L$3:$L$1048576)</f>
        <v>0</v>
      </c>
      <c r="G10" s="136">
        <f>+SUMIF('T02'!$D$3:$D$1048576,'Pivot 01 (.)'!$A10,'T02'!$N$3:$N$1048576)</f>
        <v>0</v>
      </c>
      <c r="H10" s="136">
        <f>+SUMIF('T02'!$D$3:$D$1048576,'Pivot 01 (.)'!$A10,'T02'!$O$3:$O$1048576)</f>
        <v>0</v>
      </c>
      <c r="I10" s="137">
        <f>+SUMIF('T02'!$D$3:$D$1048576,'Pivot 01 (.)'!$A10,'T02'!$CJ$3:$CJ$1048576)</f>
        <v>0</v>
      </c>
      <c r="J10" s="137">
        <f>+SUMIF('T02'!$D$3:$D$1048576,'Pivot 01 (.)'!$A10,'T02'!$DI$3:$DI$1048576)</f>
        <v>0</v>
      </c>
      <c r="K10" s="137">
        <f>+SUMIF('T02'!$D$3:$D$1048576,'Pivot 01 (.)'!$A10,'T02'!$DJ$3:$DJ$1048576)</f>
        <v>0</v>
      </c>
      <c r="L10" s="137">
        <f>+SUMIF('T02'!$D$3:$D$1048576,'Pivot 01 (.)'!$A10,'T02'!$DK$3:$DK$1048576)</f>
        <v>0</v>
      </c>
      <c r="M10" s="137">
        <f>+SUMIF('T02'!$D$3:$D$1048576,'Pivot 01 (.)'!$A10,'T02'!$DL$3:$DL$1048576)+SUMIF('T02'!$D$3:$D$1048576,'Pivot 01 (.)'!$A10,'T02'!$DM$3:$DM$1048576)</f>
        <v>0</v>
      </c>
      <c r="N10" s="137">
        <f>+SUMIF('T02'!$D$3:$D$1048576,'Pivot 01 (.)'!$A10,'T02'!$DN$3:$DN$1048576)</f>
        <v>0</v>
      </c>
      <c r="O10" s="137">
        <f>+SUMIF('T02'!$D$3:$D$1048576,'Pivot 01 (.)'!$A10,'T02'!$DO$3:$DO$1048576)</f>
        <v>0</v>
      </c>
      <c r="P10" s="137">
        <f>+SUMIF('T02'!$D$3:$D$1048576,'Pivot 01 (.)'!$A10,'T02'!$DP$3:$DP$1048576)</f>
        <v>0</v>
      </c>
      <c r="Q10" s="137">
        <f>+SUMIF('T02'!$D$3:$D$1048576,'Pivot 01 (.)'!$A10,'T02'!$DQ$3:$DQ$1048576)</f>
        <v>0</v>
      </c>
      <c r="R10" s="137">
        <f>+SUMIF('T02'!$D$3:$D$1048576,'Pivot 01 (.)'!$A10,'T02'!$CV$3:$CV$1048576)</f>
        <v>0</v>
      </c>
      <c r="S10" s="137">
        <f>+SUMIF('T02'!$D$3:$D$1048576,'Pivot 01 (.)'!$A10,'T02'!$DS$3:$DS$1048576)</f>
        <v>0</v>
      </c>
      <c r="T10" s="137">
        <v>0</v>
      </c>
      <c r="U10" s="119">
        <f t="shared" si="0"/>
        <v>0</v>
      </c>
      <c r="V10" s="119"/>
    </row>
    <row r="11" spans="1:22" s="121" customFormat="1" ht="21" customHeight="1">
      <c r="A11" s="108" t="s">
        <v>195</v>
      </c>
      <c r="B11" s="117" t="s">
        <v>196</v>
      </c>
      <c r="C11" s="118">
        <f>+COUNTIF('T02'!$D$3:$D$1048576,'Pivot 01 (.)'!$A11)</f>
        <v>0</v>
      </c>
      <c r="D11" s="136">
        <f>+SUMIF('T02'!$D$3:$D$1048576,'Pivot 01 (.)'!$A11,'T02'!$J$3:$J$1048576)</f>
        <v>0</v>
      </c>
      <c r="E11" s="136">
        <f>+SUMIF('T02'!$D$3:$D$1048576,'Pivot 01 (.)'!$A11,'T02'!$K$3:$K$1048576)</f>
        <v>0</v>
      </c>
      <c r="F11" s="136">
        <f>+SUMIF('T02'!$D$3:$D$1048576,'Pivot 01 (.)'!$A11,'T02'!$L$3:$L$1048576)</f>
        <v>0</v>
      </c>
      <c r="G11" s="136">
        <f>+SUMIF('T02'!$D$3:$D$1048576,'Pivot 01 (.)'!$A11,'T02'!$N$3:$N$1048576)</f>
        <v>0</v>
      </c>
      <c r="H11" s="136">
        <f>+SUMIF('T02'!$D$3:$D$1048576,'Pivot 01 (.)'!$A11,'T02'!$O$3:$O$1048576)</f>
        <v>0</v>
      </c>
      <c r="I11" s="137">
        <f>+SUMIF('T02'!$D$3:$D$1048576,'Pivot 01 (.)'!$A11,'T02'!$CJ$3:$CJ$1048576)</f>
        <v>0</v>
      </c>
      <c r="J11" s="137">
        <f>+SUMIF('T02'!$D$3:$D$1048576,'Pivot 01 (.)'!$A11,'T02'!$DI$3:$DI$1048576)</f>
        <v>0</v>
      </c>
      <c r="K11" s="137">
        <f>+SUMIF('T02'!$D$3:$D$1048576,'Pivot 01 (.)'!$A11,'T02'!$DJ$3:$DJ$1048576)</f>
        <v>0</v>
      </c>
      <c r="L11" s="137">
        <f>+SUMIF('T02'!$D$3:$D$1048576,'Pivot 01 (.)'!$A11,'T02'!$DK$3:$DK$1048576)</f>
        <v>0</v>
      </c>
      <c r="M11" s="137">
        <f>+SUMIF('T02'!$D$3:$D$1048576,'Pivot 01 (.)'!$A11,'T02'!$DL$3:$DL$1048576)+SUMIF('T02'!$D$3:$D$1048576,'Pivot 01 (.)'!$A11,'T02'!$DM$3:$DM$1048576)</f>
        <v>0</v>
      </c>
      <c r="N11" s="137">
        <f>+SUMIF('T02'!$D$3:$D$1048576,'Pivot 01 (.)'!$A11,'T02'!$DN$3:$DN$1048576)</f>
        <v>0</v>
      </c>
      <c r="O11" s="137">
        <f>+SUMIF('T02'!$D$3:$D$1048576,'Pivot 01 (.)'!$A11,'T02'!$DO$3:$DO$1048576)</f>
        <v>0</v>
      </c>
      <c r="P11" s="137">
        <f>+SUMIF('T02'!$D$3:$D$1048576,'Pivot 01 (.)'!$A11,'T02'!$DP$3:$DP$1048576)</f>
        <v>0</v>
      </c>
      <c r="Q11" s="137">
        <f>+SUMIF('T02'!$D$3:$D$1048576,'Pivot 01 (.)'!$A11,'T02'!$DQ$3:$DQ$1048576)</f>
        <v>0</v>
      </c>
      <c r="R11" s="137">
        <f>+SUMIF('T02'!$D$3:$D$1048576,'Pivot 01 (.)'!$A11,'T02'!$CV$3:$CV$1048576)</f>
        <v>0</v>
      </c>
      <c r="S11" s="137">
        <f>+SUMIF('T02'!$D$3:$D$1048576,'Pivot 01 (.)'!$A11,'T02'!$DS$3:$DS$1048576)</f>
        <v>0</v>
      </c>
      <c r="T11" s="137">
        <v>0</v>
      </c>
      <c r="U11" s="119">
        <f t="shared" si="0"/>
        <v>0</v>
      </c>
      <c r="V11" s="119"/>
    </row>
    <row r="12" spans="1:22" s="120" customFormat="1" ht="21" customHeight="1">
      <c r="A12" s="108" t="s">
        <v>197</v>
      </c>
      <c r="B12" s="117" t="s">
        <v>198</v>
      </c>
      <c r="C12" s="118">
        <f>+COUNTIF('T02'!$D$3:$D$1048576,'Pivot 01 (.)'!$A12)</f>
        <v>0</v>
      </c>
      <c r="D12" s="136">
        <f>+SUMIF('T02'!$D$3:$D$1048576,'Pivot 01 (.)'!$A12,'T02'!$J$3:$J$1048576)</f>
        <v>0</v>
      </c>
      <c r="E12" s="136">
        <f>+SUMIF('T02'!$D$3:$D$1048576,'Pivot 01 (.)'!$A12,'T02'!$K$3:$K$1048576)</f>
        <v>0</v>
      </c>
      <c r="F12" s="136">
        <f>+SUMIF('T02'!$D$3:$D$1048576,'Pivot 01 (.)'!$A12,'T02'!$L$3:$L$1048576)</f>
        <v>0</v>
      </c>
      <c r="G12" s="136">
        <f>+SUMIF('T02'!$D$3:$D$1048576,'Pivot 01 (.)'!$A12,'T02'!$N$3:$N$1048576)</f>
        <v>0</v>
      </c>
      <c r="H12" s="136">
        <f>+SUMIF('T02'!$D$3:$D$1048576,'Pivot 01 (.)'!$A12,'T02'!$O$3:$O$1048576)</f>
        <v>0</v>
      </c>
      <c r="I12" s="137">
        <f>+SUMIF('T02'!$D$3:$D$1048576,'Pivot 01 (.)'!$A12,'T02'!$CJ$3:$CJ$1048576)</f>
        <v>0</v>
      </c>
      <c r="J12" s="137">
        <f>+SUMIF('T02'!$D$3:$D$1048576,'Pivot 01 (.)'!$A12,'T02'!$DI$3:$DI$1048576)</f>
        <v>0</v>
      </c>
      <c r="K12" s="137">
        <f>+SUMIF('T02'!$D$3:$D$1048576,'Pivot 01 (.)'!$A12,'T02'!$DJ$3:$DJ$1048576)</f>
        <v>0</v>
      </c>
      <c r="L12" s="137">
        <f>+SUMIF('T02'!$D$3:$D$1048576,'Pivot 01 (.)'!$A12,'T02'!$DK$3:$DK$1048576)</f>
        <v>0</v>
      </c>
      <c r="M12" s="137">
        <f>+SUMIF('T02'!$D$3:$D$1048576,'Pivot 01 (.)'!$A12,'T02'!$DL$3:$DL$1048576)+SUMIF('T02'!$D$3:$D$1048576,'Pivot 01 (.)'!$A12,'T02'!$DM$3:$DM$1048576)</f>
        <v>0</v>
      </c>
      <c r="N12" s="137">
        <f>+SUMIF('T02'!$D$3:$D$1048576,'Pivot 01 (.)'!$A12,'T02'!$DN$3:$DN$1048576)</f>
        <v>0</v>
      </c>
      <c r="O12" s="137">
        <f>+SUMIF('T02'!$D$3:$D$1048576,'Pivot 01 (.)'!$A12,'T02'!$DO$3:$DO$1048576)</f>
        <v>0</v>
      </c>
      <c r="P12" s="137">
        <f>+SUMIF('T02'!$D$3:$D$1048576,'Pivot 01 (.)'!$A12,'T02'!$DP$3:$DP$1048576)</f>
        <v>0</v>
      </c>
      <c r="Q12" s="137">
        <f>+SUMIF('T02'!$D$3:$D$1048576,'Pivot 01 (.)'!$A12,'T02'!$DQ$3:$DQ$1048576)</f>
        <v>0</v>
      </c>
      <c r="R12" s="137">
        <f>+SUMIF('T02'!$D$3:$D$1048576,'Pivot 01 (.)'!$A12,'T02'!$CV$3:$CV$1048576)</f>
        <v>0</v>
      </c>
      <c r="S12" s="137">
        <f>+SUMIF('T02'!$D$3:$D$1048576,'Pivot 01 (.)'!$A12,'T02'!$DS$3:$DS$1048576)</f>
        <v>0</v>
      </c>
      <c r="T12" s="137">
        <v>0</v>
      </c>
      <c r="U12" s="119">
        <f t="shared" si="0"/>
        <v>0</v>
      </c>
      <c r="V12" s="119"/>
    </row>
    <row r="13" spans="1:22" s="120" customFormat="1" ht="21" customHeight="1">
      <c r="A13" s="108" t="s">
        <v>199</v>
      </c>
      <c r="B13" s="117" t="s">
        <v>200</v>
      </c>
      <c r="C13" s="118">
        <f>+COUNTIF('T02'!$D$3:$D$1048576,'Pivot 01 (.)'!$A13)</f>
        <v>0</v>
      </c>
      <c r="D13" s="136">
        <f>+SUMIF('T02'!$D$3:$D$1048576,'Pivot 01 (.)'!$A13,'T02'!$J$3:$J$1048576)</f>
        <v>0</v>
      </c>
      <c r="E13" s="136">
        <f>+SUMIF('T02'!$D$3:$D$1048576,'Pivot 01 (.)'!$A13,'T02'!$K$3:$K$1048576)</f>
        <v>0</v>
      </c>
      <c r="F13" s="136">
        <f>+SUMIF('T02'!$D$3:$D$1048576,'Pivot 01 (.)'!$A13,'T02'!$L$3:$L$1048576)</f>
        <v>0</v>
      </c>
      <c r="G13" s="136">
        <f>+SUMIF('T02'!$D$3:$D$1048576,'Pivot 01 (.)'!$A13,'T02'!$N$3:$N$1048576)</f>
        <v>0</v>
      </c>
      <c r="H13" s="136">
        <f>+SUMIF('T02'!$D$3:$D$1048576,'Pivot 01 (.)'!$A13,'T02'!$O$3:$O$1048576)</f>
        <v>0</v>
      </c>
      <c r="I13" s="137">
        <f>+SUMIF('T02'!$D$3:$D$1048576,'Pivot 01 (.)'!$A13,'T02'!$CJ$3:$CJ$1048576)</f>
        <v>0</v>
      </c>
      <c r="J13" s="137">
        <f>+SUMIF('T02'!$D$3:$D$1048576,'Pivot 01 (.)'!$A13,'T02'!$DI$3:$DI$1048576)</f>
        <v>0</v>
      </c>
      <c r="K13" s="137">
        <f>+SUMIF('T02'!$D$3:$D$1048576,'Pivot 01 (.)'!$A13,'T02'!$DJ$3:$DJ$1048576)</f>
        <v>0</v>
      </c>
      <c r="L13" s="137">
        <f>+SUMIF('T02'!$D$3:$D$1048576,'Pivot 01 (.)'!$A13,'T02'!$DK$3:$DK$1048576)</f>
        <v>0</v>
      </c>
      <c r="M13" s="137">
        <f>+SUMIF('T02'!$D$3:$D$1048576,'Pivot 01 (.)'!$A13,'T02'!$DL$3:$DL$1048576)+SUMIF('T02'!$D$3:$D$1048576,'Pivot 01 (.)'!$A13,'T02'!$DM$3:$DM$1048576)</f>
        <v>0</v>
      </c>
      <c r="N13" s="137">
        <f>+SUMIF('T02'!$D$3:$D$1048576,'Pivot 01 (.)'!$A13,'T02'!$DN$3:$DN$1048576)</f>
        <v>0</v>
      </c>
      <c r="O13" s="137">
        <f>+SUMIF('T02'!$D$3:$D$1048576,'Pivot 01 (.)'!$A13,'T02'!$DO$3:$DO$1048576)</f>
        <v>0</v>
      </c>
      <c r="P13" s="137">
        <f>+SUMIF('T02'!$D$3:$D$1048576,'Pivot 01 (.)'!$A13,'T02'!$DP$3:$DP$1048576)</f>
        <v>0</v>
      </c>
      <c r="Q13" s="137">
        <f>+SUMIF('T02'!$D$3:$D$1048576,'Pivot 01 (.)'!$A13,'T02'!$DQ$3:$DQ$1048576)</f>
        <v>0</v>
      </c>
      <c r="R13" s="137">
        <f>+SUMIF('T02'!$D$3:$D$1048576,'Pivot 01 (.)'!$A13,'T02'!$CV$3:$CV$1048576)</f>
        <v>0</v>
      </c>
      <c r="S13" s="137">
        <f>+SUMIF('T02'!$D$3:$D$1048576,'Pivot 01 (.)'!$A13,'T02'!$DS$3:$DS$1048576)</f>
        <v>0</v>
      </c>
      <c r="T13" s="137">
        <v>0</v>
      </c>
      <c r="U13" s="119">
        <f t="shared" si="0"/>
        <v>0</v>
      </c>
      <c r="V13" s="119"/>
    </row>
    <row r="14" spans="1:22" s="120" customFormat="1" ht="21" customHeight="1">
      <c r="A14" s="108" t="s">
        <v>201</v>
      </c>
      <c r="B14" s="117" t="s">
        <v>202</v>
      </c>
      <c r="C14" s="118">
        <f>+COUNTIF('T02'!$D$3:$D$1048576,'Pivot 01 (.)'!$A14)</f>
        <v>0</v>
      </c>
      <c r="D14" s="136">
        <f>+SUMIF('T02'!$D$3:$D$1048576,'Pivot 01 (.)'!$A14,'T02'!$J$3:$J$1048576)</f>
        <v>0</v>
      </c>
      <c r="E14" s="136">
        <f>+SUMIF('T02'!$D$3:$D$1048576,'Pivot 01 (.)'!$A14,'T02'!$K$3:$K$1048576)</f>
        <v>0</v>
      </c>
      <c r="F14" s="136">
        <f>+SUMIF('T02'!$D$3:$D$1048576,'Pivot 01 (.)'!$A14,'T02'!$L$3:$L$1048576)</f>
        <v>0</v>
      </c>
      <c r="G14" s="136">
        <f>+SUMIF('T02'!$D$3:$D$1048576,'Pivot 01 (.)'!$A14,'T02'!$N$3:$N$1048576)</f>
        <v>0</v>
      </c>
      <c r="H14" s="136">
        <f>+SUMIF('T02'!$D$3:$D$1048576,'Pivot 01 (.)'!$A14,'T02'!$O$3:$O$1048576)</f>
        <v>0</v>
      </c>
      <c r="I14" s="137">
        <f>+SUMIF('T02'!$D$3:$D$1048576,'Pivot 01 (.)'!$A14,'T02'!$CJ$3:$CJ$1048576)</f>
        <v>0</v>
      </c>
      <c r="J14" s="137">
        <f>+SUMIF('T02'!$D$3:$D$1048576,'Pivot 01 (.)'!$A14,'T02'!$DI$3:$DI$1048576)</f>
        <v>0</v>
      </c>
      <c r="K14" s="137">
        <f>+SUMIF('T02'!$D$3:$D$1048576,'Pivot 01 (.)'!$A14,'T02'!$DJ$3:$DJ$1048576)</f>
        <v>0</v>
      </c>
      <c r="L14" s="137">
        <f>+SUMIF('T02'!$D$3:$D$1048576,'Pivot 01 (.)'!$A14,'T02'!$DK$3:$DK$1048576)</f>
        <v>0</v>
      </c>
      <c r="M14" s="137">
        <f>+SUMIF('T02'!$D$3:$D$1048576,'Pivot 01 (.)'!$A14,'T02'!$DL$3:$DL$1048576)+SUMIF('T02'!$D$3:$D$1048576,'Pivot 01 (.)'!$A14,'T02'!$DM$3:$DM$1048576)</f>
        <v>0</v>
      </c>
      <c r="N14" s="137">
        <f>+SUMIF('T02'!$D$3:$D$1048576,'Pivot 01 (.)'!$A14,'T02'!$DN$3:$DN$1048576)</f>
        <v>0</v>
      </c>
      <c r="O14" s="137">
        <f>+SUMIF('T02'!$D$3:$D$1048576,'Pivot 01 (.)'!$A14,'T02'!$DO$3:$DO$1048576)</f>
        <v>0</v>
      </c>
      <c r="P14" s="137">
        <f>+SUMIF('T02'!$D$3:$D$1048576,'Pivot 01 (.)'!$A14,'T02'!$DP$3:$DP$1048576)</f>
        <v>0</v>
      </c>
      <c r="Q14" s="137">
        <f>+SUMIF('T02'!$D$3:$D$1048576,'Pivot 01 (.)'!$A14,'T02'!$DQ$3:$DQ$1048576)</f>
        <v>0</v>
      </c>
      <c r="R14" s="137">
        <f>+SUMIF('T02'!$D$3:$D$1048576,'Pivot 01 (.)'!$A14,'T02'!$CV$3:$CV$1048576)</f>
        <v>0</v>
      </c>
      <c r="S14" s="137">
        <f>+SUMIF('T02'!$D$3:$D$1048576,'Pivot 01 (.)'!$A14,'T02'!$DS$3:$DS$1048576)</f>
        <v>0</v>
      </c>
      <c r="T14" s="137">
        <v>0</v>
      </c>
      <c r="U14" s="119">
        <f t="shared" si="0"/>
        <v>0</v>
      </c>
      <c r="V14" s="119"/>
    </row>
    <row r="15" spans="1:22" s="120" customFormat="1" ht="21" customHeight="1">
      <c r="A15" s="108" t="s">
        <v>203</v>
      </c>
      <c r="B15" s="117" t="s">
        <v>204</v>
      </c>
      <c r="C15" s="118">
        <f>+COUNTIF('T02'!$D$3:$D$1048576,'Pivot 01 (.)'!$A15)</f>
        <v>0</v>
      </c>
      <c r="D15" s="136">
        <f>+SUMIF('T02'!$D$3:$D$1048576,'Pivot 01 (.)'!$A15,'T02'!$J$3:$J$1048576)</f>
        <v>0</v>
      </c>
      <c r="E15" s="136">
        <f>+SUMIF('T02'!$D$3:$D$1048576,'Pivot 01 (.)'!$A15,'T02'!$K$3:$K$1048576)</f>
        <v>0</v>
      </c>
      <c r="F15" s="136">
        <f>+SUMIF('T02'!$D$3:$D$1048576,'Pivot 01 (.)'!$A15,'T02'!$L$3:$L$1048576)</f>
        <v>0</v>
      </c>
      <c r="G15" s="136">
        <f>+SUMIF('T02'!$D$3:$D$1048576,'Pivot 01 (.)'!$A15,'T02'!$N$3:$N$1048576)</f>
        <v>0</v>
      </c>
      <c r="H15" s="136">
        <f>+SUMIF('T02'!$D$3:$D$1048576,'Pivot 01 (.)'!$A15,'T02'!$O$3:$O$1048576)</f>
        <v>0</v>
      </c>
      <c r="I15" s="137">
        <f>+SUMIF('T02'!$D$3:$D$1048576,'Pivot 01 (.)'!$A15,'T02'!$CJ$3:$CJ$1048576)</f>
        <v>0</v>
      </c>
      <c r="J15" s="137">
        <f>+SUMIF('T02'!$D$3:$D$1048576,'Pivot 01 (.)'!$A15,'T02'!$DI$3:$DI$1048576)</f>
        <v>0</v>
      </c>
      <c r="K15" s="137">
        <f>+SUMIF('T02'!$D$3:$D$1048576,'Pivot 01 (.)'!$A15,'T02'!$DJ$3:$DJ$1048576)</f>
        <v>0</v>
      </c>
      <c r="L15" s="137">
        <f>+SUMIF('T02'!$D$3:$D$1048576,'Pivot 01 (.)'!$A15,'T02'!$DK$3:$DK$1048576)</f>
        <v>0</v>
      </c>
      <c r="M15" s="137">
        <f>+SUMIF('T02'!$D$3:$D$1048576,'Pivot 01 (.)'!$A15,'T02'!$DL$3:$DL$1048576)+SUMIF('T02'!$D$3:$D$1048576,'Pivot 01 (.)'!$A15,'T02'!$DM$3:$DM$1048576)</f>
        <v>0</v>
      </c>
      <c r="N15" s="137">
        <f>+SUMIF('T02'!$D$3:$D$1048576,'Pivot 01 (.)'!$A15,'T02'!$DN$3:$DN$1048576)</f>
        <v>0</v>
      </c>
      <c r="O15" s="137">
        <f>+SUMIF('T02'!$D$3:$D$1048576,'Pivot 01 (.)'!$A15,'T02'!$DO$3:$DO$1048576)</f>
        <v>0</v>
      </c>
      <c r="P15" s="137">
        <f>+SUMIF('T02'!$D$3:$D$1048576,'Pivot 01 (.)'!$A15,'T02'!$DP$3:$DP$1048576)</f>
        <v>0</v>
      </c>
      <c r="Q15" s="137">
        <f>+SUMIF('T02'!$D$3:$D$1048576,'Pivot 01 (.)'!$A15,'T02'!$DQ$3:$DQ$1048576)</f>
        <v>0</v>
      </c>
      <c r="R15" s="137">
        <f>+SUMIF('T02'!$D$3:$D$1048576,'Pivot 01 (.)'!$A15,'T02'!$CV$3:$CV$1048576)</f>
        <v>0</v>
      </c>
      <c r="S15" s="137">
        <f>+SUMIF('T02'!$D$3:$D$1048576,'Pivot 01 (.)'!$A15,'T02'!$DS$3:$DS$1048576)</f>
        <v>0</v>
      </c>
      <c r="T15" s="137">
        <v>0</v>
      </c>
      <c r="U15" s="119">
        <f t="shared" si="0"/>
        <v>0</v>
      </c>
      <c r="V15" s="119"/>
    </row>
    <row r="16" spans="1:22" s="120" customFormat="1" ht="21" customHeight="1">
      <c r="A16" s="108" t="s">
        <v>205</v>
      </c>
      <c r="B16" s="117" t="s">
        <v>206</v>
      </c>
      <c r="C16" s="118">
        <f>+COUNTIF('T02'!$D$3:$D$1048576,'Pivot 01 (.)'!$A16)</f>
        <v>0</v>
      </c>
      <c r="D16" s="136">
        <f>+SUMIF('T02'!$D$3:$D$1048576,'Pivot 01 (.)'!$A16,'T02'!$J$3:$J$1048576)</f>
        <v>0</v>
      </c>
      <c r="E16" s="136">
        <f>+SUMIF('T02'!$D$3:$D$1048576,'Pivot 01 (.)'!$A16,'T02'!$K$3:$K$1048576)</f>
        <v>0</v>
      </c>
      <c r="F16" s="136">
        <f>+SUMIF('T02'!$D$3:$D$1048576,'Pivot 01 (.)'!$A16,'T02'!$L$3:$L$1048576)</f>
        <v>0</v>
      </c>
      <c r="G16" s="136">
        <f>+SUMIF('T02'!$D$3:$D$1048576,'Pivot 01 (.)'!$A16,'T02'!$N$3:$N$1048576)</f>
        <v>0</v>
      </c>
      <c r="H16" s="136">
        <f>+SUMIF('T02'!$D$3:$D$1048576,'Pivot 01 (.)'!$A16,'T02'!$O$3:$O$1048576)</f>
        <v>0</v>
      </c>
      <c r="I16" s="137">
        <f>+SUMIF('T02'!$D$3:$D$1048576,'Pivot 01 (.)'!$A16,'T02'!$CJ$3:$CJ$1048576)</f>
        <v>0</v>
      </c>
      <c r="J16" s="137">
        <f>+SUMIF('T02'!$D$3:$D$1048576,'Pivot 01 (.)'!$A16,'T02'!$DI$3:$DI$1048576)</f>
        <v>0</v>
      </c>
      <c r="K16" s="137">
        <f>+SUMIF('T02'!$D$3:$D$1048576,'Pivot 01 (.)'!$A16,'T02'!$DJ$3:$DJ$1048576)</f>
        <v>0</v>
      </c>
      <c r="L16" s="137">
        <f>+SUMIF('T02'!$D$3:$D$1048576,'Pivot 01 (.)'!$A16,'T02'!$DK$3:$DK$1048576)</f>
        <v>0</v>
      </c>
      <c r="M16" s="137">
        <f>+SUMIF('T02'!$D$3:$D$1048576,'Pivot 01 (.)'!$A16,'T02'!$DL$3:$DL$1048576)+SUMIF('T02'!$D$3:$D$1048576,'Pivot 01 (.)'!$A16,'T02'!$DM$3:$DM$1048576)</f>
        <v>0</v>
      </c>
      <c r="N16" s="137">
        <f>+SUMIF('T02'!$D$3:$D$1048576,'Pivot 01 (.)'!$A16,'T02'!$DN$3:$DN$1048576)</f>
        <v>0</v>
      </c>
      <c r="O16" s="137">
        <f>+SUMIF('T02'!$D$3:$D$1048576,'Pivot 01 (.)'!$A16,'T02'!$DO$3:$DO$1048576)</f>
        <v>0</v>
      </c>
      <c r="P16" s="137">
        <f>+SUMIF('T02'!$D$3:$D$1048576,'Pivot 01 (.)'!$A16,'T02'!$DP$3:$DP$1048576)</f>
        <v>0</v>
      </c>
      <c r="Q16" s="137">
        <f>+SUMIF('T02'!$D$3:$D$1048576,'Pivot 01 (.)'!$A16,'T02'!$DQ$3:$DQ$1048576)</f>
        <v>0</v>
      </c>
      <c r="R16" s="137">
        <f>+SUMIF('T02'!$D$3:$D$1048576,'Pivot 01 (.)'!$A16,'T02'!$CV$3:$CV$1048576)</f>
        <v>0</v>
      </c>
      <c r="S16" s="137">
        <f>+SUMIF('T02'!$D$3:$D$1048576,'Pivot 01 (.)'!$A16,'T02'!$DS$3:$DS$1048576)</f>
        <v>0</v>
      </c>
      <c r="T16" s="137">
        <v>0</v>
      </c>
      <c r="U16" s="119">
        <f t="shared" si="0"/>
        <v>0</v>
      </c>
      <c r="V16" s="119"/>
    </row>
    <row r="17" spans="1:22" s="120" customFormat="1" ht="21" customHeight="1">
      <c r="A17" s="108" t="s">
        <v>207</v>
      </c>
      <c r="B17" s="117" t="s">
        <v>208</v>
      </c>
      <c r="C17" s="118">
        <f>+COUNTIF('T02'!$D$3:$D$1048576,'Pivot 01 (.)'!$A17)</f>
        <v>0</v>
      </c>
      <c r="D17" s="136">
        <f>+SUMIF('T02'!$D$3:$D$1048576,'Pivot 01 (.)'!$A17,'T02'!$J$3:$J$1048576)</f>
        <v>0</v>
      </c>
      <c r="E17" s="136">
        <f>+SUMIF('T02'!$D$3:$D$1048576,'Pivot 01 (.)'!$A17,'T02'!$K$3:$K$1048576)</f>
        <v>0</v>
      </c>
      <c r="F17" s="136">
        <f>+SUMIF('T02'!$D$3:$D$1048576,'Pivot 01 (.)'!$A17,'T02'!$L$3:$L$1048576)</f>
        <v>0</v>
      </c>
      <c r="G17" s="136">
        <f>+SUMIF('T02'!$D$3:$D$1048576,'Pivot 01 (.)'!$A17,'T02'!$N$3:$N$1048576)</f>
        <v>0</v>
      </c>
      <c r="H17" s="136">
        <f>+SUMIF('T02'!$D$3:$D$1048576,'Pivot 01 (.)'!$A17,'T02'!$O$3:$O$1048576)</f>
        <v>0</v>
      </c>
      <c r="I17" s="137">
        <f>+SUMIF('T02'!$D$3:$D$1048576,'Pivot 01 (.)'!$A17,'T02'!$CJ$3:$CJ$1048576)</f>
        <v>0</v>
      </c>
      <c r="J17" s="137">
        <f>+SUMIF('T02'!$D$3:$D$1048576,'Pivot 01 (.)'!$A17,'T02'!$DI$3:$DI$1048576)</f>
        <v>0</v>
      </c>
      <c r="K17" s="137">
        <f>+SUMIF('T02'!$D$3:$D$1048576,'Pivot 01 (.)'!$A17,'T02'!$DJ$3:$DJ$1048576)</f>
        <v>0</v>
      </c>
      <c r="L17" s="137">
        <f>+SUMIF('T02'!$D$3:$D$1048576,'Pivot 01 (.)'!$A17,'T02'!$DK$3:$DK$1048576)</f>
        <v>0</v>
      </c>
      <c r="M17" s="137">
        <f>+SUMIF('T02'!$D$3:$D$1048576,'Pivot 01 (.)'!$A17,'T02'!$DL$3:$DL$1048576)+SUMIF('T02'!$D$3:$D$1048576,'Pivot 01 (.)'!$A17,'T02'!$DM$3:$DM$1048576)</f>
        <v>0</v>
      </c>
      <c r="N17" s="137">
        <f>+SUMIF('T02'!$D$3:$D$1048576,'Pivot 01 (.)'!$A17,'T02'!$DN$3:$DN$1048576)</f>
        <v>0</v>
      </c>
      <c r="O17" s="137">
        <f>+SUMIF('T02'!$D$3:$D$1048576,'Pivot 01 (.)'!$A17,'T02'!$DO$3:$DO$1048576)</f>
        <v>0</v>
      </c>
      <c r="P17" s="137">
        <f>+SUMIF('T02'!$D$3:$D$1048576,'Pivot 01 (.)'!$A17,'T02'!$DP$3:$DP$1048576)</f>
        <v>0</v>
      </c>
      <c r="Q17" s="137">
        <f>+SUMIF('T02'!$D$3:$D$1048576,'Pivot 01 (.)'!$A17,'T02'!$DQ$3:$DQ$1048576)</f>
        <v>0</v>
      </c>
      <c r="R17" s="137">
        <f>+SUMIF('T02'!$D$3:$D$1048576,'Pivot 01 (.)'!$A17,'T02'!$CV$3:$CV$1048576)</f>
        <v>0</v>
      </c>
      <c r="S17" s="137">
        <f>+SUMIF('T02'!$D$3:$D$1048576,'Pivot 01 (.)'!$A17,'T02'!$DS$3:$DS$1048576)</f>
        <v>0</v>
      </c>
      <c r="T17" s="137">
        <v>0</v>
      </c>
      <c r="U17" s="119">
        <f t="shared" si="0"/>
        <v>0</v>
      </c>
      <c r="V17" s="119"/>
    </row>
    <row r="18" spans="1:22" s="120" customFormat="1" ht="21" customHeight="1">
      <c r="A18" s="108" t="s">
        <v>209</v>
      </c>
      <c r="B18" s="117" t="s">
        <v>210</v>
      </c>
      <c r="C18" s="118">
        <f>+COUNTIF('T02'!$D$3:$D$1048576,'Pivot 01 (.)'!$A18)</f>
        <v>0</v>
      </c>
      <c r="D18" s="136">
        <f>+SUMIF('T02'!$D$3:$D$1048576,'Pivot 01 (.)'!$A18,'T02'!$J$3:$J$1048576)</f>
        <v>0</v>
      </c>
      <c r="E18" s="136">
        <f>+SUMIF('T02'!$D$3:$D$1048576,'Pivot 01 (.)'!$A18,'T02'!$K$3:$K$1048576)</f>
        <v>0</v>
      </c>
      <c r="F18" s="136">
        <f>+SUMIF('T02'!$D$3:$D$1048576,'Pivot 01 (.)'!$A18,'T02'!$L$3:$L$1048576)</f>
        <v>0</v>
      </c>
      <c r="G18" s="136">
        <f>+SUMIF('T02'!$D$3:$D$1048576,'Pivot 01 (.)'!$A18,'T02'!$N$3:$N$1048576)</f>
        <v>0</v>
      </c>
      <c r="H18" s="136">
        <f>+SUMIF('T02'!$D$3:$D$1048576,'Pivot 01 (.)'!$A18,'T02'!$O$3:$O$1048576)</f>
        <v>0</v>
      </c>
      <c r="I18" s="137">
        <f>+SUMIF('T02'!$D$3:$D$1048576,'Pivot 01 (.)'!$A18,'T02'!$CJ$3:$CJ$1048576)</f>
        <v>0</v>
      </c>
      <c r="J18" s="137">
        <f>+SUMIF('T02'!$D$3:$D$1048576,'Pivot 01 (.)'!$A18,'T02'!$DI$3:$DI$1048576)</f>
        <v>0</v>
      </c>
      <c r="K18" s="137">
        <f>+SUMIF('T02'!$D$3:$D$1048576,'Pivot 01 (.)'!$A18,'T02'!$DJ$3:$DJ$1048576)</f>
        <v>0</v>
      </c>
      <c r="L18" s="137">
        <f>+SUMIF('T02'!$D$3:$D$1048576,'Pivot 01 (.)'!$A18,'T02'!$DK$3:$DK$1048576)</f>
        <v>0</v>
      </c>
      <c r="M18" s="137">
        <f>+SUMIF('T02'!$D$3:$D$1048576,'Pivot 01 (.)'!$A18,'T02'!$DL$3:$DL$1048576)+SUMIF('T02'!$D$3:$D$1048576,'Pivot 01 (.)'!$A18,'T02'!$DM$3:$DM$1048576)</f>
        <v>0</v>
      </c>
      <c r="N18" s="137">
        <f>+SUMIF('T02'!$D$3:$D$1048576,'Pivot 01 (.)'!$A18,'T02'!$DN$3:$DN$1048576)</f>
        <v>0</v>
      </c>
      <c r="O18" s="137">
        <f>+SUMIF('T02'!$D$3:$D$1048576,'Pivot 01 (.)'!$A18,'T02'!$DO$3:$DO$1048576)</f>
        <v>0</v>
      </c>
      <c r="P18" s="137">
        <f>+SUMIF('T02'!$D$3:$D$1048576,'Pivot 01 (.)'!$A18,'T02'!$DP$3:$DP$1048576)</f>
        <v>0</v>
      </c>
      <c r="Q18" s="137">
        <f>+SUMIF('T02'!$D$3:$D$1048576,'Pivot 01 (.)'!$A18,'T02'!$DQ$3:$DQ$1048576)</f>
        <v>0</v>
      </c>
      <c r="R18" s="137">
        <f>+SUMIF('T02'!$D$3:$D$1048576,'Pivot 01 (.)'!$A18,'T02'!$CV$3:$CV$1048576)</f>
        <v>0</v>
      </c>
      <c r="S18" s="137">
        <f>+SUMIF('T02'!$D$3:$D$1048576,'Pivot 01 (.)'!$A18,'T02'!$DS$3:$DS$1048576)</f>
        <v>0</v>
      </c>
      <c r="T18" s="137">
        <v>0</v>
      </c>
      <c r="U18" s="119">
        <f t="shared" si="0"/>
        <v>0</v>
      </c>
      <c r="V18" s="119"/>
    </row>
    <row r="19" spans="1:22" s="120" customFormat="1" ht="21" customHeight="1">
      <c r="A19" s="108" t="s">
        <v>211</v>
      </c>
      <c r="B19" s="117" t="s">
        <v>212</v>
      </c>
      <c r="C19" s="118">
        <f>+COUNTIF('T02'!$D$3:$D$1048576,'Pivot 01 (.)'!$A19)</f>
        <v>0</v>
      </c>
      <c r="D19" s="136">
        <f>+SUMIF('T02'!$D$3:$D$1048576,'Pivot 01 (.)'!$A19,'T02'!$J$3:$J$1048576)</f>
        <v>0</v>
      </c>
      <c r="E19" s="136">
        <f>+SUMIF('T02'!$D$3:$D$1048576,'Pivot 01 (.)'!$A19,'T02'!$K$3:$K$1048576)</f>
        <v>0</v>
      </c>
      <c r="F19" s="136">
        <f>+SUMIF('T02'!$D$3:$D$1048576,'Pivot 01 (.)'!$A19,'T02'!$L$3:$L$1048576)</f>
        <v>0</v>
      </c>
      <c r="G19" s="136">
        <f>+SUMIF('T02'!$D$3:$D$1048576,'Pivot 01 (.)'!$A19,'T02'!$N$3:$N$1048576)</f>
        <v>0</v>
      </c>
      <c r="H19" s="136">
        <f>+SUMIF('T02'!$D$3:$D$1048576,'Pivot 01 (.)'!$A19,'T02'!$O$3:$O$1048576)</f>
        <v>0</v>
      </c>
      <c r="I19" s="137">
        <f>+SUMIF('T02'!$D$3:$D$1048576,'Pivot 01 (.)'!$A19,'T02'!$CJ$3:$CJ$1048576)</f>
        <v>0</v>
      </c>
      <c r="J19" s="137">
        <f>+SUMIF('T02'!$D$3:$D$1048576,'Pivot 01 (.)'!$A19,'T02'!$DI$3:$DI$1048576)</f>
        <v>0</v>
      </c>
      <c r="K19" s="137">
        <f>+SUMIF('T02'!$D$3:$D$1048576,'Pivot 01 (.)'!$A19,'T02'!$DJ$3:$DJ$1048576)</f>
        <v>0</v>
      </c>
      <c r="L19" s="137">
        <f>+SUMIF('T02'!$D$3:$D$1048576,'Pivot 01 (.)'!$A19,'T02'!$DK$3:$DK$1048576)</f>
        <v>0</v>
      </c>
      <c r="M19" s="137">
        <f>+SUMIF('T02'!$D$3:$D$1048576,'Pivot 01 (.)'!$A19,'T02'!$DL$3:$DL$1048576)+SUMIF('T02'!$D$3:$D$1048576,'Pivot 01 (.)'!$A19,'T02'!$DM$3:$DM$1048576)</f>
        <v>0</v>
      </c>
      <c r="N19" s="137">
        <f>+SUMIF('T02'!$D$3:$D$1048576,'Pivot 01 (.)'!$A19,'T02'!$DN$3:$DN$1048576)</f>
        <v>0</v>
      </c>
      <c r="O19" s="137">
        <f>+SUMIF('T02'!$D$3:$D$1048576,'Pivot 01 (.)'!$A19,'T02'!$DO$3:$DO$1048576)</f>
        <v>0</v>
      </c>
      <c r="P19" s="137">
        <f>+SUMIF('T02'!$D$3:$D$1048576,'Pivot 01 (.)'!$A19,'T02'!$DP$3:$DP$1048576)</f>
        <v>0</v>
      </c>
      <c r="Q19" s="137">
        <f>+SUMIF('T02'!$D$3:$D$1048576,'Pivot 01 (.)'!$A19,'T02'!$DQ$3:$DQ$1048576)</f>
        <v>0</v>
      </c>
      <c r="R19" s="137">
        <f>+SUMIF('T02'!$D$3:$D$1048576,'Pivot 01 (.)'!$A19,'T02'!$CV$3:$CV$1048576)</f>
        <v>0</v>
      </c>
      <c r="S19" s="137">
        <f>+SUMIF('T02'!$D$3:$D$1048576,'Pivot 01 (.)'!$A19,'T02'!$DS$3:$DS$1048576)</f>
        <v>0</v>
      </c>
      <c r="T19" s="137">
        <v>0</v>
      </c>
      <c r="U19" s="119">
        <f t="shared" si="0"/>
        <v>0</v>
      </c>
      <c r="V19" s="119"/>
    </row>
    <row r="20" spans="1:22" s="121" customFormat="1" ht="21" customHeight="1">
      <c r="A20" s="108" t="s">
        <v>213</v>
      </c>
      <c r="B20" s="117" t="s">
        <v>214</v>
      </c>
      <c r="C20" s="118">
        <f>+COUNTIF('T02'!$D$3:$D$1048576,'Pivot 01 (.)'!$A20)</f>
        <v>0</v>
      </c>
      <c r="D20" s="136">
        <f>+SUMIF('T02'!$D$3:$D$1048576,'Pivot 01 (.)'!$A20,'T02'!$J$3:$J$1048576)</f>
        <v>0</v>
      </c>
      <c r="E20" s="136">
        <f>+SUMIF('T02'!$D$3:$D$1048576,'Pivot 01 (.)'!$A20,'T02'!$K$3:$K$1048576)</f>
        <v>0</v>
      </c>
      <c r="F20" s="136">
        <f>+SUMIF('T02'!$D$3:$D$1048576,'Pivot 01 (.)'!$A20,'T02'!$L$3:$L$1048576)</f>
        <v>0</v>
      </c>
      <c r="G20" s="136">
        <f>+SUMIF('T02'!$D$3:$D$1048576,'Pivot 01 (.)'!$A20,'T02'!$N$3:$N$1048576)</f>
        <v>0</v>
      </c>
      <c r="H20" s="136">
        <f>+SUMIF('T02'!$D$3:$D$1048576,'Pivot 01 (.)'!$A20,'T02'!$O$3:$O$1048576)</f>
        <v>0</v>
      </c>
      <c r="I20" s="137">
        <f>+SUMIF('T02'!$D$3:$D$1048576,'Pivot 01 (.)'!$A20,'T02'!$CJ$3:$CJ$1048576)</f>
        <v>0</v>
      </c>
      <c r="J20" s="137">
        <f>+SUMIF('T02'!$D$3:$D$1048576,'Pivot 01 (.)'!$A20,'T02'!$DI$3:$DI$1048576)</f>
        <v>0</v>
      </c>
      <c r="K20" s="137">
        <f>+SUMIF('T02'!$D$3:$D$1048576,'Pivot 01 (.)'!$A20,'T02'!$DJ$3:$DJ$1048576)</f>
        <v>0</v>
      </c>
      <c r="L20" s="137">
        <f>+SUMIF('T02'!$D$3:$D$1048576,'Pivot 01 (.)'!$A20,'T02'!$DK$3:$DK$1048576)</f>
        <v>0</v>
      </c>
      <c r="M20" s="137">
        <f>+SUMIF('T02'!$D$3:$D$1048576,'Pivot 01 (.)'!$A20,'T02'!$DL$3:$DL$1048576)+SUMIF('T02'!$D$3:$D$1048576,'Pivot 01 (.)'!$A20,'T02'!$DM$3:$DM$1048576)</f>
        <v>0</v>
      </c>
      <c r="N20" s="137">
        <f>+SUMIF('T02'!$D$3:$D$1048576,'Pivot 01 (.)'!$A20,'T02'!$DN$3:$DN$1048576)</f>
        <v>0</v>
      </c>
      <c r="O20" s="137">
        <f>+SUMIF('T02'!$D$3:$D$1048576,'Pivot 01 (.)'!$A20,'T02'!$DO$3:$DO$1048576)</f>
        <v>0</v>
      </c>
      <c r="P20" s="137">
        <f>+SUMIF('T02'!$D$3:$D$1048576,'Pivot 01 (.)'!$A20,'T02'!$DP$3:$DP$1048576)</f>
        <v>0</v>
      </c>
      <c r="Q20" s="137">
        <f>+SUMIF('T02'!$D$3:$D$1048576,'Pivot 01 (.)'!$A20,'T02'!$DQ$3:$DQ$1048576)</f>
        <v>0</v>
      </c>
      <c r="R20" s="137">
        <f>+SUMIF('T02'!$D$3:$D$1048576,'Pivot 01 (.)'!$A20,'T02'!$CV$3:$CV$1048576)</f>
        <v>0</v>
      </c>
      <c r="S20" s="137">
        <f>+SUMIF('T02'!$D$3:$D$1048576,'Pivot 01 (.)'!$A20,'T02'!$DS$3:$DS$1048576)</f>
        <v>0</v>
      </c>
      <c r="T20" s="137">
        <v>0</v>
      </c>
      <c r="U20" s="119">
        <f t="shared" si="0"/>
        <v>0</v>
      </c>
      <c r="V20" s="119"/>
    </row>
    <row r="21" spans="1:22" s="121" customFormat="1" ht="21" customHeight="1">
      <c r="A21" s="108">
        <v>202007</v>
      </c>
      <c r="B21" s="117" t="s">
        <v>215</v>
      </c>
      <c r="C21" s="118">
        <f>+COUNTIF('T02'!$D$3:$D$1048576,'Pivot 01 (.)'!$A21)</f>
        <v>0</v>
      </c>
      <c r="D21" s="136">
        <f>+SUMIF('T02'!$D$3:$D$1048576,'Pivot 01 (.)'!$A21,'T02'!$J$3:$J$1048576)</f>
        <v>0</v>
      </c>
      <c r="E21" s="136">
        <f>+SUMIF('T02'!$D$3:$D$1048576,'Pivot 01 (.)'!$A21,'T02'!$K$3:$K$1048576)</f>
        <v>0</v>
      </c>
      <c r="F21" s="136">
        <f>+SUMIF('T02'!$D$3:$D$1048576,'Pivot 01 (.)'!$A21,'T02'!$L$3:$L$1048576)</f>
        <v>0</v>
      </c>
      <c r="G21" s="136">
        <f>+SUMIF('T02'!$D$3:$D$1048576,'Pivot 01 (.)'!$A21,'T02'!$N$3:$N$1048576)</f>
        <v>0</v>
      </c>
      <c r="H21" s="136">
        <f>+SUMIF('T02'!$D$3:$D$1048576,'Pivot 01 (.)'!$A21,'T02'!$O$3:$O$1048576)</f>
        <v>0</v>
      </c>
      <c r="I21" s="137">
        <f>+SUMIF('T02'!$D$3:$D$1048576,'Pivot 01 (.)'!$A21,'T02'!$CJ$3:$CJ$1048576)</f>
        <v>0</v>
      </c>
      <c r="J21" s="137">
        <f>+SUMIF('T02'!$D$3:$D$1048576,'Pivot 01 (.)'!$A21,'T02'!$DI$3:$DI$1048576)</f>
        <v>0</v>
      </c>
      <c r="K21" s="137">
        <f>+SUMIF('T02'!$D$3:$D$1048576,'Pivot 01 (.)'!$A21,'T02'!$DJ$3:$DJ$1048576)</f>
        <v>0</v>
      </c>
      <c r="L21" s="137">
        <f>+SUMIF('T02'!$D$3:$D$1048576,'Pivot 01 (.)'!$A21,'T02'!$DK$3:$DK$1048576)</f>
        <v>0</v>
      </c>
      <c r="M21" s="137">
        <f>+SUMIF('T02'!$D$3:$D$1048576,'Pivot 01 (.)'!$A21,'T02'!$DL$3:$DL$1048576)+SUMIF('T02'!$D$3:$D$1048576,'Pivot 01 (.)'!$A21,'T02'!$DM$3:$DM$1048576)</f>
        <v>0</v>
      </c>
      <c r="N21" s="137">
        <f>+SUMIF('T02'!$D$3:$D$1048576,'Pivot 01 (.)'!$A21,'T02'!$DN$3:$DN$1048576)</f>
        <v>0</v>
      </c>
      <c r="O21" s="137">
        <f>+SUMIF('T02'!$D$3:$D$1048576,'Pivot 01 (.)'!$A21,'T02'!$DO$3:$DO$1048576)</f>
        <v>0</v>
      </c>
      <c r="P21" s="137">
        <f>+SUMIF('T02'!$D$3:$D$1048576,'Pivot 01 (.)'!$A21,'T02'!$DP$3:$DP$1048576)</f>
        <v>0</v>
      </c>
      <c r="Q21" s="137">
        <f>+SUMIF('T02'!$D$3:$D$1048576,'Pivot 01 (.)'!$A21,'T02'!$DQ$3:$DQ$1048576)</f>
        <v>0</v>
      </c>
      <c r="R21" s="137">
        <f>+SUMIF('T02'!$D$3:$D$1048576,'Pivot 01 (.)'!$A21,'T02'!$CV$3:$CV$1048576)</f>
        <v>0</v>
      </c>
      <c r="S21" s="137">
        <f>+SUMIF('T02'!$D$3:$D$1048576,'Pivot 01 (.)'!$A21,'T02'!$DS$3:$DS$1048576)</f>
        <v>0</v>
      </c>
      <c r="T21" s="137">
        <v>0</v>
      </c>
      <c r="U21" s="119">
        <f t="shared" si="0"/>
        <v>0</v>
      </c>
      <c r="V21" s="119"/>
    </row>
    <row r="22" spans="1:22" s="121" customFormat="1" ht="21" customHeight="1">
      <c r="A22" s="108">
        <v>202008</v>
      </c>
      <c r="B22" s="117" t="s">
        <v>216</v>
      </c>
      <c r="C22" s="118">
        <f>+COUNTIF('T02'!$D$3:$D$1048576,'Pivot 01 (.)'!$A22)</f>
        <v>0</v>
      </c>
      <c r="D22" s="136">
        <f>+SUMIF('T02'!$D$3:$D$1048576,'Pivot 01 (.)'!$A22,'T02'!$J$3:$J$1048576)</f>
        <v>0</v>
      </c>
      <c r="E22" s="136">
        <f>+SUMIF('T02'!$D$3:$D$1048576,'Pivot 01 (.)'!$A22,'T02'!$K$3:$K$1048576)</f>
        <v>0</v>
      </c>
      <c r="F22" s="136">
        <f>+SUMIF('T02'!$D$3:$D$1048576,'Pivot 01 (.)'!$A22,'T02'!$L$3:$L$1048576)</f>
        <v>0</v>
      </c>
      <c r="G22" s="136">
        <f>+SUMIF('T02'!$D$3:$D$1048576,'Pivot 01 (.)'!$A22,'T02'!$N$3:$N$1048576)</f>
        <v>0</v>
      </c>
      <c r="H22" s="136">
        <f>+SUMIF('T02'!$D$3:$D$1048576,'Pivot 01 (.)'!$A22,'T02'!$O$3:$O$1048576)</f>
        <v>0</v>
      </c>
      <c r="I22" s="137">
        <f>+SUMIF('T02'!$D$3:$D$1048576,'Pivot 01 (.)'!$A22,'T02'!$CJ$3:$CJ$1048576)</f>
        <v>0</v>
      </c>
      <c r="J22" s="137">
        <f>+SUMIF('T02'!$D$3:$D$1048576,'Pivot 01 (.)'!$A22,'T02'!$DI$3:$DI$1048576)</f>
        <v>0</v>
      </c>
      <c r="K22" s="137">
        <f>+SUMIF('T02'!$D$3:$D$1048576,'Pivot 01 (.)'!$A22,'T02'!$DJ$3:$DJ$1048576)</f>
        <v>0</v>
      </c>
      <c r="L22" s="137">
        <f>+SUMIF('T02'!$D$3:$D$1048576,'Pivot 01 (.)'!$A22,'T02'!$DK$3:$DK$1048576)</f>
        <v>0</v>
      </c>
      <c r="M22" s="137">
        <f>+SUMIF('T02'!$D$3:$D$1048576,'Pivot 01 (.)'!$A22,'T02'!$DL$3:$DL$1048576)+SUMIF('T02'!$D$3:$D$1048576,'Pivot 01 (.)'!$A22,'T02'!$DM$3:$DM$1048576)</f>
        <v>0</v>
      </c>
      <c r="N22" s="137">
        <f>+SUMIF('T02'!$D$3:$D$1048576,'Pivot 01 (.)'!$A22,'T02'!$DN$3:$DN$1048576)</f>
        <v>0</v>
      </c>
      <c r="O22" s="137">
        <f>+SUMIF('T02'!$D$3:$D$1048576,'Pivot 01 (.)'!$A22,'T02'!$DO$3:$DO$1048576)</f>
        <v>0</v>
      </c>
      <c r="P22" s="137">
        <f>+SUMIF('T02'!$D$3:$D$1048576,'Pivot 01 (.)'!$A22,'T02'!$DP$3:$DP$1048576)</f>
        <v>0</v>
      </c>
      <c r="Q22" s="137">
        <f>+SUMIF('T02'!$D$3:$D$1048576,'Pivot 01 (.)'!$A22,'T02'!$DQ$3:$DQ$1048576)</f>
        <v>0</v>
      </c>
      <c r="R22" s="137">
        <f>+SUMIF('T02'!$D$3:$D$1048576,'Pivot 01 (.)'!$A22,'T02'!$CV$3:$CV$1048576)</f>
        <v>0</v>
      </c>
      <c r="S22" s="137">
        <f>+SUMIF('T02'!$D$3:$D$1048576,'Pivot 01 (.)'!$A22,'T02'!$DS$3:$DS$1048576)</f>
        <v>0</v>
      </c>
      <c r="T22" s="137">
        <v>0</v>
      </c>
      <c r="U22" s="119">
        <f t="shared" si="0"/>
        <v>0</v>
      </c>
      <c r="V22" s="119"/>
    </row>
    <row r="23" spans="1:22" s="120" customFormat="1" ht="21" customHeight="1">
      <c r="A23" s="108" t="s">
        <v>217</v>
      </c>
      <c r="B23" s="117" t="s">
        <v>218</v>
      </c>
      <c r="C23" s="118">
        <f>+COUNTIF('T02'!$D$3:$D$1048576,'Pivot 01 (.)'!$A23)</f>
        <v>0</v>
      </c>
      <c r="D23" s="136">
        <f>+SUMIF('T02'!$D$3:$D$1048576,'Pivot 01 (.)'!$A23,'T02'!$J$3:$J$1048576)</f>
        <v>0</v>
      </c>
      <c r="E23" s="136">
        <f>+SUMIF('T02'!$D$3:$D$1048576,'Pivot 01 (.)'!$A23,'T02'!$K$3:$K$1048576)</f>
        <v>0</v>
      </c>
      <c r="F23" s="136">
        <f>+SUMIF('T02'!$D$3:$D$1048576,'Pivot 01 (.)'!$A23,'T02'!$L$3:$L$1048576)</f>
        <v>0</v>
      </c>
      <c r="G23" s="136">
        <f>+SUMIF('T02'!$D$3:$D$1048576,'Pivot 01 (.)'!$A23,'T02'!$N$3:$N$1048576)</f>
        <v>0</v>
      </c>
      <c r="H23" s="136">
        <f>+SUMIF('T02'!$D$3:$D$1048576,'Pivot 01 (.)'!$A23,'T02'!$O$3:$O$1048576)</f>
        <v>0</v>
      </c>
      <c r="I23" s="137">
        <f>+SUMIF('T02'!$D$3:$D$1048576,'Pivot 01 (.)'!$A23,'T02'!$CJ$3:$CJ$1048576)</f>
        <v>0</v>
      </c>
      <c r="J23" s="137">
        <f>+SUMIF('T02'!$D$3:$D$1048576,'Pivot 01 (.)'!$A23,'T02'!$DI$3:$DI$1048576)</f>
        <v>0</v>
      </c>
      <c r="K23" s="137">
        <f>+SUMIF('T02'!$D$3:$D$1048576,'Pivot 01 (.)'!$A23,'T02'!$DJ$3:$DJ$1048576)</f>
        <v>0</v>
      </c>
      <c r="L23" s="137">
        <f>+SUMIF('T02'!$D$3:$D$1048576,'Pivot 01 (.)'!$A23,'T02'!$DK$3:$DK$1048576)</f>
        <v>0</v>
      </c>
      <c r="M23" s="137">
        <f>+SUMIF('T02'!$D$3:$D$1048576,'Pivot 01 (.)'!$A23,'T02'!$DL$3:$DL$1048576)+SUMIF('T02'!$D$3:$D$1048576,'Pivot 01 (.)'!$A23,'T02'!$DM$3:$DM$1048576)</f>
        <v>0</v>
      </c>
      <c r="N23" s="137">
        <f>+SUMIF('T02'!$D$3:$D$1048576,'Pivot 01 (.)'!$A23,'T02'!$DN$3:$DN$1048576)</f>
        <v>0</v>
      </c>
      <c r="O23" s="137">
        <f>+SUMIF('T02'!$D$3:$D$1048576,'Pivot 01 (.)'!$A23,'T02'!$DO$3:$DO$1048576)</f>
        <v>0</v>
      </c>
      <c r="P23" s="137">
        <f>+SUMIF('T02'!$D$3:$D$1048576,'Pivot 01 (.)'!$A23,'T02'!$DP$3:$DP$1048576)</f>
        <v>0</v>
      </c>
      <c r="Q23" s="137">
        <f>+SUMIF('T02'!$D$3:$D$1048576,'Pivot 01 (.)'!$A23,'T02'!$DQ$3:$DQ$1048576)</f>
        <v>0</v>
      </c>
      <c r="R23" s="137">
        <f>+SUMIF('T02'!$D$3:$D$1048576,'Pivot 01 (.)'!$A23,'T02'!$CV$3:$CV$1048576)</f>
        <v>0</v>
      </c>
      <c r="S23" s="137">
        <f>+SUMIF('T02'!$D$3:$D$1048576,'Pivot 01 (.)'!$A23,'T02'!$DS$3:$DS$1048576)</f>
        <v>0</v>
      </c>
      <c r="T23" s="137">
        <v>0</v>
      </c>
      <c r="U23" s="119">
        <f t="shared" si="0"/>
        <v>0</v>
      </c>
      <c r="V23" s="119"/>
    </row>
    <row r="24" spans="1:22" s="120" customFormat="1" ht="21" customHeight="1">
      <c r="A24" s="108" t="s">
        <v>219</v>
      </c>
      <c r="B24" s="117" t="s">
        <v>220</v>
      </c>
      <c r="C24" s="118">
        <f>+COUNTIF('T02'!$D$3:$D$1048576,'Pivot 01 (.)'!$A24)</f>
        <v>0</v>
      </c>
      <c r="D24" s="136">
        <f>+SUMIF('T02'!$D$3:$D$1048576,'Pivot 01 (.)'!$A24,'T02'!$J$3:$J$1048576)</f>
        <v>0</v>
      </c>
      <c r="E24" s="136">
        <f>+SUMIF('T02'!$D$3:$D$1048576,'Pivot 01 (.)'!$A24,'T02'!$K$3:$K$1048576)</f>
        <v>0</v>
      </c>
      <c r="F24" s="136">
        <f>+SUMIF('T02'!$D$3:$D$1048576,'Pivot 01 (.)'!$A24,'T02'!$L$3:$L$1048576)</f>
        <v>0</v>
      </c>
      <c r="G24" s="136">
        <f>+SUMIF('T02'!$D$3:$D$1048576,'Pivot 01 (.)'!$A24,'T02'!$N$3:$N$1048576)</f>
        <v>0</v>
      </c>
      <c r="H24" s="136">
        <f>+SUMIF('T02'!$D$3:$D$1048576,'Pivot 01 (.)'!$A24,'T02'!$O$3:$O$1048576)</f>
        <v>0</v>
      </c>
      <c r="I24" s="137">
        <f>+SUMIF('T02'!$D$3:$D$1048576,'Pivot 01 (.)'!$A24,'T02'!$CJ$3:$CJ$1048576)</f>
        <v>0</v>
      </c>
      <c r="J24" s="137">
        <f>+SUMIF('T02'!$D$3:$D$1048576,'Pivot 01 (.)'!$A24,'T02'!$DI$3:$DI$1048576)</f>
        <v>0</v>
      </c>
      <c r="K24" s="137">
        <f>+SUMIF('T02'!$D$3:$D$1048576,'Pivot 01 (.)'!$A24,'T02'!$DJ$3:$DJ$1048576)</f>
        <v>0</v>
      </c>
      <c r="L24" s="137">
        <f>+SUMIF('T02'!$D$3:$D$1048576,'Pivot 01 (.)'!$A24,'T02'!$DK$3:$DK$1048576)</f>
        <v>0</v>
      </c>
      <c r="M24" s="137">
        <f>+SUMIF('T02'!$D$3:$D$1048576,'Pivot 01 (.)'!$A24,'T02'!$DL$3:$DL$1048576)+SUMIF('T02'!$D$3:$D$1048576,'Pivot 01 (.)'!$A24,'T02'!$DM$3:$DM$1048576)</f>
        <v>0</v>
      </c>
      <c r="N24" s="137">
        <f>+SUMIF('T02'!$D$3:$D$1048576,'Pivot 01 (.)'!$A24,'T02'!$DN$3:$DN$1048576)</f>
        <v>0</v>
      </c>
      <c r="O24" s="137">
        <f>+SUMIF('T02'!$D$3:$D$1048576,'Pivot 01 (.)'!$A24,'T02'!$DO$3:$DO$1048576)</f>
        <v>0</v>
      </c>
      <c r="P24" s="137">
        <f>+SUMIF('T02'!$D$3:$D$1048576,'Pivot 01 (.)'!$A24,'T02'!$DP$3:$DP$1048576)</f>
        <v>0</v>
      </c>
      <c r="Q24" s="137">
        <f>+SUMIF('T02'!$D$3:$D$1048576,'Pivot 01 (.)'!$A24,'T02'!$DQ$3:$DQ$1048576)</f>
        <v>0</v>
      </c>
      <c r="R24" s="137">
        <f>+SUMIF('T02'!$D$3:$D$1048576,'Pivot 01 (.)'!$A24,'T02'!$CV$3:$CV$1048576)</f>
        <v>0</v>
      </c>
      <c r="S24" s="137">
        <f>+SUMIF('T02'!$D$3:$D$1048576,'Pivot 01 (.)'!$A24,'T02'!$DS$3:$DS$1048576)</f>
        <v>0</v>
      </c>
      <c r="T24" s="137">
        <v>0</v>
      </c>
      <c r="U24" s="119">
        <f t="shared" si="0"/>
        <v>0</v>
      </c>
      <c r="V24" s="119"/>
    </row>
    <row r="25" spans="1:22" s="120" customFormat="1" ht="21" customHeight="1">
      <c r="A25" s="108" t="s">
        <v>221</v>
      </c>
      <c r="B25" s="117" t="s">
        <v>222</v>
      </c>
      <c r="C25" s="118">
        <f>+COUNTIF('T02'!$D$3:$D$1048576,'Pivot 01 (.)'!$A25)</f>
        <v>0</v>
      </c>
      <c r="D25" s="136">
        <f>+SUMIF('T02'!$D$3:$D$1048576,'Pivot 01 (.)'!$A25,'T02'!$J$3:$J$1048576)</f>
        <v>0</v>
      </c>
      <c r="E25" s="136">
        <f>+SUMIF('T02'!$D$3:$D$1048576,'Pivot 01 (.)'!$A25,'T02'!$K$3:$K$1048576)</f>
        <v>0</v>
      </c>
      <c r="F25" s="136">
        <f>+SUMIF('T02'!$D$3:$D$1048576,'Pivot 01 (.)'!$A25,'T02'!$L$3:$L$1048576)</f>
        <v>0</v>
      </c>
      <c r="G25" s="136">
        <f>+SUMIF('T02'!$D$3:$D$1048576,'Pivot 01 (.)'!$A25,'T02'!$N$3:$N$1048576)</f>
        <v>0</v>
      </c>
      <c r="H25" s="136">
        <f>+SUMIF('T02'!$D$3:$D$1048576,'Pivot 01 (.)'!$A25,'T02'!$O$3:$O$1048576)</f>
        <v>0</v>
      </c>
      <c r="I25" s="137">
        <f>+SUMIF('T02'!$D$3:$D$1048576,'Pivot 01 (.)'!$A25,'T02'!$CJ$3:$CJ$1048576)</f>
        <v>0</v>
      </c>
      <c r="J25" s="137">
        <f>+SUMIF('T02'!$D$3:$D$1048576,'Pivot 01 (.)'!$A25,'T02'!$DI$3:$DI$1048576)</f>
        <v>0</v>
      </c>
      <c r="K25" s="137">
        <f>+SUMIF('T02'!$D$3:$D$1048576,'Pivot 01 (.)'!$A25,'T02'!$DJ$3:$DJ$1048576)</f>
        <v>0</v>
      </c>
      <c r="L25" s="137">
        <f>+SUMIF('T02'!$D$3:$D$1048576,'Pivot 01 (.)'!$A25,'T02'!$DK$3:$DK$1048576)</f>
        <v>0</v>
      </c>
      <c r="M25" s="137">
        <f>+SUMIF('T02'!$D$3:$D$1048576,'Pivot 01 (.)'!$A25,'T02'!$DL$3:$DL$1048576)+SUMIF('T02'!$D$3:$D$1048576,'Pivot 01 (.)'!$A25,'T02'!$DM$3:$DM$1048576)</f>
        <v>0</v>
      </c>
      <c r="N25" s="137">
        <f>+SUMIF('T02'!$D$3:$D$1048576,'Pivot 01 (.)'!$A25,'T02'!$DN$3:$DN$1048576)</f>
        <v>0</v>
      </c>
      <c r="O25" s="137">
        <f>+SUMIF('T02'!$D$3:$D$1048576,'Pivot 01 (.)'!$A25,'T02'!$DO$3:$DO$1048576)</f>
        <v>0</v>
      </c>
      <c r="P25" s="137">
        <f>+SUMIF('T02'!$D$3:$D$1048576,'Pivot 01 (.)'!$A25,'T02'!$DP$3:$DP$1048576)</f>
        <v>0</v>
      </c>
      <c r="Q25" s="137">
        <f>+SUMIF('T02'!$D$3:$D$1048576,'Pivot 01 (.)'!$A25,'T02'!$DQ$3:$DQ$1048576)</f>
        <v>0</v>
      </c>
      <c r="R25" s="137">
        <f>+SUMIF('T02'!$D$3:$D$1048576,'Pivot 01 (.)'!$A25,'T02'!$CV$3:$CV$1048576)</f>
        <v>0</v>
      </c>
      <c r="S25" s="137">
        <f>+SUMIF('T02'!$D$3:$D$1048576,'Pivot 01 (.)'!$A25,'T02'!$DS$3:$DS$1048576)</f>
        <v>0</v>
      </c>
      <c r="T25" s="137">
        <v>0</v>
      </c>
      <c r="U25" s="119">
        <f t="shared" si="0"/>
        <v>0</v>
      </c>
      <c r="V25" s="119"/>
    </row>
    <row r="26" spans="1:22" s="120" customFormat="1" ht="21" customHeight="1">
      <c r="A26" s="108" t="s">
        <v>223</v>
      </c>
      <c r="B26" s="117" t="s">
        <v>224</v>
      </c>
      <c r="C26" s="118">
        <f>+COUNTIF('T02'!$D$3:$D$1048576,'Pivot 01 (.)'!$A26)</f>
        <v>0</v>
      </c>
      <c r="D26" s="136">
        <f>+SUMIF('T02'!$D$3:$D$1048576,'Pivot 01 (.)'!$A26,'T02'!$J$3:$J$1048576)</f>
        <v>0</v>
      </c>
      <c r="E26" s="136">
        <f>+SUMIF('T02'!$D$3:$D$1048576,'Pivot 01 (.)'!$A26,'T02'!$K$3:$K$1048576)</f>
        <v>0</v>
      </c>
      <c r="F26" s="136">
        <f>+SUMIF('T02'!$D$3:$D$1048576,'Pivot 01 (.)'!$A26,'T02'!$L$3:$L$1048576)</f>
        <v>0</v>
      </c>
      <c r="G26" s="136">
        <f>+SUMIF('T02'!$D$3:$D$1048576,'Pivot 01 (.)'!$A26,'T02'!$N$3:$N$1048576)</f>
        <v>0</v>
      </c>
      <c r="H26" s="136">
        <f>+SUMIF('T02'!$D$3:$D$1048576,'Pivot 01 (.)'!$A26,'T02'!$O$3:$O$1048576)</f>
        <v>0</v>
      </c>
      <c r="I26" s="137">
        <f>+SUMIF('T02'!$D$3:$D$1048576,'Pivot 01 (.)'!$A26,'T02'!$CJ$3:$CJ$1048576)</f>
        <v>0</v>
      </c>
      <c r="J26" s="137">
        <f>+SUMIF('T02'!$D$3:$D$1048576,'Pivot 01 (.)'!$A26,'T02'!$DI$3:$DI$1048576)</f>
        <v>0</v>
      </c>
      <c r="K26" s="137">
        <f>+SUMIF('T02'!$D$3:$D$1048576,'Pivot 01 (.)'!$A26,'T02'!$DJ$3:$DJ$1048576)</f>
        <v>0</v>
      </c>
      <c r="L26" s="137">
        <f>+SUMIF('T02'!$D$3:$D$1048576,'Pivot 01 (.)'!$A26,'T02'!$DK$3:$DK$1048576)</f>
        <v>0</v>
      </c>
      <c r="M26" s="137">
        <f>+SUMIF('T02'!$D$3:$D$1048576,'Pivot 01 (.)'!$A26,'T02'!$DL$3:$DL$1048576)+SUMIF('T02'!$D$3:$D$1048576,'Pivot 01 (.)'!$A26,'T02'!$DM$3:$DM$1048576)</f>
        <v>0</v>
      </c>
      <c r="N26" s="137">
        <f>+SUMIF('T02'!$D$3:$D$1048576,'Pivot 01 (.)'!$A26,'T02'!$DN$3:$DN$1048576)</f>
        <v>0</v>
      </c>
      <c r="O26" s="137">
        <f>+SUMIF('T02'!$D$3:$D$1048576,'Pivot 01 (.)'!$A26,'T02'!$DO$3:$DO$1048576)</f>
        <v>0</v>
      </c>
      <c r="P26" s="137">
        <f>+SUMIF('T02'!$D$3:$D$1048576,'Pivot 01 (.)'!$A26,'T02'!$DP$3:$DP$1048576)</f>
        <v>0</v>
      </c>
      <c r="Q26" s="137">
        <f>+SUMIF('T02'!$D$3:$D$1048576,'Pivot 01 (.)'!$A26,'T02'!$DQ$3:$DQ$1048576)</f>
        <v>0</v>
      </c>
      <c r="R26" s="137">
        <f>+SUMIF('T02'!$D$3:$D$1048576,'Pivot 01 (.)'!$A26,'T02'!$CV$3:$CV$1048576)</f>
        <v>0</v>
      </c>
      <c r="S26" s="137">
        <f>+SUMIF('T02'!$D$3:$D$1048576,'Pivot 01 (.)'!$A26,'T02'!$DS$3:$DS$1048576)</f>
        <v>0</v>
      </c>
      <c r="T26" s="137">
        <v>0</v>
      </c>
      <c r="U26" s="119">
        <f t="shared" si="0"/>
        <v>0</v>
      </c>
      <c r="V26" s="119"/>
    </row>
    <row r="27" spans="1:22" s="120" customFormat="1" ht="21" customHeight="1">
      <c r="A27" s="122" t="s">
        <v>225</v>
      </c>
      <c r="B27" s="117" t="s">
        <v>226</v>
      </c>
      <c r="C27" s="118">
        <f>+COUNTIF('T02'!$D$3:$D$1048576,'Pivot 01 (.)'!$A27)</f>
        <v>0</v>
      </c>
      <c r="D27" s="136">
        <f>+SUMIF('T02'!$D$3:$D$1048576,'Pivot 01 (.)'!$A27,'T02'!$J$3:$J$1048576)</f>
        <v>0</v>
      </c>
      <c r="E27" s="136">
        <f>+SUMIF('T02'!$D$3:$D$1048576,'Pivot 01 (.)'!$A27,'T02'!$K$3:$K$1048576)</f>
        <v>0</v>
      </c>
      <c r="F27" s="136">
        <f>+SUMIF('T02'!$D$3:$D$1048576,'Pivot 01 (.)'!$A27,'T02'!$L$3:$L$1048576)</f>
        <v>0</v>
      </c>
      <c r="G27" s="136">
        <f>+SUMIF('T02'!$D$3:$D$1048576,'Pivot 01 (.)'!$A27,'T02'!$N$3:$N$1048576)</f>
        <v>0</v>
      </c>
      <c r="H27" s="136">
        <f>+SUMIF('T02'!$D$3:$D$1048576,'Pivot 01 (.)'!$A27,'T02'!$O$3:$O$1048576)</f>
        <v>0</v>
      </c>
      <c r="I27" s="137">
        <f>+SUMIF('T02'!$D$3:$D$1048576,'Pivot 01 (.)'!$A27,'T02'!$CJ$3:$CJ$1048576)</f>
        <v>0</v>
      </c>
      <c r="J27" s="137">
        <f>+SUMIF('T02'!$D$3:$D$1048576,'Pivot 01 (.)'!$A27,'T02'!$DI$3:$DI$1048576)</f>
        <v>0</v>
      </c>
      <c r="K27" s="137">
        <f>+SUMIF('T02'!$D$3:$D$1048576,'Pivot 01 (.)'!$A27,'T02'!$DJ$3:$DJ$1048576)</f>
        <v>0</v>
      </c>
      <c r="L27" s="137">
        <f>+SUMIF('T02'!$D$3:$D$1048576,'Pivot 01 (.)'!$A27,'T02'!$DK$3:$DK$1048576)</f>
        <v>0</v>
      </c>
      <c r="M27" s="137">
        <f>+SUMIF('T02'!$D$3:$D$1048576,'Pivot 01 (.)'!$A27,'T02'!$DL$3:$DL$1048576)+SUMIF('T02'!$D$3:$D$1048576,'Pivot 01 (.)'!$A27,'T02'!$DM$3:$DM$1048576)</f>
        <v>0</v>
      </c>
      <c r="N27" s="137">
        <f>+SUMIF('T02'!$D$3:$D$1048576,'Pivot 01 (.)'!$A27,'T02'!$DN$3:$DN$1048576)</f>
        <v>0</v>
      </c>
      <c r="O27" s="137">
        <f>+SUMIF('T02'!$D$3:$D$1048576,'Pivot 01 (.)'!$A27,'T02'!$DO$3:$DO$1048576)</f>
        <v>0</v>
      </c>
      <c r="P27" s="137">
        <f>+SUMIF('T02'!$D$3:$D$1048576,'Pivot 01 (.)'!$A27,'T02'!$DP$3:$DP$1048576)</f>
        <v>0</v>
      </c>
      <c r="Q27" s="137">
        <f>+SUMIF('T02'!$D$3:$D$1048576,'Pivot 01 (.)'!$A27,'T02'!$DQ$3:$DQ$1048576)</f>
        <v>0</v>
      </c>
      <c r="R27" s="137">
        <f>+SUMIF('T02'!$D$3:$D$1048576,'Pivot 01 (.)'!$A27,'T02'!$CV$3:$CV$1048576)</f>
        <v>0</v>
      </c>
      <c r="S27" s="137">
        <f>+SUMIF('T02'!$D$3:$D$1048576,'Pivot 01 (.)'!$A27,'T02'!$DS$3:$DS$1048576)</f>
        <v>0</v>
      </c>
      <c r="T27" s="137">
        <v>0</v>
      </c>
      <c r="U27" s="119">
        <f t="shared" si="0"/>
        <v>0</v>
      </c>
      <c r="V27" s="119"/>
    </row>
    <row r="28" spans="1:22" s="120" customFormat="1" ht="21" customHeight="1">
      <c r="A28" s="108" t="s">
        <v>227</v>
      </c>
      <c r="B28" s="117" t="s">
        <v>228</v>
      </c>
      <c r="C28" s="118">
        <f>+COUNTIF('T02'!$D$3:$D$1048576,'Pivot 01 (.)'!$A28)</f>
        <v>0</v>
      </c>
      <c r="D28" s="136">
        <f>+SUMIF('T02'!$D$3:$D$1048576,'Pivot 01 (.)'!$A28,'T02'!$J$3:$J$1048576)</f>
        <v>0</v>
      </c>
      <c r="E28" s="136">
        <f>+SUMIF('T02'!$D$3:$D$1048576,'Pivot 01 (.)'!$A28,'T02'!$K$3:$K$1048576)</f>
        <v>0</v>
      </c>
      <c r="F28" s="136">
        <f>+SUMIF('T02'!$D$3:$D$1048576,'Pivot 01 (.)'!$A28,'T02'!$L$3:$L$1048576)</f>
        <v>0</v>
      </c>
      <c r="G28" s="136">
        <f>+SUMIF('T02'!$D$3:$D$1048576,'Pivot 01 (.)'!$A28,'T02'!$N$3:$N$1048576)</f>
        <v>0</v>
      </c>
      <c r="H28" s="136">
        <f>+SUMIF('T02'!$D$3:$D$1048576,'Pivot 01 (.)'!$A28,'T02'!$O$3:$O$1048576)</f>
        <v>0</v>
      </c>
      <c r="I28" s="137">
        <f>+SUMIF('T02'!$D$3:$D$1048576,'Pivot 01 (.)'!$A28,'T02'!$CJ$3:$CJ$1048576)</f>
        <v>0</v>
      </c>
      <c r="J28" s="137">
        <f>+SUMIF('T02'!$D$3:$D$1048576,'Pivot 01 (.)'!$A28,'T02'!$DI$3:$DI$1048576)</f>
        <v>0</v>
      </c>
      <c r="K28" s="137">
        <f>+SUMIF('T02'!$D$3:$D$1048576,'Pivot 01 (.)'!$A28,'T02'!$DJ$3:$DJ$1048576)</f>
        <v>0</v>
      </c>
      <c r="L28" s="137">
        <f>+SUMIF('T02'!$D$3:$D$1048576,'Pivot 01 (.)'!$A28,'T02'!$DK$3:$DK$1048576)</f>
        <v>0</v>
      </c>
      <c r="M28" s="137">
        <f>+SUMIF('T02'!$D$3:$D$1048576,'Pivot 01 (.)'!$A28,'T02'!$DL$3:$DL$1048576)+SUMIF('T02'!$D$3:$D$1048576,'Pivot 01 (.)'!$A28,'T02'!$DM$3:$DM$1048576)</f>
        <v>0</v>
      </c>
      <c r="N28" s="137">
        <f>+SUMIF('T02'!$D$3:$D$1048576,'Pivot 01 (.)'!$A28,'T02'!$DN$3:$DN$1048576)</f>
        <v>0</v>
      </c>
      <c r="O28" s="137">
        <f>+SUMIF('T02'!$D$3:$D$1048576,'Pivot 01 (.)'!$A28,'T02'!$DO$3:$DO$1048576)</f>
        <v>0</v>
      </c>
      <c r="P28" s="137">
        <f>+SUMIF('T02'!$D$3:$D$1048576,'Pivot 01 (.)'!$A28,'T02'!$DP$3:$DP$1048576)</f>
        <v>0</v>
      </c>
      <c r="Q28" s="137">
        <f>+SUMIF('T02'!$D$3:$D$1048576,'Pivot 01 (.)'!$A28,'T02'!$DQ$3:$DQ$1048576)</f>
        <v>0</v>
      </c>
      <c r="R28" s="137">
        <f>+SUMIF('T02'!$D$3:$D$1048576,'Pivot 01 (.)'!$A28,'T02'!$CV$3:$CV$1048576)</f>
        <v>0</v>
      </c>
      <c r="S28" s="137">
        <f>+SUMIF('T02'!$D$3:$D$1048576,'Pivot 01 (.)'!$A28,'T02'!$DS$3:$DS$1048576)</f>
        <v>0</v>
      </c>
      <c r="T28" s="137">
        <v>0</v>
      </c>
      <c r="U28" s="119">
        <f t="shared" si="0"/>
        <v>0</v>
      </c>
      <c r="V28" s="119"/>
    </row>
    <row r="29" spans="1:22" s="120" customFormat="1" ht="21" customHeight="1">
      <c r="A29" s="108" t="s">
        <v>229</v>
      </c>
      <c r="B29" s="117" t="s">
        <v>230</v>
      </c>
      <c r="C29" s="118">
        <f>+COUNTIF('T02'!$D$3:$D$1048576,'Pivot 01 (.)'!$A29)</f>
        <v>0</v>
      </c>
      <c r="D29" s="136">
        <f>+SUMIF('T02'!$D$3:$D$1048576,'Pivot 01 (.)'!$A29,'T02'!$J$3:$J$1048576)</f>
        <v>0</v>
      </c>
      <c r="E29" s="136">
        <f>+SUMIF('T02'!$D$3:$D$1048576,'Pivot 01 (.)'!$A29,'T02'!$K$3:$K$1048576)</f>
        <v>0</v>
      </c>
      <c r="F29" s="136">
        <f>+SUMIF('T02'!$D$3:$D$1048576,'Pivot 01 (.)'!$A29,'T02'!$L$3:$L$1048576)</f>
        <v>0</v>
      </c>
      <c r="G29" s="136">
        <f>+SUMIF('T02'!$D$3:$D$1048576,'Pivot 01 (.)'!$A29,'T02'!$N$3:$N$1048576)</f>
        <v>0</v>
      </c>
      <c r="H29" s="136">
        <f>+SUMIF('T02'!$D$3:$D$1048576,'Pivot 01 (.)'!$A29,'T02'!$O$3:$O$1048576)</f>
        <v>0</v>
      </c>
      <c r="I29" s="137">
        <f>+SUMIF('T02'!$D$3:$D$1048576,'Pivot 01 (.)'!$A29,'T02'!$CJ$3:$CJ$1048576)</f>
        <v>0</v>
      </c>
      <c r="J29" s="137">
        <f>+SUMIF('T02'!$D$3:$D$1048576,'Pivot 01 (.)'!$A29,'T02'!$DI$3:$DI$1048576)</f>
        <v>0</v>
      </c>
      <c r="K29" s="137">
        <f>+SUMIF('T02'!$D$3:$D$1048576,'Pivot 01 (.)'!$A29,'T02'!$DJ$3:$DJ$1048576)</f>
        <v>0</v>
      </c>
      <c r="L29" s="137">
        <f>+SUMIF('T02'!$D$3:$D$1048576,'Pivot 01 (.)'!$A29,'T02'!$DK$3:$DK$1048576)</f>
        <v>0</v>
      </c>
      <c r="M29" s="137">
        <f>+SUMIF('T02'!$D$3:$D$1048576,'Pivot 01 (.)'!$A29,'T02'!$DL$3:$DL$1048576)+SUMIF('T02'!$D$3:$D$1048576,'Pivot 01 (.)'!$A29,'T02'!$DM$3:$DM$1048576)</f>
        <v>0</v>
      </c>
      <c r="N29" s="137">
        <f>+SUMIF('T02'!$D$3:$D$1048576,'Pivot 01 (.)'!$A29,'T02'!$DN$3:$DN$1048576)</f>
        <v>0</v>
      </c>
      <c r="O29" s="137">
        <f>+SUMIF('T02'!$D$3:$D$1048576,'Pivot 01 (.)'!$A29,'T02'!$DO$3:$DO$1048576)</f>
        <v>0</v>
      </c>
      <c r="P29" s="137">
        <f>+SUMIF('T02'!$D$3:$D$1048576,'Pivot 01 (.)'!$A29,'T02'!$DP$3:$DP$1048576)</f>
        <v>0</v>
      </c>
      <c r="Q29" s="137">
        <f>+SUMIF('T02'!$D$3:$D$1048576,'Pivot 01 (.)'!$A29,'T02'!$DQ$3:$DQ$1048576)</f>
        <v>0</v>
      </c>
      <c r="R29" s="137">
        <f>+SUMIF('T02'!$D$3:$D$1048576,'Pivot 01 (.)'!$A29,'T02'!$CV$3:$CV$1048576)</f>
        <v>0</v>
      </c>
      <c r="S29" s="137">
        <f>+SUMIF('T02'!$D$3:$D$1048576,'Pivot 01 (.)'!$A29,'T02'!$DS$3:$DS$1048576)</f>
        <v>0</v>
      </c>
      <c r="T29" s="137">
        <v>0</v>
      </c>
      <c r="U29" s="119">
        <f t="shared" si="0"/>
        <v>0</v>
      </c>
      <c r="V29" s="119"/>
    </row>
    <row r="30" spans="1:22" s="120" customFormat="1" ht="21" customHeight="1">
      <c r="A30" s="108" t="s">
        <v>231</v>
      </c>
      <c r="B30" s="117" t="s">
        <v>232</v>
      </c>
      <c r="C30" s="118">
        <f>+COUNTIF('T02'!$D$3:$D$1048576,'Pivot 01 (.)'!$A30)</f>
        <v>0</v>
      </c>
      <c r="D30" s="136">
        <f>+SUMIF('T02'!$D$3:$D$1048576,'Pivot 01 (.)'!$A30,'T02'!$J$3:$J$1048576)</f>
        <v>0</v>
      </c>
      <c r="E30" s="136">
        <f>+SUMIF('T02'!$D$3:$D$1048576,'Pivot 01 (.)'!$A30,'T02'!$K$3:$K$1048576)</f>
        <v>0</v>
      </c>
      <c r="F30" s="136">
        <f>+SUMIF('T02'!$D$3:$D$1048576,'Pivot 01 (.)'!$A30,'T02'!$L$3:$L$1048576)</f>
        <v>0</v>
      </c>
      <c r="G30" s="136">
        <f>+SUMIF('T02'!$D$3:$D$1048576,'Pivot 01 (.)'!$A30,'T02'!$N$3:$N$1048576)</f>
        <v>0</v>
      </c>
      <c r="H30" s="136">
        <f>+SUMIF('T02'!$D$3:$D$1048576,'Pivot 01 (.)'!$A30,'T02'!$O$3:$O$1048576)</f>
        <v>0</v>
      </c>
      <c r="I30" s="137">
        <f>+SUMIF('T02'!$D$3:$D$1048576,'Pivot 01 (.)'!$A30,'T02'!$CJ$3:$CJ$1048576)</f>
        <v>0</v>
      </c>
      <c r="J30" s="137">
        <f>+SUMIF('T02'!$D$3:$D$1048576,'Pivot 01 (.)'!$A30,'T02'!$DI$3:$DI$1048576)</f>
        <v>0</v>
      </c>
      <c r="K30" s="137">
        <f>+SUMIF('T02'!$D$3:$D$1048576,'Pivot 01 (.)'!$A30,'T02'!$DJ$3:$DJ$1048576)</f>
        <v>0</v>
      </c>
      <c r="L30" s="137">
        <f>+SUMIF('T02'!$D$3:$D$1048576,'Pivot 01 (.)'!$A30,'T02'!$DK$3:$DK$1048576)</f>
        <v>0</v>
      </c>
      <c r="M30" s="137">
        <f>+SUMIF('T02'!$D$3:$D$1048576,'Pivot 01 (.)'!$A30,'T02'!$DL$3:$DL$1048576)+SUMIF('T02'!$D$3:$D$1048576,'Pivot 01 (.)'!$A30,'T02'!$DM$3:$DM$1048576)</f>
        <v>0</v>
      </c>
      <c r="N30" s="137">
        <f>+SUMIF('T02'!$D$3:$D$1048576,'Pivot 01 (.)'!$A30,'T02'!$DN$3:$DN$1048576)</f>
        <v>0</v>
      </c>
      <c r="O30" s="137">
        <f>+SUMIF('T02'!$D$3:$D$1048576,'Pivot 01 (.)'!$A30,'T02'!$DO$3:$DO$1048576)</f>
        <v>0</v>
      </c>
      <c r="P30" s="137">
        <f>+SUMIF('T02'!$D$3:$D$1048576,'Pivot 01 (.)'!$A30,'T02'!$DP$3:$DP$1048576)</f>
        <v>0</v>
      </c>
      <c r="Q30" s="137">
        <f>+SUMIF('T02'!$D$3:$D$1048576,'Pivot 01 (.)'!$A30,'T02'!$DQ$3:$DQ$1048576)</f>
        <v>0</v>
      </c>
      <c r="R30" s="137">
        <f>+SUMIF('T02'!$D$3:$D$1048576,'Pivot 01 (.)'!$A30,'T02'!$CV$3:$CV$1048576)</f>
        <v>0</v>
      </c>
      <c r="S30" s="137">
        <f>+SUMIF('T02'!$D$3:$D$1048576,'Pivot 01 (.)'!$A30,'T02'!$DS$3:$DS$1048576)</f>
        <v>0</v>
      </c>
      <c r="T30" s="137">
        <v>0</v>
      </c>
      <c r="U30" s="119">
        <f t="shared" si="0"/>
        <v>0</v>
      </c>
      <c r="V30" s="119"/>
    </row>
    <row r="31" spans="1:22" s="120" customFormat="1" ht="21" customHeight="1">
      <c r="A31" s="108" t="s">
        <v>233</v>
      </c>
      <c r="B31" s="117" t="s">
        <v>234</v>
      </c>
      <c r="C31" s="118">
        <f>+COUNTIF('T02'!$D$3:$D$1048576,'Pivot 01 (.)'!$A31)</f>
        <v>0</v>
      </c>
      <c r="D31" s="136">
        <f>+SUMIF('T02'!$D$3:$D$1048576,'Pivot 01 (.)'!$A31,'T02'!$J$3:$J$1048576)</f>
        <v>0</v>
      </c>
      <c r="E31" s="136">
        <f>+SUMIF('T02'!$D$3:$D$1048576,'Pivot 01 (.)'!$A31,'T02'!$K$3:$K$1048576)</f>
        <v>0</v>
      </c>
      <c r="F31" s="136">
        <f>+SUMIF('T02'!$D$3:$D$1048576,'Pivot 01 (.)'!$A31,'T02'!$L$3:$L$1048576)</f>
        <v>0</v>
      </c>
      <c r="G31" s="136">
        <f>+SUMIF('T02'!$D$3:$D$1048576,'Pivot 01 (.)'!$A31,'T02'!$N$3:$N$1048576)</f>
        <v>0</v>
      </c>
      <c r="H31" s="136">
        <f>+SUMIF('T02'!$D$3:$D$1048576,'Pivot 01 (.)'!$A31,'T02'!$O$3:$O$1048576)</f>
        <v>0</v>
      </c>
      <c r="I31" s="137">
        <f>+SUMIF('T02'!$D$3:$D$1048576,'Pivot 01 (.)'!$A31,'T02'!$CJ$3:$CJ$1048576)</f>
        <v>0</v>
      </c>
      <c r="J31" s="137">
        <f>+SUMIF('T02'!$D$3:$D$1048576,'Pivot 01 (.)'!$A31,'T02'!$DI$3:$DI$1048576)</f>
        <v>0</v>
      </c>
      <c r="K31" s="137">
        <f>+SUMIF('T02'!$D$3:$D$1048576,'Pivot 01 (.)'!$A31,'T02'!$DJ$3:$DJ$1048576)</f>
        <v>0</v>
      </c>
      <c r="L31" s="137">
        <f>+SUMIF('T02'!$D$3:$D$1048576,'Pivot 01 (.)'!$A31,'T02'!$DK$3:$DK$1048576)</f>
        <v>0</v>
      </c>
      <c r="M31" s="137">
        <f>+SUMIF('T02'!$D$3:$D$1048576,'Pivot 01 (.)'!$A31,'T02'!$DL$3:$DL$1048576)+SUMIF('T02'!$D$3:$D$1048576,'Pivot 01 (.)'!$A31,'T02'!$DM$3:$DM$1048576)</f>
        <v>0</v>
      </c>
      <c r="N31" s="137">
        <f>+SUMIF('T02'!$D$3:$D$1048576,'Pivot 01 (.)'!$A31,'T02'!$DN$3:$DN$1048576)</f>
        <v>0</v>
      </c>
      <c r="O31" s="137">
        <f>+SUMIF('T02'!$D$3:$D$1048576,'Pivot 01 (.)'!$A31,'T02'!$DO$3:$DO$1048576)</f>
        <v>0</v>
      </c>
      <c r="P31" s="137">
        <f>+SUMIF('T02'!$D$3:$D$1048576,'Pivot 01 (.)'!$A31,'T02'!$DP$3:$DP$1048576)</f>
        <v>0</v>
      </c>
      <c r="Q31" s="137">
        <f>+SUMIF('T02'!$D$3:$D$1048576,'Pivot 01 (.)'!$A31,'T02'!$DQ$3:$DQ$1048576)</f>
        <v>0</v>
      </c>
      <c r="R31" s="137">
        <f>+SUMIF('T02'!$D$3:$D$1048576,'Pivot 01 (.)'!$A31,'T02'!$CV$3:$CV$1048576)</f>
        <v>0</v>
      </c>
      <c r="S31" s="137">
        <f>+SUMIF('T02'!$D$3:$D$1048576,'Pivot 01 (.)'!$A31,'T02'!$DS$3:$DS$1048576)</f>
        <v>0</v>
      </c>
      <c r="T31" s="137">
        <v>0</v>
      </c>
      <c r="U31" s="119">
        <f t="shared" si="0"/>
        <v>0</v>
      </c>
      <c r="V31" s="119"/>
    </row>
    <row r="32" spans="1:22" s="120" customFormat="1" ht="21" customHeight="1">
      <c r="A32" s="108">
        <v>252001</v>
      </c>
      <c r="B32" s="117" t="s">
        <v>235</v>
      </c>
      <c r="C32" s="118">
        <f>+COUNTIF('T02'!$D$3:$D$1048576,'Pivot 01 (.)'!$A32)</f>
        <v>0</v>
      </c>
      <c r="D32" s="136">
        <f>+SUMIF('T02'!$D$3:$D$1048576,'Pivot 01 (.)'!$A32,'T02'!$J$3:$J$1048576)</f>
        <v>0</v>
      </c>
      <c r="E32" s="136">
        <f>+SUMIF('T02'!$D$3:$D$1048576,'Pivot 01 (.)'!$A32,'T02'!$K$3:$K$1048576)</f>
        <v>0</v>
      </c>
      <c r="F32" s="136">
        <f>+SUMIF('T02'!$D$3:$D$1048576,'Pivot 01 (.)'!$A32,'T02'!$L$3:$L$1048576)</f>
        <v>0</v>
      </c>
      <c r="G32" s="136">
        <f>+SUMIF('T02'!$D$3:$D$1048576,'Pivot 01 (.)'!$A32,'T02'!$N$3:$N$1048576)</f>
        <v>0</v>
      </c>
      <c r="H32" s="136">
        <f>+SUMIF('T02'!$D$3:$D$1048576,'Pivot 01 (.)'!$A32,'T02'!$O$3:$O$1048576)</f>
        <v>0</v>
      </c>
      <c r="I32" s="137">
        <f>+SUMIF('T02'!$D$3:$D$1048576,'Pivot 01 (.)'!$A32,'T02'!$CJ$3:$CJ$1048576)</f>
        <v>0</v>
      </c>
      <c r="J32" s="137">
        <f>+SUMIF('T02'!$D$3:$D$1048576,'Pivot 01 (.)'!$A32,'T02'!$DI$3:$DI$1048576)</f>
        <v>0</v>
      </c>
      <c r="K32" s="137">
        <f>+SUMIF('T02'!$D$3:$D$1048576,'Pivot 01 (.)'!$A32,'T02'!$DJ$3:$DJ$1048576)</f>
        <v>0</v>
      </c>
      <c r="L32" s="137">
        <f>+SUMIF('T02'!$D$3:$D$1048576,'Pivot 01 (.)'!$A32,'T02'!$DK$3:$DK$1048576)</f>
        <v>0</v>
      </c>
      <c r="M32" s="137">
        <f>+SUMIF('T02'!$D$3:$D$1048576,'Pivot 01 (.)'!$A32,'T02'!$DL$3:$DL$1048576)+SUMIF('T02'!$D$3:$D$1048576,'Pivot 01 (.)'!$A32,'T02'!$DM$3:$DM$1048576)</f>
        <v>0</v>
      </c>
      <c r="N32" s="137">
        <f>+SUMIF('T02'!$D$3:$D$1048576,'Pivot 01 (.)'!$A32,'T02'!$DN$3:$DN$1048576)</f>
        <v>0</v>
      </c>
      <c r="O32" s="137">
        <f>+SUMIF('T02'!$D$3:$D$1048576,'Pivot 01 (.)'!$A32,'T02'!$DO$3:$DO$1048576)</f>
        <v>0</v>
      </c>
      <c r="P32" s="137">
        <f>+SUMIF('T02'!$D$3:$D$1048576,'Pivot 01 (.)'!$A32,'T02'!$DP$3:$DP$1048576)</f>
        <v>0</v>
      </c>
      <c r="Q32" s="137">
        <f>+SUMIF('T02'!$D$3:$D$1048576,'Pivot 01 (.)'!$A32,'T02'!$DQ$3:$DQ$1048576)</f>
        <v>0</v>
      </c>
      <c r="R32" s="137">
        <f>+SUMIF('T02'!$D$3:$D$1048576,'Pivot 01 (.)'!$A32,'T02'!$CV$3:$CV$1048576)</f>
        <v>0</v>
      </c>
      <c r="S32" s="137">
        <f>+SUMIF('T02'!$D$3:$D$1048576,'Pivot 01 (.)'!$A32,'T02'!$DS$3:$DS$1048576)</f>
        <v>0</v>
      </c>
      <c r="T32" s="137">
        <v>0</v>
      </c>
      <c r="U32" s="119">
        <f t="shared" si="0"/>
        <v>0</v>
      </c>
      <c r="V32" s="123"/>
    </row>
    <row r="33" spans="1:22" s="120" customFormat="1" ht="21" customHeight="1">
      <c r="A33" s="108">
        <v>251001</v>
      </c>
      <c r="B33" s="117" t="s">
        <v>236</v>
      </c>
      <c r="C33" s="118">
        <f>+COUNTIF('T02'!$D$3:$D$1048576,'Pivot 01 (.)'!$A33)</f>
        <v>0</v>
      </c>
      <c r="D33" s="136">
        <f>+SUMIF('T02'!$D$3:$D$1048576,'Pivot 01 (.)'!$A33,'T02'!$J$3:$J$1048576)</f>
        <v>0</v>
      </c>
      <c r="E33" s="136">
        <f>+SUMIF('T02'!$D$3:$D$1048576,'Pivot 01 (.)'!$A33,'T02'!$K$3:$K$1048576)</f>
        <v>0</v>
      </c>
      <c r="F33" s="136">
        <f>+SUMIF('T02'!$D$3:$D$1048576,'Pivot 01 (.)'!$A33,'T02'!$L$3:$L$1048576)</f>
        <v>0</v>
      </c>
      <c r="G33" s="136">
        <f>+SUMIF('T02'!$D$3:$D$1048576,'Pivot 01 (.)'!$A33,'T02'!$N$3:$N$1048576)</f>
        <v>0</v>
      </c>
      <c r="H33" s="136">
        <f>+SUMIF('T02'!$D$3:$D$1048576,'Pivot 01 (.)'!$A33,'T02'!$O$3:$O$1048576)</f>
        <v>0</v>
      </c>
      <c r="I33" s="137">
        <f>+SUMIF('T02'!$D$3:$D$1048576,'Pivot 01 (.)'!$A33,'T02'!$CJ$3:$CJ$1048576)</f>
        <v>0</v>
      </c>
      <c r="J33" s="137">
        <f>+SUMIF('T02'!$D$3:$D$1048576,'Pivot 01 (.)'!$A33,'T02'!$DI$3:$DI$1048576)</f>
        <v>0</v>
      </c>
      <c r="K33" s="137">
        <f>+SUMIF('T02'!$D$3:$D$1048576,'Pivot 01 (.)'!$A33,'T02'!$DJ$3:$DJ$1048576)</f>
        <v>0</v>
      </c>
      <c r="L33" s="137">
        <f>+SUMIF('T02'!$D$3:$D$1048576,'Pivot 01 (.)'!$A33,'T02'!$DK$3:$DK$1048576)</f>
        <v>0</v>
      </c>
      <c r="M33" s="137">
        <f>+SUMIF('T02'!$D$3:$D$1048576,'Pivot 01 (.)'!$A33,'T02'!$DL$3:$DL$1048576)+SUMIF('T02'!$D$3:$D$1048576,'Pivot 01 (.)'!$A33,'T02'!$DM$3:$DM$1048576)</f>
        <v>0</v>
      </c>
      <c r="N33" s="137">
        <f>+SUMIF('T02'!$D$3:$D$1048576,'Pivot 01 (.)'!$A33,'T02'!$DN$3:$DN$1048576)</f>
        <v>0</v>
      </c>
      <c r="O33" s="137">
        <f>+SUMIF('T02'!$D$3:$D$1048576,'Pivot 01 (.)'!$A33,'T02'!$DO$3:$DO$1048576)</f>
        <v>0</v>
      </c>
      <c r="P33" s="137">
        <f>+SUMIF('T02'!$D$3:$D$1048576,'Pivot 01 (.)'!$A33,'T02'!$DP$3:$DP$1048576)</f>
        <v>0</v>
      </c>
      <c r="Q33" s="137">
        <f>+SUMIF('T02'!$D$3:$D$1048576,'Pivot 01 (.)'!$A33,'T02'!$DQ$3:$DQ$1048576)</f>
        <v>0</v>
      </c>
      <c r="R33" s="137">
        <f>+SUMIF('T02'!$D$3:$D$1048576,'Pivot 01 (.)'!$A33,'T02'!$CV$3:$CV$1048576)</f>
        <v>0</v>
      </c>
      <c r="S33" s="137">
        <f>+SUMIF('T02'!$D$3:$D$1048576,'Pivot 01 (.)'!$A33,'T02'!$DS$3:$DS$1048576)</f>
        <v>0</v>
      </c>
      <c r="T33" s="137">
        <v>0</v>
      </c>
      <c r="U33" s="119">
        <f t="shared" si="0"/>
        <v>0</v>
      </c>
      <c r="V33" s="123"/>
    </row>
    <row r="34" spans="1:22" s="120" customFormat="1" ht="21" customHeight="1">
      <c r="A34" s="108">
        <v>262001</v>
      </c>
      <c r="B34" s="117" t="s">
        <v>237</v>
      </c>
      <c r="C34" s="118">
        <f>+COUNTIF('T02'!$D$3:$D$1048576,'Pivot 01 (.)'!$A34)</f>
        <v>0</v>
      </c>
      <c r="D34" s="136">
        <f>+SUMIF('T02'!$D$3:$D$1048576,'Pivot 01 (.)'!$A34,'T02'!$J$3:$J$1048576)</f>
        <v>0</v>
      </c>
      <c r="E34" s="136">
        <f>+SUMIF('T02'!$D$3:$D$1048576,'Pivot 01 (.)'!$A34,'T02'!$K$3:$K$1048576)</f>
        <v>0</v>
      </c>
      <c r="F34" s="136">
        <f>+SUMIF('T02'!$D$3:$D$1048576,'Pivot 01 (.)'!$A34,'T02'!$L$3:$L$1048576)</f>
        <v>0</v>
      </c>
      <c r="G34" s="136">
        <f>+SUMIF('T02'!$D$3:$D$1048576,'Pivot 01 (.)'!$A34,'T02'!$N$3:$N$1048576)</f>
        <v>0</v>
      </c>
      <c r="H34" s="136">
        <f>+SUMIF('T02'!$D$3:$D$1048576,'Pivot 01 (.)'!$A34,'T02'!$O$3:$O$1048576)</f>
        <v>0</v>
      </c>
      <c r="I34" s="137">
        <f>+SUMIF('T02'!$D$3:$D$1048576,'Pivot 01 (.)'!$A34,'T02'!$CJ$3:$CJ$1048576)</f>
        <v>0</v>
      </c>
      <c r="J34" s="137">
        <f>+SUMIF('T02'!$D$3:$D$1048576,'Pivot 01 (.)'!$A34,'T02'!$DI$3:$DI$1048576)</f>
        <v>0</v>
      </c>
      <c r="K34" s="137">
        <f>+SUMIF('T02'!$D$3:$D$1048576,'Pivot 01 (.)'!$A34,'T02'!$DJ$3:$DJ$1048576)</f>
        <v>0</v>
      </c>
      <c r="L34" s="137">
        <f>+SUMIF('T02'!$D$3:$D$1048576,'Pivot 01 (.)'!$A34,'T02'!$DK$3:$DK$1048576)</f>
        <v>0</v>
      </c>
      <c r="M34" s="137">
        <f>+SUMIF('T02'!$D$3:$D$1048576,'Pivot 01 (.)'!$A34,'T02'!$DL$3:$DL$1048576)+SUMIF('T02'!$D$3:$D$1048576,'Pivot 01 (.)'!$A34,'T02'!$DM$3:$DM$1048576)</f>
        <v>0</v>
      </c>
      <c r="N34" s="137">
        <f>+SUMIF('T02'!$D$3:$D$1048576,'Pivot 01 (.)'!$A34,'T02'!$DN$3:$DN$1048576)</f>
        <v>0</v>
      </c>
      <c r="O34" s="137">
        <f>+SUMIF('T02'!$D$3:$D$1048576,'Pivot 01 (.)'!$A34,'T02'!$DO$3:$DO$1048576)</f>
        <v>0</v>
      </c>
      <c r="P34" s="137">
        <f>+SUMIF('T02'!$D$3:$D$1048576,'Pivot 01 (.)'!$A34,'T02'!$DP$3:$DP$1048576)</f>
        <v>0</v>
      </c>
      <c r="Q34" s="137">
        <f>+SUMIF('T02'!$D$3:$D$1048576,'Pivot 01 (.)'!$A34,'T02'!$DQ$3:$DQ$1048576)</f>
        <v>0</v>
      </c>
      <c r="R34" s="137">
        <f>+SUMIF('T02'!$D$3:$D$1048576,'Pivot 01 (.)'!$A34,'T02'!$CV$3:$CV$1048576)</f>
        <v>0</v>
      </c>
      <c r="S34" s="137">
        <f>+SUMIF('T02'!$D$3:$D$1048576,'Pivot 01 (.)'!$A34,'T02'!$DS$3:$DS$1048576)</f>
        <v>0</v>
      </c>
      <c r="T34" s="137">
        <v>0</v>
      </c>
      <c r="U34" s="119">
        <f t="shared" si="0"/>
        <v>0</v>
      </c>
      <c r="V34" s="123"/>
    </row>
    <row r="35" spans="1:22" s="120" customFormat="1" ht="21" customHeight="1">
      <c r="A35" s="108">
        <v>261001</v>
      </c>
      <c r="B35" s="117" t="s">
        <v>238</v>
      </c>
      <c r="C35" s="118">
        <f>+COUNTIF('T02'!$D$3:$D$1048576,'Pivot 01 (.)'!$A35)</f>
        <v>0</v>
      </c>
      <c r="D35" s="136">
        <f>+SUMIF('T02'!$D$3:$D$1048576,'Pivot 01 (.)'!$A35,'T02'!$J$3:$J$1048576)</f>
        <v>0</v>
      </c>
      <c r="E35" s="136">
        <f>+SUMIF('T02'!$D$3:$D$1048576,'Pivot 01 (.)'!$A35,'T02'!$K$3:$K$1048576)</f>
        <v>0</v>
      </c>
      <c r="F35" s="136">
        <f>+SUMIF('T02'!$D$3:$D$1048576,'Pivot 01 (.)'!$A35,'T02'!$L$3:$L$1048576)</f>
        <v>0</v>
      </c>
      <c r="G35" s="136">
        <f>+SUMIF('T02'!$D$3:$D$1048576,'Pivot 01 (.)'!$A35,'T02'!$N$3:$N$1048576)</f>
        <v>0</v>
      </c>
      <c r="H35" s="136">
        <f>+SUMIF('T02'!$D$3:$D$1048576,'Pivot 01 (.)'!$A35,'T02'!$O$3:$O$1048576)</f>
        <v>0</v>
      </c>
      <c r="I35" s="137">
        <f>+SUMIF('T02'!$D$3:$D$1048576,'Pivot 01 (.)'!$A35,'T02'!$CJ$3:$CJ$1048576)</f>
        <v>0</v>
      </c>
      <c r="J35" s="137">
        <f>+SUMIF('T02'!$D$3:$D$1048576,'Pivot 01 (.)'!$A35,'T02'!$DI$3:$DI$1048576)</f>
        <v>0</v>
      </c>
      <c r="K35" s="137">
        <f>+SUMIF('T02'!$D$3:$D$1048576,'Pivot 01 (.)'!$A35,'T02'!$DJ$3:$DJ$1048576)</f>
        <v>0</v>
      </c>
      <c r="L35" s="137">
        <f>+SUMIF('T02'!$D$3:$D$1048576,'Pivot 01 (.)'!$A35,'T02'!$DK$3:$DK$1048576)</f>
        <v>0</v>
      </c>
      <c r="M35" s="137">
        <f>+SUMIF('T02'!$D$3:$D$1048576,'Pivot 01 (.)'!$A35,'T02'!$DL$3:$DL$1048576)+SUMIF('T02'!$D$3:$D$1048576,'Pivot 01 (.)'!$A35,'T02'!$DM$3:$DM$1048576)</f>
        <v>0</v>
      </c>
      <c r="N35" s="137">
        <f>+SUMIF('T02'!$D$3:$D$1048576,'Pivot 01 (.)'!$A35,'T02'!$DN$3:$DN$1048576)</f>
        <v>0</v>
      </c>
      <c r="O35" s="137">
        <f>+SUMIF('T02'!$D$3:$D$1048576,'Pivot 01 (.)'!$A35,'T02'!$DO$3:$DO$1048576)</f>
        <v>0</v>
      </c>
      <c r="P35" s="137">
        <f>+SUMIF('T02'!$D$3:$D$1048576,'Pivot 01 (.)'!$A35,'T02'!$DP$3:$DP$1048576)</f>
        <v>0</v>
      </c>
      <c r="Q35" s="137">
        <f>+SUMIF('T02'!$D$3:$D$1048576,'Pivot 01 (.)'!$A35,'T02'!$DQ$3:$DQ$1048576)</f>
        <v>0</v>
      </c>
      <c r="R35" s="137">
        <f>+SUMIF('T02'!$D$3:$D$1048576,'Pivot 01 (.)'!$A35,'T02'!$CV$3:$CV$1048576)</f>
        <v>0</v>
      </c>
      <c r="S35" s="137">
        <f>+SUMIF('T02'!$D$3:$D$1048576,'Pivot 01 (.)'!$A35,'T02'!$DS$3:$DS$1048576)</f>
        <v>0</v>
      </c>
      <c r="T35" s="137">
        <v>0</v>
      </c>
      <c r="U35" s="119">
        <f t="shared" si="0"/>
        <v>0</v>
      </c>
      <c r="V35" s="123"/>
    </row>
    <row r="36" spans="1:22" s="116" customFormat="1" ht="21" customHeight="1">
      <c r="A36" s="124" t="s">
        <v>239</v>
      </c>
      <c r="B36" s="125" t="s">
        <v>240</v>
      </c>
      <c r="C36" s="126">
        <f>SUM(C4:C35)</f>
        <v>1</v>
      </c>
      <c r="D36" s="126">
        <f t="shared" ref="D36:T36" si="1">SUM(D4:D35)</f>
        <v>4800000</v>
      </c>
      <c r="E36" s="126">
        <f t="shared" si="1"/>
        <v>350000</v>
      </c>
      <c r="F36" s="126">
        <f t="shared" si="1"/>
        <v>0</v>
      </c>
      <c r="G36" s="126">
        <f t="shared" si="1"/>
        <v>0</v>
      </c>
      <c r="H36" s="126">
        <f t="shared" si="1"/>
        <v>0</v>
      </c>
      <c r="I36" s="126">
        <f t="shared" si="1"/>
        <v>0</v>
      </c>
      <c r="J36" s="126">
        <f t="shared" si="1"/>
        <v>0</v>
      </c>
      <c r="K36" s="126">
        <f t="shared" si="1"/>
        <v>0</v>
      </c>
      <c r="L36" s="126">
        <f t="shared" si="1"/>
        <v>0</v>
      </c>
      <c r="M36" s="126">
        <f t="shared" si="1"/>
        <v>0</v>
      </c>
      <c r="N36" s="126">
        <f t="shared" si="1"/>
        <v>0</v>
      </c>
      <c r="O36" s="126">
        <f t="shared" si="1"/>
        <v>0</v>
      </c>
      <c r="P36" s="126">
        <f t="shared" si="1"/>
        <v>0</v>
      </c>
      <c r="Q36" s="126">
        <f t="shared" si="1"/>
        <v>0</v>
      </c>
      <c r="R36" s="126">
        <f>SUM(R4:R35)</f>
        <v>0</v>
      </c>
      <c r="S36" s="126">
        <f t="shared" si="1"/>
        <v>231750</v>
      </c>
      <c r="T36" s="126">
        <f t="shared" si="1"/>
        <v>0</v>
      </c>
      <c r="U36" s="126">
        <f>SUM(U4:U35)</f>
        <v>-231750</v>
      </c>
      <c r="V36" s="126"/>
    </row>
    <row r="37" spans="1:22" s="116" customFormat="1">
      <c r="A37" s="127"/>
      <c r="B37" s="128"/>
      <c r="C37" s="129"/>
      <c r="D37" s="129"/>
      <c r="E37" s="129"/>
      <c r="F37" s="129"/>
      <c r="G37" s="129"/>
      <c r="H37" s="129"/>
      <c r="I37" s="130"/>
      <c r="J37" s="129"/>
      <c r="K37" s="129"/>
      <c r="L37" s="129"/>
      <c r="M37" s="129"/>
      <c r="N37" s="129"/>
      <c r="O37" s="129"/>
      <c r="P37" s="129"/>
      <c r="Q37" s="129"/>
      <c r="R37" s="129"/>
      <c r="S37" s="129"/>
      <c r="T37" s="129"/>
      <c r="U37" s="131"/>
    </row>
    <row r="38" spans="1:22" s="116" customFormat="1">
      <c r="A38" s="108" t="s">
        <v>217</v>
      </c>
      <c r="B38" s="128"/>
      <c r="C38" s="129"/>
      <c r="D38" s="130"/>
      <c r="E38" s="130"/>
      <c r="F38" s="130"/>
      <c r="G38" s="130"/>
      <c r="H38" s="130"/>
      <c r="I38" s="130"/>
      <c r="J38" s="130"/>
      <c r="K38" s="130"/>
      <c r="L38" s="130"/>
      <c r="M38" s="130"/>
      <c r="N38" s="130"/>
      <c r="O38" s="130"/>
      <c r="P38" s="130"/>
      <c r="Q38" s="130"/>
      <c r="R38" s="130"/>
      <c r="S38" s="130"/>
      <c r="T38" s="130"/>
      <c r="U38" s="130"/>
    </row>
    <row r="39" spans="1:22">
      <c r="D39" s="132"/>
      <c r="E39" s="132"/>
      <c r="F39" s="132"/>
      <c r="G39" s="132"/>
      <c r="H39" s="132"/>
      <c r="I39" s="132"/>
      <c r="J39" s="132"/>
      <c r="K39" s="132"/>
      <c r="L39" s="132"/>
      <c r="M39" s="132"/>
      <c r="N39" s="132"/>
      <c r="O39" s="132"/>
      <c r="P39" s="132"/>
      <c r="Q39" s="132"/>
      <c r="R39" s="132"/>
      <c r="S39" s="132"/>
      <c r="T39" s="132"/>
    </row>
    <row r="40" spans="1:22">
      <c r="J40" s="133"/>
      <c r="K40" s="134"/>
      <c r="U40" s="135"/>
    </row>
    <row r="41" spans="1:22">
      <c r="J41" s="133"/>
      <c r="K41" s="133"/>
      <c r="L41" s="133"/>
      <c r="M41" s="133"/>
      <c r="N41" s="133"/>
      <c r="O41" s="133"/>
    </row>
    <row r="42" spans="1:22">
      <c r="J42" s="133"/>
      <c r="U42" s="135"/>
    </row>
    <row r="43" spans="1:22">
      <c r="J43" s="133"/>
      <c r="K43" s="133"/>
      <c r="L43" s="133"/>
      <c r="M43" s="133"/>
      <c r="N43" s="133"/>
      <c r="O43" s="133"/>
      <c r="P43" s="133"/>
      <c r="Q43" s="133"/>
    </row>
    <row r="44" spans="1:22">
      <c r="M44" s="129"/>
    </row>
    <row r="45" spans="1:22">
      <c r="J45" s="132"/>
      <c r="M45" s="132"/>
      <c r="N45" s="132"/>
    </row>
    <row r="46" spans="1:22">
      <c r="J46" s="132"/>
      <c r="M46" s="132"/>
    </row>
    <row r="47" spans="1:22">
      <c r="J47" s="132"/>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T02</vt:lpstr>
      <vt:lpstr>TH</vt:lpstr>
      <vt:lpstr>Pivot 01 (.)</vt:lpstr>
      <vt:lpstr>signal</vt:lpstr>
      <vt:lpstr>TH!Print_Area</vt:lpstr>
      <vt:lpstr>'T02'!Print_Titles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2023-07-10T04:25:04Z</dcterms:modified>
</cp:coreProperties>
</file>