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HRMS\wwwroot\templates\"/>
    </mc:Choice>
  </mc:AlternateContent>
  <bookViews>
    <workbookView xWindow="0" yWindow="0" windowWidth="28800" windowHeight="11235"/>
  </bookViews>
  <sheets>
    <sheet name="Salary detail" sheetId="1" r:id="rId1"/>
    <sheet name="TH" sheetId="2" r:id="rId2"/>
    <sheet name="Pivot 01 (.)" sheetId="4" r:id="rId3"/>
    <sheet name="signal" sheetId="5" r:id="rId4"/>
  </sheets>
  <definedNames>
    <definedName name="_Fill" localSheetId="2" hidden="1">#REF!</definedName>
    <definedName name="_Fill" hidden="1">#REF!</definedName>
    <definedName name="_xlnm._FilterDatabase" localSheetId="2" hidden="1">'Pivot 01 (.)'!$A$3:$U$3</definedName>
    <definedName name="_xlnm._FilterDatabase" localSheetId="0" hidden="1">'Salary detail'!$A$2:$EI$3</definedName>
    <definedName name="_xlnm._FilterDatabase" localSheetId="1" hidden="1">TH!$A$5:$AO$9</definedName>
    <definedName name="_Regression_Int" hidden="1">1</definedName>
    <definedName name="AA" localSheetId="2" hidden="1">{"'AS,SEC'!$A$4:$J$25"}</definedName>
    <definedName name="AA" hidden="1">{"'AS,SEC'!$A$4:$J$25"}</definedName>
    <definedName name="d" localSheetId="2" hidden="1">{"'AS,SEC'!$A$4:$J$25"}</definedName>
    <definedName name="d" hidden="1">{"'AS,SEC'!$A$4:$J$25"}</definedName>
    <definedName name="dddd1234" localSheetId="2" hidden="1">#REF!</definedName>
    <definedName name="dddd1234" hidden="1">#REF!</definedName>
    <definedName name="HTML_CodePage" hidden="1">949</definedName>
    <definedName name="HTML_Control" localSheetId="2" hidden="1">{"'AS,SEC'!$A$4:$J$25"}</definedName>
    <definedName name="HTML_Control" hidden="1">{"'AS,SEC'!$A$4:$J$25"}</definedName>
    <definedName name="HTML_Description" hidden="1">""</definedName>
    <definedName name="HTML_Email" hidden="1">""</definedName>
    <definedName name="HTML_Header" hidden="1">"AS,SEC"</definedName>
    <definedName name="HTML_LastUpdate" hidden="1">"2000-05-10"</definedName>
    <definedName name="HTML_LineAfter" hidden="1">FALSE</definedName>
    <definedName name="HTML_LineBefore" hidden="1">FALSE</definedName>
    <definedName name="HTML_Name" hidden="1">"이도진"</definedName>
    <definedName name="HTML_OBDlg2" hidden="1">TRUE</definedName>
    <definedName name="HTML_OBDlg4" hidden="1">TRUE</definedName>
    <definedName name="HTML_OS" hidden="1">0</definedName>
    <definedName name="HTML_PathFile" hidden="1">"D:\이사회\2천년5월\MyHTML.htm"</definedName>
    <definedName name="HTML_Title" hidden="1">"20대"</definedName>
    <definedName name="_xlnm.Print_Area" localSheetId="1">TH!$A$1:$AO$20</definedName>
    <definedName name="_xlnm.Print_Titles" localSheetId="0">'Salary detail'!$1:$2</definedName>
    <definedName name="_xlnm.Print_Titles" localSheetId="1">TH!$4:$5</definedName>
    <definedName name="s" localSheetId="2" hidden="1">{"'AS,SEC'!$A$4:$J$25"}</definedName>
    <definedName name="s" hidden="1">{"'AS,SEC'!$A$4:$J$25"}</definedName>
    <definedName name="구조조정후" localSheetId="2" hidden="1">{"'AS,SEC'!$A$4:$J$25"}</definedName>
    <definedName name="구조조정후" hidden="1">{"'AS,SEC'!$A$4:$J$25"}</definedName>
    <definedName name="도" localSheetId="2" hidden="1">{"'AS,SEC'!$A$4:$J$25"}</definedName>
    <definedName name="도" hidden="1">{"'AS,SEC'!$A$4:$J$25"}</definedName>
    <definedName name="수요산출2" localSheetId="2" hidden="1">{"'AS,SEC'!$A$4:$J$25"}</definedName>
    <definedName name="수요산출2" hidden="1">{"'AS,SEC'!$A$4:$J$25"}</definedName>
    <definedName name="이" localSheetId="2" hidden="1">{"'AS,SEC'!$A$4:$J$25"}</definedName>
    <definedName name="이" hidden="1">{"'AS,SEC'!$A$4:$J$25"}</definedName>
    <definedName name="ㅏㅏㅏㅏ" localSheetId="2" hidden="1">#REF!</definedName>
    <definedName name="ㅏㅏㅏㅏ"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J3" i="1" l="1"/>
  <c r="CD3" i="1"/>
  <c r="EH3" i="1" l="1"/>
  <c r="DS3" i="1"/>
  <c r="CL3" i="1" s="1"/>
  <c r="N3" i="1" l="1"/>
  <c r="O3" i="1" l="1"/>
  <c r="L3" i="1"/>
  <c r="CM3" i="1" l="1"/>
  <c r="BU3" i="1" l="1"/>
  <c r="BT3" i="1" l="1"/>
  <c r="AD6" i="2" l="1"/>
  <c r="DV3" i="1"/>
  <c r="DV2" i="1"/>
  <c r="BY3" i="1" l="1"/>
  <c r="BW3" i="1"/>
  <c r="AA6" i="2" s="1"/>
  <c r="BV3" i="1"/>
  <c r="T6" i="2"/>
  <c r="T7" i="2" s="1"/>
  <c r="S35" i="4"/>
  <c r="R35" i="4"/>
  <c r="Q35" i="4"/>
  <c r="P35" i="4"/>
  <c r="O35" i="4"/>
  <c r="N35" i="4"/>
  <c r="M35" i="4"/>
  <c r="L35" i="4"/>
  <c r="K35" i="4"/>
  <c r="J35" i="4"/>
  <c r="I35" i="4"/>
  <c r="H35" i="4"/>
  <c r="G35" i="4"/>
  <c r="F35" i="4"/>
  <c r="E35" i="4"/>
  <c r="D35" i="4"/>
  <c r="C35" i="4"/>
  <c r="S34" i="4"/>
  <c r="R34" i="4"/>
  <c r="Q34" i="4"/>
  <c r="P34" i="4"/>
  <c r="O34" i="4"/>
  <c r="N34" i="4"/>
  <c r="M34" i="4"/>
  <c r="L34" i="4"/>
  <c r="K34" i="4"/>
  <c r="J34" i="4"/>
  <c r="I34" i="4"/>
  <c r="H34" i="4"/>
  <c r="G34" i="4"/>
  <c r="F34" i="4"/>
  <c r="E34" i="4"/>
  <c r="D34" i="4"/>
  <c r="C34" i="4"/>
  <c r="S33" i="4"/>
  <c r="R33" i="4"/>
  <c r="Q33" i="4"/>
  <c r="P33" i="4"/>
  <c r="O33" i="4"/>
  <c r="N33" i="4"/>
  <c r="M33" i="4"/>
  <c r="L33" i="4"/>
  <c r="K33" i="4"/>
  <c r="J33" i="4"/>
  <c r="I33" i="4"/>
  <c r="H33" i="4"/>
  <c r="G33" i="4"/>
  <c r="F33" i="4"/>
  <c r="E33" i="4"/>
  <c r="D33" i="4"/>
  <c r="C33" i="4"/>
  <c r="S32" i="4"/>
  <c r="R32" i="4"/>
  <c r="Q32" i="4"/>
  <c r="P32" i="4"/>
  <c r="O32" i="4"/>
  <c r="N32" i="4"/>
  <c r="M32" i="4"/>
  <c r="L32" i="4"/>
  <c r="K32" i="4"/>
  <c r="J32" i="4"/>
  <c r="I32" i="4"/>
  <c r="H32" i="4"/>
  <c r="G32" i="4"/>
  <c r="F32" i="4"/>
  <c r="E32" i="4"/>
  <c r="D32" i="4"/>
  <c r="C32" i="4"/>
  <c r="S31" i="4"/>
  <c r="R31" i="4"/>
  <c r="Q31" i="4"/>
  <c r="P31" i="4"/>
  <c r="O31" i="4"/>
  <c r="N31" i="4"/>
  <c r="M31" i="4"/>
  <c r="L31" i="4"/>
  <c r="K31" i="4"/>
  <c r="J31" i="4"/>
  <c r="I31" i="4"/>
  <c r="H31" i="4"/>
  <c r="G31" i="4"/>
  <c r="F31" i="4"/>
  <c r="E31" i="4"/>
  <c r="D31" i="4"/>
  <c r="C31" i="4"/>
  <c r="S30" i="4"/>
  <c r="R30" i="4"/>
  <c r="Q30" i="4"/>
  <c r="P30" i="4"/>
  <c r="O30" i="4"/>
  <c r="N30" i="4"/>
  <c r="M30" i="4"/>
  <c r="L30" i="4"/>
  <c r="K30" i="4"/>
  <c r="J30" i="4"/>
  <c r="I30" i="4"/>
  <c r="H30" i="4"/>
  <c r="G30" i="4"/>
  <c r="F30" i="4"/>
  <c r="E30" i="4"/>
  <c r="D30" i="4"/>
  <c r="C30" i="4"/>
  <c r="S29" i="4"/>
  <c r="R29" i="4"/>
  <c r="Q29" i="4"/>
  <c r="P29" i="4"/>
  <c r="O29" i="4"/>
  <c r="N29" i="4"/>
  <c r="M29" i="4"/>
  <c r="L29" i="4"/>
  <c r="K29" i="4"/>
  <c r="J29" i="4"/>
  <c r="I29" i="4"/>
  <c r="H29" i="4"/>
  <c r="G29" i="4"/>
  <c r="F29" i="4"/>
  <c r="E29" i="4"/>
  <c r="D29" i="4"/>
  <c r="C29" i="4"/>
  <c r="S28" i="4"/>
  <c r="R28" i="4"/>
  <c r="Q28" i="4"/>
  <c r="P28" i="4"/>
  <c r="O28" i="4"/>
  <c r="N28" i="4"/>
  <c r="M28" i="4"/>
  <c r="L28" i="4"/>
  <c r="K28" i="4"/>
  <c r="J28" i="4"/>
  <c r="I28" i="4"/>
  <c r="H28" i="4"/>
  <c r="G28" i="4"/>
  <c r="F28" i="4"/>
  <c r="E28" i="4"/>
  <c r="D28" i="4"/>
  <c r="C28" i="4"/>
  <c r="S27" i="4"/>
  <c r="R27" i="4"/>
  <c r="Q27" i="4"/>
  <c r="P27" i="4"/>
  <c r="O27" i="4"/>
  <c r="N27" i="4"/>
  <c r="M27" i="4"/>
  <c r="L27" i="4"/>
  <c r="K27" i="4"/>
  <c r="J27" i="4"/>
  <c r="I27" i="4"/>
  <c r="H27" i="4"/>
  <c r="G27" i="4"/>
  <c r="F27" i="4"/>
  <c r="E27" i="4"/>
  <c r="D27" i="4"/>
  <c r="C27" i="4"/>
  <c r="S26" i="4"/>
  <c r="R26" i="4"/>
  <c r="Q26" i="4"/>
  <c r="P26" i="4"/>
  <c r="O26" i="4"/>
  <c r="N26" i="4"/>
  <c r="M26" i="4"/>
  <c r="L26" i="4"/>
  <c r="K26" i="4"/>
  <c r="J26" i="4"/>
  <c r="I26" i="4"/>
  <c r="H26" i="4"/>
  <c r="G26" i="4"/>
  <c r="F26" i="4"/>
  <c r="E26" i="4"/>
  <c r="D26" i="4"/>
  <c r="C26" i="4"/>
  <c r="S25" i="4"/>
  <c r="R25" i="4"/>
  <c r="Q25" i="4"/>
  <c r="P25" i="4"/>
  <c r="O25" i="4"/>
  <c r="N25" i="4"/>
  <c r="M25" i="4"/>
  <c r="L25" i="4"/>
  <c r="K25" i="4"/>
  <c r="J25" i="4"/>
  <c r="I25" i="4"/>
  <c r="H25" i="4"/>
  <c r="G25" i="4"/>
  <c r="F25" i="4"/>
  <c r="E25" i="4"/>
  <c r="D25" i="4"/>
  <c r="C25" i="4"/>
  <c r="S24" i="4"/>
  <c r="R24" i="4"/>
  <c r="Q24" i="4"/>
  <c r="P24" i="4"/>
  <c r="O24" i="4"/>
  <c r="N24" i="4"/>
  <c r="M24" i="4"/>
  <c r="L24" i="4"/>
  <c r="K24" i="4"/>
  <c r="J24" i="4"/>
  <c r="I24" i="4"/>
  <c r="H24" i="4"/>
  <c r="G24" i="4"/>
  <c r="F24" i="4"/>
  <c r="E24" i="4"/>
  <c r="D24" i="4"/>
  <c r="C24" i="4"/>
  <c r="S23" i="4"/>
  <c r="R23" i="4"/>
  <c r="Q23" i="4"/>
  <c r="P23" i="4"/>
  <c r="O23" i="4"/>
  <c r="N23" i="4"/>
  <c r="M23" i="4"/>
  <c r="L23" i="4"/>
  <c r="K23" i="4"/>
  <c r="J23" i="4"/>
  <c r="I23" i="4"/>
  <c r="H23" i="4"/>
  <c r="G23" i="4"/>
  <c r="F23" i="4"/>
  <c r="E23" i="4"/>
  <c r="D23" i="4"/>
  <c r="C23" i="4"/>
  <c r="S22" i="4"/>
  <c r="R22" i="4"/>
  <c r="Q22" i="4"/>
  <c r="P22" i="4"/>
  <c r="O22" i="4"/>
  <c r="N22" i="4"/>
  <c r="M22" i="4"/>
  <c r="L22" i="4"/>
  <c r="K22" i="4"/>
  <c r="J22" i="4"/>
  <c r="I22" i="4"/>
  <c r="H22" i="4"/>
  <c r="G22" i="4"/>
  <c r="F22" i="4"/>
  <c r="E22" i="4"/>
  <c r="D22" i="4"/>
  <c r="C22" i="4"/>
  <c r="S21" i="4"/>
  <c r="R21" i="4"/>
  <c r="Q21" i="4"/>
  <c r="P21" i="4"/>
  <c r="O21" i="4"/>
  <c r="N21" i="4"/>
  <c r="M21" i="4"/>
  <c r="L21" i="4"/>
  <c r="K21" i="4"/>
  <c r="J21" i="4"/>
  <c r="I21" i="4"/>
  <c r="H21" i="4"/>
  <c r="G21" i="4"/>
  <c r="F21" i="4"/>
  <c r="E21" i="4"/>
  <c r="D21" i="4"/>
  <c r="C21" i="4"/>
  <c r="S20" i="4"/>
  <c r="R20" i="4"/>
  <c r="Q20" i="4"/>
  <c r="P20" i="4"/>
  <c r="O20" i="4"/>
  <c r="N20" i="4"/>
  <c r="M20" i="4"/>
  <c r="L20" i="4"/>
  <c r="K20" i="4"/>
  <c r="J20" i="4"/>
  <c r="I20" i="4"/>
  <c r="H20" i="4"/>
  <c r="G20" i="4"/>
  <c r="F20" i="4"/>
  <c r="E20" i="4"/>
  <c r="D20" i="4"/>
  <c r="C20" i="4"/>
  <c r="S19" i="4"/>
  <c r="R19" i="4"/>
  <c r="Q19" i="4"/>
  <c r="P19" i="4"/>
  <c r="O19" i="4"/>
  <c r="N19" i="4"/>
  <c r="M19" i="4"/>
  <c r="L19" i="4"/>
  <c r="K19" i="4"/>
  <c r="J19" i="4"/>
  <c r="I19" i="4"/>
  <c r="H19" i="4"/>
  <c r="G19" i="4"/>
  <c r="F19" i="4"/>
  <c r="E19" i="4"/>
  <c r="D19" i="4"/>
  <c r="C19" i="4"/>
  <c r="S18" i="4"/>
  <c r="R18" i="4"/>
  <c r="Q18" i="4"/>
  <c r="P18" i="4"/>
  <c r="O18" i="4"/>
  <c r="N18" i="4"/>
  <c r="M18" i="4"/>
  <c r="L18" i="4"/>
  <c r="K18" i="4"/>
  <c r="J18" i="4"/>
  <c r="I18" i="4"/>
  <c r="H18" i="4"/>
  <c r="G18" i="4"/>
  <c r="F18" i="4"/>
  <c r="E18" i="4"/>
  <c r="D18" i="4"/>
  <c r="C18" i="4"/>
  <c r="S17" i="4"/>
  <c r="R17" i="4"/>
  <c r="Q17" i="4"/>
  <c r="P17" i="4"/>
  <c r="O17" i="4"/>
  <c r="N17" i="4"/>
  <c r="M17" i="4"/>
  <c r="L17" i="4"/>
  <c r="K17" i="4"/>
  <c r="J17" i="4"/>
  <c r="I17" i="4"/>
  <c r="H17" i="4"/>
  <c r="G17" i="4"/>
  <c r="F17" i="4"/>
  <c r="E17" i="4"/>
  <c r="D17" i="4"/>
  <c r="C17" i="4"/>
  <c r="S16" i="4"/>
  <c r="R16" i="4"/>
  <c r="Q16" i="4"/>
  <c r="P16" i="4"/>
  <c r="O16" i="4"/>
  <c r="N16" i="4"/>
  <c r="M16" i="4"/>
  <c r="L16" i="4"/>
  <c r="K16" i="4"/>
  <c r="J16" i="4"/>
  <c r="I16" i="4"/>
  <c r="H16" i="4"/>
  <c r="G16" i="4"/>
  <c r="F16" i="4"/>
  <c r="E16" i="4"/>
  <c r="D16" i="4"/>
  <c r="C16" i="4"/>
  <c r="S15" i="4"/>
  <c r="R15" i="4"/>
  <c r="Q15" i="4"/>
  <c r="P15" i="4"/>
  <c r="O15" i="4"/>
  <c r="N15" i="4"/>
  <c r="M15" i="4"/>
  <c r="L15" i="4"/>
  <c r="K15" i="4"/>
  <c r="J15" i="4"/>
  <c r="I15" i="4"/>
  <c r="H15" i="4"/>
  <c r="G15" i="4"/>
  <c r="F15" i="4"/>
  <c r="E15" i="4"/>
  <c r="D15" i="4"/>
  <c r="C15" i="4"/>
  <c r="S14" i="4"/>
  <c r="R14" i="4"/>
  <c r="Q14" i="4"/>
  <c r="P14" i="4"/>
  <c r="O14" i="4"/>
  <c r="N14" i="4"/>
  <c r="M14" i="4"/>
  <c r="L14" i="4"/>
  <c r="K14" i="4"/>
  <c r="J14" i="4"/>
  <c r="I14" i="4"/>
  <c r="H14" i="4"/>
  <c r="G14" i="4"/>
  <c r="F14" i="4"/>
  <c r="E14" i="4"/>
  <c r="D14" i="4"/>
  <c r="C14" i="4"/>
  <c r="S13" i="4"/>
  <c r="R13" i="4"/>
  <c r="Q13" i="4"/>
  <c r="P13" i="4"/>
  <c r="O13" i="4"/>
  <c r="N13" i="4"/>
  <c r="M13" i="4"/>
  <c r="L13" i="4"/>
  <c r="K13" i="4"/>
  <c r="J13" i="4"/>
  <c r="I13" i="4"/>
  <c r="H13" i="4"/>
  <c r="G13" i="4"/>
  <c r="F13" i="4"/>
  <c r="E13" i="4"/>
  <c r="D13" i="4"/>
  <c r="C13" i="4"/>
  <c r="S12" i="4"/>
  <c r="R12" i="4"/>
  <c r="Q12" i="4"/>
  <c r="P12" i="4"/>
  <c r="O12" i="4"/>
  <c r="N12" i="4"/>
  <c r="M12" i="4"/>
  <c r="L12" i="4"/>
  <c r="K12" i="4"/>
  <c r="J12" i="4"/>
  <c r="I12" i="4"/>
  <c r="H12" i="4"/>
  <c r="G12" i="4"/>
  <c r="F12" i="4"/>
  <c r="E12" i="4"/>
  <c r="D12" i="4"/>
  <c r="C12" i="4"/>
  <c r="S11" i="4"/>
  <c r="R11" i="4"/>
  <c r="Q11" i="4"/>
  <c r="P11" i="4"/>
  <c r="O11" i="4"/>
  <c r="N11" i="4"/>
  <c r="M11" i="4"/>
  <c r="L11" i="4"/>
  <c r="K11" i="4"/>
  <c r="J11" i="4"/>
  <c r="I11" i="4"/>
  <c r="H11" i="4"/>
  <c r="G11" i="4"/>
  <c r="F11" i="4"/>
  <c r="E11" i="4"/>
  <c r="D11" i="4"/>
  <c r="C11" i="4"/>
  <c r="S10" i="4"/>
  <c r="R10" i="4"/>
  <c r="Q10" i="4"/>
  <c r="P10" i="4"/>
  <c r="O10" i="4"/>
  <c r="N10" i="4"/>
  <c r="M10" i="4"/>
  <c r="L10" i="4"/>
  <c r="K10" i="4"/>
  <c r="J10" i="4"/>
  <c r="I10" i="4"/>
  <c r="H10" i="4"/>
  <c r="G10" i="4"/>
  <c r="F10" i="4"/>
  <c r="E10" i="4"/>
  <c r="D10" i="4"/>
  <c r="C10" i="4"/>
  <c r="S9" i="4"/>
  <c r="R9" i="4"/>
  <c r="Q9" i="4"/>
  <c r="P9" i="4"/>
  <c r="O9" i="4"/>
  <c r="N9" i="4"/>
  <c r="M9" i="4"/>
  <c r="L9" i="4"/>
  <c r="K9" i="4"/>
  <c r="J9" i="4"/>
  <c r="I9" i="4"/>
  <c r="H9" i="4"/>
  <c r="G9" i="4"/>
  <c r="F9" i="4"/>
  <c r="E9" i="4"/>
  <c r="D9" i="4"/>
  <c r="C9" i="4"/>
  <c r="S8" i="4"/>
  <c r="R8" i="4"/>
  <c r="Q8" i="4"/>
  <c r="P8" i="4"/>
  <c r="O8" i="4"/>
  <c r="N8" i="4"/>
  <c r="M8" i="4"/>
  <c r="L8" i="4"/>
  <c r="K8" i="4"/>
  <c r="J8" i="4"/>
  <c r="I8" i="4"/>
  <c r="H8" i="4"/>
  <c r="G8" i="4"/>
  <c r="F8" i="4"/>
  <c r="E8" i="4"/>
  <c r="D8" i="4"/>
  <c r="C8" i="4"/>
  <c r="S7" i="4"/>
  <c r="R7" i="4"/>
  <c r="Q7" i="4"/>
  <c r="P7" i="4"/>
  <c r="O7" i="4"/>
  <c r="N7" i="4"/>
  <c r="M7" i="4"/>
  <c r="L7" i="4"/>
  <c r="K7" i="4"/>
  <c r="J7" i="4"/>
  <c r="I7" i="4"/>
  <c r="H7" i="4"/>
  <c r="G7" i="4"/>
  <c r="F7" i="4"/>
  <c r="E7" i="4"/>
  <c r="D7" i="4"/>
  <c r="C7" i="4"/>
  <c r="S6" i="4"/>
  <c r="R6" i="4"/>
  <c r="Q6" i="4"/>
  <c r="P6" i="4"/>
  <c r="O6" i="4"/>
  <c r="N6" i="4"/>
  <c r="M6" i="4"/>
  <c r="L6" i="4"/>
  <c r="K6" i="4"/>
  <c r="J6" i="4"/>
  <c r="I6" i="4"/>
  <c r="H6" i="4"/>
  <c r="G6" i="4"/>
  <c r="F6" i="4"/>
  <c r="E6" i="4"/>
  <c r="D6" i="4"/>
  <c r="C6" i="4"/>
  <c r="S5" i="4"/>
  <c r="R5" i="4"/>
  <c r="Q5" i="4"/>
  <c r="P5" i="4"/>
  <c r="O5" i="4"/>
  <c r="N5" i="4"/>
  <c r="M5" i="4"/>
  <c r="L5" i="4"/>
  <c r="K5" i="4"/>
  <c r="J5" i="4"/>
  <c r="I5" i="4"/>
  <c r="H5" i="4"/>
  <c r="G5" i="4"/>
  <c r="F5" i="4"/>
  <c r="E5" i="4"/>
  <c r="D5" i="4"/>
  <c r="C5" i="4"/>
  <c r="C36" i="4" s="1"/>
  <c r="H4" i="4"/>
  <c r="G4" i="4"/>
  <c r="F4" i="4"/>
  <c r="E4" i="4"/>
  <c r="D4" i="4"/>
  <c r="C4" i="4"/>
  <c r="AM6" i="2"/>
  <c r="AM7" i="2" s="1"/>
  <c r="AJ6" i="2"/>
  <c r="AG6" i="2"/>
  <c r="Z6" i="2"/>
  <c r="Y6" i="2"/>
  <c r="Y7" i="2" s="1"/>
  <c r="X6" i="2"/>
  <c r="X7" i="2" s="1"/>
  <c r="W6" i="2"/>
  <c r="U6" i="2"/>
  <c r="U7" i="2" s="1"/>
  <c r="N6" i="2"/>
  <c r="M6" i="2"/>
  <c r="M7" i="2" s="1"/>
  <c r="J6" i="2"/>
  <c r="I6" i="2"/>
  <c r="I7" i="2" s="1"/>
  <c r="H6" i="2"/>
  <c r="H7" i="2" s="1"/>
  <c r="G6" i="2"/>
  <c r="F6" i="2"/>
  <c r="E6" i="2"/>
  <c r="E7" i="2" s="1"/>
  <c r="D6" i="2"/>
  <c r="C6" i="2"/>
  <c r="AF7" i="2"/>
  <c r="AE7" i="2"/>
  <c r="A6" i="2"/>
  <c r="D36" i="4" l="1"/>
  <c r="U8" i="4"/>
  <c r="U12" i="4"/>
  <c r="U16" i="4"/>
  <c r="U20" i="4"/>
  <c r="U24" i="4"/>
  <c r="U28" i="4"/>
  <c r="U32" i="4"/>
  <c r="U6" i="4"/>
  <c r="U10" i="4"/>
  <c r="U14" i="4"/>
  <c r="U15" i="4"/>
  <c r="U18" i="4"/>
  <c r="U19" i="4"/>
  <c r="U22" i="4"/>
  <c r="U23" i="4"/>
  <c r="U26" i="4"/>
  <c r="U27" i="4"/>
  <c r="U30" i="4"/>
  <c r="U31" i="4"/>
  <c r="U34" i="4"/>
  <c r="U35" i="4"/>
  <c r="U7" i="4"/>
  <c r="U11" i="4"/>
  <c r="U17" i="4"/>
  <c r="U21" i="4"/>
  <c r="U25" i="4"/>
  <c r="U29" i="4"/>
  <c r="U33" i="4"/>
  <c r="U5" i="4"/>
  <c r="U9" i="4"/>
  <c r="U13" i="4"/>
  <c r="F36" i="4"/>
  <c r="G36" i="4"/>
  <c r="T36" i="4"/>
  <c r="E36" i="4"/>
  <c r="H36" i="4"/>
  <c r="F7" i="2"/>
  <c r="J7" i="2"/>
  <c r="N7" i="2"/>
  <c r="V7" i="2"/>
  <c r="Z7" i="2"/>
  <c r="AD7" i="2"/>
  <c r="AJ7" i="2"/>
  <c r="G7" i="2"/>
  <c r="S7" i="2"/>
  <c r="W7" i="2"/>
  <c r="AA7" i="2"/>
  <c r="AG7" i="2"/>
  <c r="AK7" i="2"/>
  <c r="EC3" i="1"/>
  <c r="EB3" i="1"/>
  <c r="DQ3" i="1"/>
  <c r="Q4" i="4" s="1"/>
  <c r="Q36" i="4" s="1"/>
  <c r="DO3" i="1"/>
  <c r="O4" i="4" s="1"/>
  <c r="O36" i="4" s="1"/>
  <c r="DN3" i="1"/>
  <c r="N4" i="4" s="1"/>
  <c r="N36" i="4" s="1"/>
  <c r="DM3" i="1"/>
  <c r="DL3" i="1"/>
  <c r="DK3" i="1"/>
  <c r="L4" i="4" s="1"/>
  <c r="L36" i="4" s="1"/>
  <c r="DJ3" i="1"/>
  <c r="K4" i="4" s="1"/>
  <c r="K36" i="4" s="1"/>
  <c r="DI3" i="1"/>
  <c r="J4" i="4" s="1"/>
  <c r="J36" i="4" s="1"/>
  <c r="DH3" i="1"/>
  <c r="DG3" i="1"/>
  <c r="DP3" i="1" s="1"/>
  <c r="P4" i="4" s="1"/>
  <c r="P36" i="4" s="1"/>
  <c r="DB3" i="1"/>
  <c r="CX3" i="1"/>
  <c r="CT3" i="1"/>
  <c r="BZ3" i="1"/>
  <c r="BI3" i="1"/>
  <c r="AO3" i="1"/>
  <c r="M4" i="4" l="1"/>
  <c r="M36" i="4" s="1"/>
  <c r="P3" i="1"/>
  <c r="DZ3" i="1"/>
  <c r="CI3" i="1" s="1"/>
  <c r="DY3" i="1"/>
  <c r="CC3" i="1" s="1"/>
  <c r="V3" i="1" l="1"/>
  <c r="BX3" i="1"/>
  <c r="AB6" i="2" s="1"/>
  <c r="AB7" i="2" s="1"/>
  <c r="K6" i="2"/>
  <c r="K7" i="2" s="1"/>
  <c r="AI6" i="2"/>
  <c r="AI7" i="2" s="1"/>
  <c r="S4" i="4"/>
  <c r="S36" i="4" s="1"/>
  <c r="Z3" i="1"/>
  <c r="Q3" i="1"/>
  <c r="U3" i="1"/>
  <c r="AA3" i="1"/>
  <c r="AS3" i="1"/>
  <c r="P6" i="2" s="1"/>
  <c r="P7" i="2" s="1"/>
  <c r="BO3" i="1" l="1"/>
  <c r="L6" i="2"/>
  <c r="L7" i="2" s="1"/>
  <c r="CO3" i="1"/>
  <c r="CH3" i="1"/>
  <c r="AN6" i="2" s="1"/>
  <c r="AN7" i="2" s="1"/>
  <c r="AB3" i="1"/>
  <c r="AC6" i="2" s="1"/>
  <c r="AC7" i="2" s="1"/>
  <c r="BJ3" i="1"/>
  <c r="R6" i="2" s="1"/>
  <c r="R7" i="2" s="1"/>
  <c r="AP3" i="1"/>
  <c r="O6" i="2" s="1"/>
  <c r="AV3" i="1"/>
  <c r="Q6" i="2" s="1"/>
  <c r="Q7" i="2" s="1"/>
  <c r="AH6" i="2" l="1"/>
  <c r="AH7" i="2" s="1"/>
  <c r="O7" i="2"/>
  <c r="CQ3" i="1" l="1"/>
  <c r="CU3" i="1" s="1"/>
  <c r="CV3" i="1" s="1"/>
  <c r="I4" i="4"/>
  <c r="I36" i="4" l="1"/>
  <c r="CW3" i="1"/>
  <c r="R4" i="4"/>
  <c r="R36" i="4" s="1"/>
  <c r="AL6" i="2"/>
  <c r="U4" i="4" l="1"/>
  <c r="U36" i="4" s="1"/>
  <c r="AL7" i="2"/>
  <c r="AO6" i="2"/>
  <c r="AO7" i="2" s="1"/>
</calcChain>
</file>

<file path=xl/comments1.xml><?xml version="1.0" encoding="utf-8"?>
<comments xmlns="http://schemas.openxmlformats.org/spreadsheetml/2006/main">
  <authors>
    <author>Wisol</author>
  </authors>
  <commentList>
    <comment ref="R1" authorId="0" shapeId="0">
      <text>
        <r>
          <rPr>
            <b/>
            <sz val="9"/>
            <color indexed="81"/>
            <rFont val="Tahoma"/>
            <family val="2"/>
          </rPr>
          <t>Wisol:</t>
        </r>
        <r>
          <rPr>
            <sz val="9"/>
            <color indexed="81"/>
            <rFont val="Tahoma"/>
            <family val="2"/>
          </rPr>
          <t xml:space="preserve">
Up tu bang cham cong</t>
        </r>
      </text>
    </comment>
    <comment ref="S1" authorId="0" shapeId="0">
      <text>
        <r>
          <rPr>
            <b/>
            <sz val="9"/>
            <color indexed="81"/>
            <rFont val="Tahoma"/>
            <family val="2"/>
          </rPr>
          <t>Wisol:</t>
        </r>
        <r>
          <rPr>
            <sz val="9"/>
            <color indexed="81"/>
            <rFont val="Tahoma"/>
            <family val="2"/>
          </rPr>
          <t xml:space="preserve">
PD</t>
        </r>
      </text>
    </comment>
    <comment ref="T1" authorId="0" shapeId="0">
      <text>
        <r>
          <rPr>
            <b/>
            <sz val="9"/>
            <color indexed="81"/>
            <rFont val="Tahoma"/>
            <family val="2"/>
          </rPr>
          <t>Wisol:</t>
        </r>
        <r>
          <rPr>
            <sz val="9"/>
            <color indexed="81"/>
            <rFont val="Tahoma"/>
            <family val="2"/>
          </rPr>
          <t xml:space="preserve">
PN</t>
        </r>
      </text>
    </comment>
    <comment ref="W1" authorId="0" shapeId="0">
      <text>
        <r>
          <rPr>
            <b/>
            <sz val="9"/>
            <color indexed="81"/>
            <rFont val="Tahoma"/>
            <family val="2"/>
          </rPr>
          <t>Wisol:</t>
        </r>
        <r>
          <rPr>
            <sz val="9"/>
            <color indexed="81"/>
            <rFont val="Tahoma"/>
            <family val="2"/>
          </rPr>
          <t xml:space="preserve">
DS</t>
        </r>
      </text>
    </comment>
    <comment ref="X1" authorId="0" shapeId="0">
      <text>
        <r>
          <rPr>
            <b/>
            <sz val="9"/>
            <color indexed="81"/>
            <rFont val="Tahoma"/>
            <family val="2"/>
          </rPr>
          <t>Wisol:</t>
        </r>
        <r>
          <rPr>
            <sz val="9"/>
            <color indexed="81"/>
            <rFont val="Tahoma"/>
            <family val="2"/>
          </rPr>
          <t xml:space="preserve">
NS
</t>
        </r>
      </text>
    </comment>
    <comment ref="BQ1" authorId="0" shapeId="0">
      <text>
        <r>
          <rPr>
            <b/>
            <sz val="9"/>
            <color indexed="81"/>
            <rFont val="Tahoma"/>
            <family val="2"/>
          </rPr>
          <t>Wisol:</t>
        </r>
        <r>
          <rPr>
            <sz val="9"/>
            <color indexed="81"/>
            <rFont val="Tahoma"/>
            <family val="2"/>
          </rPr>
          <t xml:space="preserve">
NL
</t>
        </r>
      </text>
    </comment>
    <comment ref="BZ1" authorId="0" shapeId="0">
      <text>
        <r>
          <rPr>
            <b/>
            <sz val="9"/>
            <color indexed="81"/>
            <rFont val="Tahoma"/>
            <family val="2"/>
          </rPr>
          <t>Wisol:</t>
        </r>
        <r>
          <rPr>
            <sz val="9"/>
            <color indexed="81"/>
            <rFont val="Tahoma"/>
            <family val="2"/>
          </rPr>
          <t xml:space="preserve">
khoản 4 điều 136 luật LĐ 45/2019/QH14</t>
        </r>
      </text>
    </comment>
    <comment ref="CA1" authorId="0" shapeId="0">
      <text>
        <r>
          <rPr>
            <b/>
            <sz val="9"/>
            <color indexed="81"/>
            <rFont val="Tahoma"/>
            <family val="2"/>
          </rPr>
          <t>Wisol:</t>
        </r>
        <r>
          <rPr>
            <sz val="9"/>
            <color indexed="81"/>
            <rFont val="Tahoma"/>
            <family val="2"/>
          </rPr>
          <t xml:space="preserve">
Khoản 3, Điều 34 Nghị định số 136/2020/NĐ-CP</t>
        </r>
      </text>
    </comment>
    <comment ref="CB1" authorId="0" shapeId="0">
      <text>
        <r>
          <rPr>
            <b/>
            <sz val="9"/>
            <color indexed="81"/>
            <rFont val="Tahoma"/>
            <family val="2"/>
          </rPr>
          <t>Wisol:</t>
        </r>
        <r>
          <rPr>
            <sz val="9"/>
            <color indexed="81"/>
            <rFont val="Tahoma"/>
            <family val="2"/>
          </rPr>
          <t xml:space="preserve">
khoản 5 điều 74 luật 84/2015/QH13</t>
        </r>
      </text>
    </comment>
    <comment ref="CC1" authorId="0" shapeId="0">
      <text>
        <r>
          <rPr>
            <b/>
            <sz val="9"/>
            <color indexed="81"/>
            <rFont val="Tahoma"/>
            <family val="2"/>
          </rPr>
          <t>Wisol:</t>
        </r>
        <r>
          <rPr>
            <sz val="9"/>
            <color indexed="81"/>
            <rFont val="Tahoma"/>
            <family val="2"/>
          </rPr>
          <t xml:space="preserve">
thanh toán phép năm 2020</t>
        </r>
      </text>
    </comment>
    <comment ref="CD1" authorId="0" shapeId="0">
      <text>
        <r>
          <rPr>
            <b/>
            <sz val="9"/>
            <color indexed="81"/>
            <rFont val="Tahoma"/>
            <family val="2"/>
          </rPr>
          <t>Wisol:</t>
        </r>
        <r>
          <rPr>
            <sz val="9"/>
            <color indexed="81"/>
            <rFont val="Tahoma"/>
            <family val="2"/>
          </rPr>
          <t xml:space="preserve">
PU</t>
        </r>
      </text>
    </comment>
    <comment ref="CE1" authorId="0" shapeId="0">
      <text>
        <r>
          <rPr>
            <b/>
            <sz val="9"/>
            <color indexed="81"/>
            <rFont val="Tahoma"/>
            <family val="2"/>
          </rPr>
          <t>Wisol:</t>
        </r>
        <r>
          <rPr>
            <sz val="9"/>
            <color indexed="81"/>
            <rFont val="Tahoma"/>
            <family val="2"/>
          </rPr>
          <t xml:space="preserve">
ul, nl chính thức</t>
        </r>
      </text>
    </comment>
    <comment ref="CF1" authorId="0" shapeId="0">
      <text>
        <r>
          <rPr>
            <b/>
            <sz val="9"/>
            <color indexed="81"/>
            <rFont val="Tahoma"/>
            <family val="2"/>
          </rPr>
          <t>Wisol:</t>
        </r>
        <r>
          <rPr>
            <sz val="9"/>
            <color indexed="81"/>
            <rFont val="Tahoma"/>
            <family val="2"/>
          </rPr>
          <t xml:space="preserve">
di muon ve som thu viec
66</t>
        </r>
      </text>
    </comment>
    <comment ref="CG1" authorId="0" shapeId="0">
      <text>
        <r>
          <rPr>
            <b/>
            <sz val="9"/>
            <color indexed="81"/>
            <rFont val="Tahoma"/>
            <family val="2"/>
          </rPr>
          <t>Wisol:</t>
        </r>
        <r>
          <rPr>
            <sz val="9"/>
            <color indexed="81"/>
            <rFont val="Tahoma"/>
            <family val="2"/>
          </rPr>
          <t xml:space="preserve">
Di muon ve som lam chinh thuc</t>
        </r>
      </text>
    </comment>
    <comment ref="CI1" authorId="0" shapeId="0">
      <text>
        <r>
          <rPr>
            <b/>
            <sz val="9"/>
            <color indexed="81"/>
            <rFont val="Tahoma"/>
            <family val="2"/>
          </rPr>
          <t>Wisol:</t>
        </r>
        <r>
          <rPr>
            <sz val="9"/>
            <color indexed="81"/>
            <rFont val="Tahoma"/>
            <family val="2"/>
          </rPr>
          <t xml:space="preserve">
PN âm, ko trả đồ, trừ khaác</t>
        </r>
      </text>
    </comment>
    <comment ref="CN1" authorId="0" shapeId="0">
      <text>
        <r>
          <rPr>
            <b/>
            <sz val="9"/>
            <color indexed="81"/>
            <rFont val="Tahoma"/>
            <family val="2"/>
          </rPr>
          <t>Wisol:</t>
        </r>
        <r>
          <rPr>
            <sz val="9"/>
            <color indexed="81"/>
            <rFont val="Tahoma"/>
            <family val="2"/>
          </rPr>
          <t xml:space="preserve">
Trừ những người nghỉ việc do quỹ thiên tai công ty đã ứng trước đóng cho ng lđ (do kho khăn của dịch) còn lại sẽ trừ vào lương t7 nhưng một số người nghỉ việc nên trtuwf luôn</t>
        </r>
      </text>
    </comment>
    <comment ref="CO1" authorId="0" shapeId="0">
      <text>
        <r>
          <rPr>
            <b/>
            <sz val="9"/>
            <color indexed="81"/>
            <rFont val="Tahoma"/>
            <family val="2"/>
          </rPr>
          <t>Wisol:</t>
        </r>
        <r>
          <rPr>
            <sz val="9"/>
            <color indexed="81"/>
            <rFont val="Tahoma"/>
            <family val="2"/>
          </rPr>
          <t xml:space="preserve">
coongj cua nhung ng tinh OT CT</t>
        </r>
      </text>
    </comment>
    <comment ref="AX2" authorId="0" shapeId="0">
      <text>
        <r>
          <rPr>
            <b/>
            <sz val="9"/>
            <color indexed="81"/>
            <rFont val="Tahoma"/>
            <family val="2"/>
          </rPr>
          <t>Wisol:</t>
        </r>
        <r>
          <rPr>
            <sz val="9"/>
            <color indexed="81"/>
            <rFont val="Tahoma"/>
            <family val="2"/>
          </rPr>
          <t xml:space="preserve">
đêm ngày thường</t>
        </r>
      </text>
    </comment>
    <comment ref="AY2" authorId="0" shapeId="0">
      <text>
        <r>
          <rPr>
            <b/>
            <sz val="9"/>
            <color indexed="81"/>
            <rFont val="Tahoma"/>
            <family val="2"/>
          </rPr>
          <t>Wisol:</t>
        </r>
        <r>
          <rPr>
            <sz val="9"/>
            <color indexed="81"/>
            <rFont val="Tahoma"/>
            <family val="2"/>
          </rPr>
          <t xml:space="preserve">
đêm cn</t>
        </r>
      </text>
    </comment>
    <comment ref="BD2" authorId="0" shapeId="0">
      <text>
        <r>
          <rPr>
            <b/>
            <sz val="9"/>
            <color indexed="81"/>
            <rFont val="Tahoma"/>
            <family val="2"/>
          </rPr>
          <t>Wisol:</t>
        </r>
        <r>
          <rPr>
            <sz val="9"/>
            <color indexed="81"/>
            <rFont val="Tahoma"/>
            <family val="2"/>
          </rPr>
          <t xml:space="preserve">
đêm ngày thường</t>
        </r>
      </text>
    </comment>
    <comment ref="BE2" authorId="0" shapeId="0">
      <text>
        <r>
          <rPr>
            <b/>
            <sz val="9"/>
            <color indexed="81"/>
            <rFont val="Tahoma"/>
            <family val="2"/>
          </rPr>
          <t>Wisol:</t>
        </r>
        <r>
          <rPr>
            <sz val="9"/>
            <color indexed="81"/>
            <rFont val="Tahoma"/>
            <family val="2"/>
          </rPr>
          <t xml:space="preserve">
đêm cn</t>
        </r>
      </text>
    </comment>
    <comment ref="DM2" authorId="0" shapeId="0">
      <text>
        <r>
          <rPr>
            <b/>
            <sz val="9"/>
            <color indexed="81"/>
            <rFont val="Tahoma"/>
            <family val="2"/>
          </rPr>
          <t>Wisol:</t>
        </r>
        <r>
          <rPr>
            <sz val="9"/>
            <color indexed="81"/>
            <rFont val="Tahoma"/>
            <family val="2"/>
          </rPr>
          <t xml:space="preserve">
Giảm từ 07/2021-06/2022</t>
        </r>
      </text>
    </comment>
    <comment ref="DO2" authorId="0" shapeId="0">
      <text>
        <r>
          <rPr>
            <b/>
            <sz val="9"/>
            <color indexed="81"/>
            <rFont val="Tahoma"/>
            <family val="2"/>
          </rPr>
          <t>Wisol:</t>
        </r>
        <r>
          <rPr>
            <sz val="9"/>
            <color indexed="81"/>
            <rFont val="Tahoma"/>
            <family val="2"/>
          </rPr>
          <t xml:space="preserve">
giảm 102021-09/2022</t>
        </r>
      </text>
    </comment>
  </commentList>
</comments>
</file>

<file path=xl/comments2.xml><?xml version="1.0" encoding="utf-8"?>
<comments xmlns="http://schemas.openxmlformats.org/spreadsheetml/2006/main">
  <authors>
    <author>Wisol</author>
  </authors>
  <commentList>
    <comment ref="A25" authorId="0" shapeId="0">
      <text>
        <r>
          <rPr>
            <b/>
            <sz val="9"/>
            <color indexed="81"/>
            <rFont val="Tahoma"/>
            <family val="2"/>
          </rPr>
          <t>Wisol:</t>
        </r>
        <r>
          <rPr>
            <sz val="9"/>
            <color indexed="81"/>
            <rFont val="Tahoma"/>
            <family val="2"/>
          </rPr>
          <t xml:space="preserve">
thiết bị</t>
        </r>
      </text>
    </comment>
    <comment ref="A28" authorId="0" shapeId="0">
      <text>
        <r>
          <rPr>
            <b/>
            <sz val="9"/>
            <color indexed="81"/>
            <rFont val="Tahoma"/>
            <family val="2"/>
          </rPr>
          <t>Wisol:</t>
        </r>
        <r>
          <rPr>
            <sz val="9"/>
            <color indexed="81"/>
            <rFont val="Tahoma"/>
            <family val="2"/>
          </rPr>
          <t xml:space="preserve">
bao gồm cả QC</t>
        </r>
      </text>
    </comment>
  </commentList>
</comments>
</file>

<file path=xl/sharedStrings.xml><?xml version="1.0" encoding="utf-8"?>
<sst xmlns="http://schemas.openxmlformats.org/spreadsheetml/2006/main" count="265" uniqueCount="248">
  <si>
    <t>STT</t>
  </si>
  <si>
    <t>Mã nhân viên
Code
사번</t>
  </si>
  <si>
    <t>Mã Bộ phận
부서번호</t>
  </si>
  <si>
    <t>Grade
 2023</t>
  </si>
  <si>
    <t>Tên
Name
이름</t>
  </si>
  <si>
    <t>Bộ phận
부서</t>
  </si>
  <si>
    <t>Chức vụ
직무</t>
  </si>
  <si>
    <t>Ngày vào
입사일</t>
  </si>
  <si>
    <t xml:space="preserve"> Basic Salary
기본 급여</t>
  </si>
  <si>
    <t>Living Allowance
생활 보조금</t>
  </si>
  <si>
    <t>Position Allowance
직급 수당</t>
  </si>
  <si>
    <t>Ability Allowance
능력 수당</t>
  </si>
  <si>
    <t>Seniority Allowance
근속 수당</t>
  </si>
  <si>
    <t>Harmful Allowance
유해 수당</t>
  </si>
  <si>
    <t>Tổng ngày công thực tế
실제 근무일</t>
  </si>
  <si>
    <t>Ngày công thử việc ban ngày
수습시 주간 실제 근무일</t>
  </si>
  <si>
    <t>Ngày công thử việc ban đêm
수습시 야간 실제 근무일</t>
  </si>
  <si>
    <t>Lương ngày công thử việc ban ngày
수습시 주간 일급 금액</t>
  </si>
  <si>
    <t>Lương ngày công thử việc ban đêm 
수습시 야간 일급 금액</t>
  </si>
  <si>
    <t>Ngày công chính thức ban ngày
정식 직원의 주간 일급금액</t>
  </si>
  <si>
    <t>Ngày công chính thức ban đêm
정식 직원의 야간 일급금액</t>
  </si>
  <si>
    <t>Nghỉ việc có lương
유급 휴가</t>
  </si>
  <si>
    <t>Lương ngày công chính thức ban ngày
정식 임직원의 주간 일급 금액</t>
  </si>
  <si>
    <t>Lương ngày công chính thức ban đêm
정식 임직원의 야간 일급 금액</t>
  </si>
  <si>
    <t>Tổng lương
급여 총금액</t>
  </si>
  <si>
    <t>Giờ làm thêm trong TV
수습시 잔업시간</t>
  </si>
  <si>
    <t>Giờ làm thêm trong CT
정식 직원의 잔업 시간</t>
  </si>
  <si>
    <t>Tong thoi gian OT
잔업 총시간</t>
  </si>
  <si>
    <t>Tong tien OT
Total OT Salary
잔업 총금액</t>
  </si>
  <si>
    <t>Số ngày làm ca đêm trước ngày lễ TV
명절전 야간에 근무 일수 - 수습</t>
  </si>
  <si>
    <t>Số ngày làm ca đêm trước ngày lễ CT
명절전 야간에 근무 일수 - 정식</t>
  </si>
  <si>
    <t>Tổng tiền OT ca đêm trước ngày lễ
명절전 잔업 총금액</t>
  </si>
  <si>
    <t>Số ngày làm ca đêm TV
수습시 야간 근무 일수</t>
  </si>
  <si>
    <t>Số ngày làm ca đêm CT
전식시 야간 근무 일수</t>
  </si>
  <si>
    <t>Tiền hỗ trợ ca đêm
야간 근무 보조금</t>
  </si>
  <si>
    <t>Hỗ trợ thời gian làm việc TV</t>
  </si>
  <si>
    <t>Hỗ trợ thời gian làm việc chính thức</t>
  </si>
  <si>
    <t>Tổng hỗ trợ thời gian làm việc (Giờ)</t>
  </si>
  <si>
    <t>Tổng tiền hỗ trợ thời gian làm việc</t>
  </si>
  <si>
    <t>Hỗ trợ ngày thành lập công ty</t>
  </si>
  <si>
    <t>Nghỉ khám thai
임산부 건강 검사용 휴가</t>
  </si>
  <si>
    <t>Nghỉ việc không thông báo
No report leave
무단 결근</t>
  </si>
  <si>
    <t>Số ngày nghỉ bù</t>
  </si>
  <si>
    <t>Chuyên cần
Full time 
만근수당</t>
  </si>
  <si>
    <t>Incentive hàng tháng
매월 인센티브</t>
  </si>
  <si>
    <t>Incentive phiên dịch (100%)
통역자의 인센티브 (100%)</t>
  </si>
  <si>
    <t>Hỗ trợ phụ cấp ngày nghỉ bù</t>
  </si>
  <si>
    <t>Hỗ trợ lương ngày nghỉ bù</t>
  </si>
  <si>
    <t>Hỗ trợ công đoạn
공정지원</t>
  </si>
  <si>
    <t>Hỗ trợ chi phí gửi trẻ
자녀 보조금</t>
  </si>
  <si>
    <t>Hỗ trợ đội PCCC cơ sở
소방팀 지원금</t>
  </si>
  <si>
    <t>Hỗ trợ đội an toàn vệ sinh viên
위생안전팀 지원금</t>
  </si>
  <si>
    <t>Khoản cộng thêm khác
Other income
기타 추가 금액</t>
  </si>
  <si>
    <t>Nghỉ không lương
무급 휴가</t>
  </si>
  <si>
    <t>Probation
ĐM/VS
Probation late come/ early leave time
수습시 지각/ 조퇴</t>
  </si>
  <si>
    <t>Official
ĐM/VS
Official late come/ early leave time
정식시 지각/ 조퇴</t>
  </si>
  <si>
    <t>Khoản trừ đi muộn/ về sớm
지각/ 조퇴 감면 금액</t>
  </si>
  <si>
    <t>Khoản phải trừ khác 
Other deduction
기타 감면 금액</t>
  </si>
  <si>
    <t>Tổng thu nhập
Gross salary
총 수입</t>
  </si>
  <si>
    <t>Thuộc đối tượng tham gia BHXH (x)
Insuarance Member
사회 보험 가입 대상</t>
  </si>
  <si>
    <t>BHXH
10.5%
Insuarance fee
사회보험 10.5%</t>
  </si>
  <si>
    <t>KP 
Công đoàn
Union fee
노조비</t>
  </si>
  <si>
    <t>Trừ quỹ phòng chống thiên tai
천해예방기금 차감</t>
  </si>
  <si>
    <t xml:space="preserve">Thu nhập từ làm thêm không phải chịu thuế TNCN
Non-taxable OT salary
세금 미적용하는 잔업 금액 </t>
  </si>
  <si>
    <t>Thu nhập trước thuế
Income before tax
세금 지불전에 수입</t>
  </si>
  <si>
    <t>Khoản giảm trừ cho bản thân
Self deduction
본인 감면 금액</t>
  </si>
  <si>
    <t>Số người phụ thuộc
Dependent person 
부양자수</t>
  </si>
  <si>
    <t>Giảm trừ người phụ thuộc
Dependent person deduction
부양자 감면</t>
  </si>
  <si>
    <t xml:space="preserve">Thu nhập tính thuế
Taxable income
세금 산출 적용 수입 </t>
  </si>
  <si>
    <t>Thuế TNCN
Personal income tax
개인소득세</t>
  </si>
  <si>
    <t>Thực Nhận
Net salary
급여 수령 금액</t>
  </si>
  <si>
    <t>Joining date
입사일</t>
  </si>
  <si>
    <t>Incentive
인센티브 수당</t>
  </si>
  <si>
    <t>So TK
계좌 번호</t>
  </si>
  <si>
    <t>Đối tượng tham gia công đoàn
노조 가입 대상</t>
  </si>
  <si>
    <t>Bảo hiểm xã hội/ 사회 보험</t>
  </si>
  <si>
    <t>Công đoàn/ 노조</t>
  </si>
  <si>
    <t>Truy thu BHYT/ 의료보험추징</t>
  </si>
  <si>
    <t>Số Con nhỏ
자녀수</t>
  </si>
  <si>
    <t>Điểu chỉnh công</t>
  </si>
  <si>
    <t>Trả tiền phép năm</t>
  </si>
  <si>
    <t>TT tiền giới thiệu</t>
  </si>
  <si>
    <t>Daily
Salary
일당 급여</t>
  </si>
  <si>
    <t>Hour Salary
시간당 급여</t>
  </si>
  <si>
    <t>Ca ngày TV</t>
  </si>
  <si>
    <t>Ca ngày CT</t>
  </si>
  <si>
    <t>ca đêm TV kỷ niệm trước lễ</t>
  </si>
  <si>
    <t>ca đêm kỷ niệm CT trước lễ</t>
  </si>
  <si>
    <t>Thành tiền</t>
  </si>
  <si>
    <t>Insentive (Standard)</t>
  </si>
  <si>
    <t>đánh giá
평가</t>
  </si>
  <si>
    <t>Incentive</t>
  </si>
  <si>
    <t>Incentive phiên dịch (100%)
통역자의 인센티브</t>
  </si>
  <si>
    <t>Thâm niên
근속 (개월)</t>
  </si>
  <si>
    <t>Thâm niên ngày
근속 (일)</t>
  </si>
  <si>
    <t>BHXH(8%) -NLD</t>
  </si>
  <si>
    <t>BHYT( 1.5%)-NLD</t>
  </si>
  <si>
    <t>BHTN(1%)-NLD</t>
  </si>
  <si>
    <t>BHXH(17%)-DN</t>
  </si>
  <si>
    <t>BHTNLĐ(0.5%)-DN</t>
  </si>
  <si>
    <t>BHYT(3%)-DN</t>
  </si>
  <si>
    <t>BHTN(1%)-DN</t>
  </si>
  <si>
    <t>Đoàn phí (1%)</t>
  </si>
  <si>
    <t>Kinh phí (2%)</t>
  </si>
  <si>
    <t>Đối tượng truy thu BHYT</t>
  </si>
  <si>
    <t>BHYT(4.5%)-NLD</t>
  </si>
  <si>
    <t>TOTAL</t>
  </si>
  <si>
    <t>Thanh Toán</t>
  </si>
  <si>
    <t>Truy thu</t>
  </si>
  <si>
    <t/>
  </si>
  <si>
    <t>Thưởng</t>
  </si>
  <si>
    <t>Note</t>
  </si>
  <si>
    <t>Ngày nghỉ việc
퇴사일</t>
  </si>
  <si>
    <t>x</t>
  </si>
  <si>
    <t>AL30</t>
  </si>
  <si>
    <t>NB</t>
  </si>
  <si>
    <t>CÔNG TY TNHH WISOL HÀ NỘI</t>
  </si>
  <si>
    <t>Employee 
Code
사번</t>
  </si>
  <si>
    <t>Grade</t>
  </si>
  <si>
    <t>Name
이름</t>
  </si>
  <si>
    <t>Salary Basic
기본 급여</t>
  </si>
  <si>
    <t>Position
Allowance
직급 수당</t>
  </si>
  <si>
    <t>Salary/day
일당 급여</t>
  </si>
  <si>
    <t>Salary/h
시간당 급여</t>
  </si>
  <si>
    <t>Actual working day 
실제 근무일</t>
  </si>
  <si>
    <t>Over time (h)
잔업 총시간</t>
  </si>
  <si>
    <t>Over time Salary
잔업 총금액</t>
  </si>
  <si>
    <t>OT before holiday salary</t>
  </si>
  <si>
    <t>Night Allowance
야간 근무 보조금</t>
  </si>
  <si>
    <t>Hỗ trợ thời gian làm việc
근무 지원금</t>
  </si>
  <si>
    <t>Hỗ trợ 01/09</t>
  </si>
  <si>
    <t>Addition/ 추가 금액</t>
  </si>
  <si>
    <t>Salary for acctural working days
급여 총금액</t>
  </si>
  <si>
    <t>Hỗ trợ cách ly</t>
  </si>
  <si>
    <t>Hỗ trợ ĐT</t>
  </si>
  <si>
    <t>Other income
기타 추가 금액</t>
  </si>
  <si>
    <t>Gross salary
총 수입</t>
  </si>
  <si>
    <t>Deduction/차감 금액</t>
  </si>
  <si>
    <t>Net Salary
급여 수령 금액</t>
  </si>
  <si>
    <t>Fulltime Attendance
만근수당</t>
  </si>
  <si>
    <t>Incentive
매월 인센티브</t>
  </si>
  <si>
    <t>Incentive hiệu xuất phiên dịch</t>
  </si>
  <si>
    <t>Child Allowance
자녀 보조금</t>
  </si>
  <si>
    <t>Fire protection Allowance
소방팀 지원금</t>
  </si>
  <si>
    <t>ATVSV
위생안전팀 지원금</t>
  </si>
  <si>
    <t>HT PC nghỉ bù
대체휴가시 지급 수당</t>
  </si>
  <si>
    <t>HT lương nghỉ bù
대차 휴가시 지원금</t>
  </si>
  <si>
    <t>Social insurance
사회보험</t>
  </si>
  <si>
    <t>Trade Union Fee
노조비</t>
  </si>
  <si>
    <t>Quỹ PCTT</t>
  </si>
  <si>
    <t>PIT
개인소득세</t>
  </si>
  <si>
    <t>Return
기타 감면 금액</t>
  </si>
  <si>
    <t>EL/LC
지각/ 조퇴 감면 금액</t>
  </si>
  <si>
    <t>H1503001</t>
  </si>
  <si>
    <t>2023/02 월 급여표 (현지 근로자) _ 지급</t>
  </si>
  <si>
    <t>201008</t>
  </si>
  <si>
    <t>M7-1</t>
  </si>
  <si>
    <t>Vũ Thị Ngọc</t>
  </si>
  <si>
    <t>Accounting/ Kế toán</t>
  </si>
  <si>
    <t>Group Leader/ Trưởng bộ phận</t>
  </si>
  <si>
    <t>BẢNG LƯƠNG THÁNG 02.2023 (Người lao động Việt Nam)</t>
  </si>
  <si>
    <t>BẢNG TỔNG HỢP TIỀN LƯƠNG THÁNG 12 NĂM 2019</t>
  </si>
  <si>
    <t>Dept
부서</t>
  </si>
  <si>
    <t>Count of BP</t>
  </si>
  <si>
    <t>Sum of luong CB</t>
  </si>
  <si>
    <t>Sum of doi song</t>
  </si>
  <si>
    <t>Position Allowance</t>
  </si>
  <si>
    <t>Seniority Allowance</t>
  </si>
  <si>
    <t>Harmful Allowance</t>
  </si>
  <si>
    <t>Gross salary
총 급여</t>
  </si>
  <si>
    <t>BHXH(8%)-NLD
사회 보험 - 근로자 부담</t>
  </si>
  <si>
    <t>BHYT(1.5%)-NLD
건강 보험 - 근로자 부담</t>
  </si>
  <si>
    <t>BHTN(1%)-NLD
실업 보험 - 근로자 부담</t>
  </si>
  <si>
    <t>BHXH + BHTNLD (17,5%)-DN
사회 보험 - 업체 부담</t>
  </si>
  <si>
    <t>BHYT(3%)-DN
건강 보험 - 업체 부담</t>
  </si>
  <si>
    <t>BHTN(1%)-DN
실업 보험 - 업체 부담</t>
  </si>
  <si>
    <t>KPCD(1%)-NLD
노조비 - 근로자 부담</t>
  </si>
  <si>
    <t>KPCD(2%)-DN
노조비 - 업체 부담</t>
  </si>
  <si>
    <t>PIT
개인 소득세</t>
  </si>
  <si>
    <t>Truy thu BHYT 4.5%</t>
  </si>
  <si>
    <t>Net</t>
  </si>
  <si>
    <t>Truy thu thuế TNCN &amp; chế độ</t>
  </si>
  <si>
    <t>Accounting Group</t>
  </si>
  <si>
    <t>222001</t>
  </si>
  <si>
    <t>IOT Production Group</t>
  </si>
  <si>
    <t>222101</t>
  </si>
  <si>
    <t>IoT_Assy</t>
  </si>
  <si>
    <t>221001</t>
  </si>
  <si>
    <t>IOTTechnology Group</t>
  </si>
  <si>
    <t>201004</t>
  </si>
  <si>
    <t>HR</t>
  </si>
  <si>
    <t>201006</t>
  </si>
  <si>
    <t>GA</t>
  </si>
  <si>
    <t>Utility</t>
  </si>
  <si>
    <t>201007</t>
  </si>
  <si>
    <t>EHS</t>
  </si>
  <si>
    <t>201002</t>
  </si>
  <si>
    <t>PI Group</t>
  </si>
  <si>
    <t>201013</t>
  </si>
  <si>
    <t>Production Control</t>
  </si>
  <si>
    <t>201014</t>
  </si>
  <si>
    <t>Outsourcing control</t>
  </si>
  <si>
    <t>201015</t>
  </si>
  <si>
    <t>Sales</t>
  </si>
  <si>
    <t>201010</t>
  </si>
  <si>
    <t>Purchase</t>
  </si>
  <si>
    <t>201011</t>
  </si>
  <si>
    <t>Purchase (Logistic/Material)</t>
  </si>
  <si>
    <t>201012</t>
  </si>
  <si>
    <t>Purchase(Warehouse)</t>
  </si>
  <si>
    <t>202001</t>
  </si>
  <si>
    <t>QC Group (PQC&amp;REABILITY)</t>
  </si>
  <si>
    <t>202002</t>
  </si>
  <si>
    <t>C/S</t>
  </si>
  <si>
    <t>IQC</t>
  </si>
  <si>
    <t>OQC</t>
  </si>
  <si>
    <t>232001</t>
  </si>
  <si>
    <t>LFEM Production Group</t>
  </si>
  <si>
    <t>231001</t>
  </si>
  <si>
    <t>LFEM Technology Group</t>
  </si>
  <si>
    <t>232101</t>
  </si>
  <si>
    <t>LFEM_Assy</t>
  </si>
  <si>
    <t>211001</t>
  </si>
  <si>
    <t>SMT Technology Group</t>
  </si>
  <si>
    <t>212001</t>
  </si>
  <si>
    <t>SMT Production Group</t>
  </si>
  <si>
    <t>212101</t>
  </si>
  <si>
    <t>SMT_LFEM Production Group</t>
  </si>
  <si>
    <t>212102</t>
  </si>
  <si>
    <t>SMT_IOT Production Group</t>
  </si>
  <si>
    <t>242001</t>
  </si>
  <si>
    <t>WLP Production Group</t>
  </si>
  <si>
    <t>241001</t>
  </si>
  <si>
    <t>WLP Technology Group</t>
  </si>
  <si>
    <t>WLP 1 Production Group</t>
  </si>
  <si>
    <t>WLP 1 Technology Group</t>
  </si>
  <si>
    <t>CSP Production Group</t>
  </si>
  <si>
    <t>CSP Technology Group</t>
  </si>
  <si>
    <t xml:space="preserve">H00000    </t>
  </si>
  <si>
    <t>WHC</t>
  </si>
  <si>
    <t>Đối tượng phụ cấp độc hại</t>
  </si>
  <si>
    <t>Lương TTV</t>
  </si>
  <si>
    <t xml:space="preserve">SỐ NGÀY
(L160) </t>
  </si>
  <si>
    <t>Lương TTV
최저임금</t>
  </si>
  <si>
    <t>Hỗ trợ sinh lý</t>
  </si>
  <si>
    <t>Giới tính</t>
  </si>
  <si>
    <t>Bầu + TS</t>
  </si>
  <si>
    <t>Thời gian chưa nghỉ</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</si>
</sst>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_-;\-* #,##0.00_-;_-* &quot;-&quot;??_-;_-@_-"/>
    <numFmt numFmtId="165" formatCode="_-* #,##0_-;\-* #,##0_-;_-* &quot;-&quot;??_-;_-@_-"/>
    <numFmt numFmtId="166" formatCode="0.0"/>
    <numFmt numFmtId="167" formatCode="_(* #,##0_);_(* \(#,##0\);_(* &quot;-&quot;??_);_(@_)"/>
    <numFmt numFmtId="168" formatCode="m/d/yy;@"/>
    <numFmt numFmtId="169" formatCode="_(* #,##0.0_);_(* \(#,##0.0\);_(* &quot;-&quot;??_);_(@_)"/>
    <numFmt numFmtId="170" formatCode="_-* #,##0.0_-;\-* #,##0.0_-;_-* &quot;-&quot;??_-;_-@_-"/>
    <numFmt numFmtId="171" formatCode="000"/>
  </numFmts>
  <fonts count="38">
    <font>
      <sz val="10"/>
      <name val="Arial"/>
      <family val="2"/>
    </font>
    <font>
      <sz val="11"/>
      <color theme="1"/>
      <name val="Calibri"/>
      <family val="2"/>
      <scheme val="minor"/>
    </font>
    <font>
      <sz val="10"/>
      <name val="Arial"/>
      <family val="2"/>
    </font>
    <font>
      <sz val="11.5"/>
      <name val="Times"/>
      <family val="1"/>
    </font>
    <font>
      <b/>
      <sz val="11"/>
      <name val="Times"/>
    </font>
    <font>
      <sz val="11"/>
      <name val="Times"/>
    </font>
    <font>
      <b/>
      <sz val="11.5"/>
      <name val="Times"/>
    </font>
    <font>
      <sz val="11.5"/>
      <color rgb="FFFF0000"/>
      <name val="Times"/>
      <family val="1"/>
    </font>
    <font>
      <sz val="11"/>
      <name val="Times"/>
      <family val="1"/>
    </font>
    <font>
      <i/>
      <sz val="11.5"/>
      <name val="Times"/>
    </font>
    <font>
      <sz val="9.5"/>
      <color indexed="8"/>
      <name val="Calibri"/>
      <family val="2"/>
      <charset val="163"/>
    </font>
    <font>
      <sz val="10"/>
      <name val="Times"/>
      <family val="1"/>
    </font>
    <font>
      <sz val="11"/>
      <color rgb="FFFF0000"/>
      <name val="Times"/>
      <family val="1"/>
    </font>
    <font>
      <sz val="11"/>
      <name val="Times New Roman"/>
      <family val="1"/>
    </font>
    <font>
      <sz val="11"/>
      <name val="돋움"/>
      <family val="3"/>
      <charset val="129"/>
    </font>
    <font>
      <sz val="10"/>
      <color theme="0" tint="-0.499984740745262"/>
      <name val="Times"/>
      <family val="1"/>
    </font>
    <font>
      <b/>
      <sz val="10"/>
      <color theme="0" tint="-0.499984740745262"/>
      <name val="Times"/>
    </font>
    <font>
      <sz val="10"/>
      <color theme="1" tint="4.9989318521683403E-2"/>
      <name val="Times"/>
      <family val="1"/>
    </font>
    <font>
      <b/>
      <sz val="9"/>
      <color indexed="81"/>
      <name val="Tahoma"/>
      <family val="2"/>
    </font>
    <font>
      <sz val="9"/>
      <color indexed="81"/>
      <name val="Tahoma"/>
      <family val="2"/>
    </font>
    <font>
      <sz val="11"/>
      <color rgb="FFFF0000"/>
      <name val="Calibri"/>
      <family val="2"/>
      <scheme val="minor"/>
    </font>
    <font>
      <sz val="11"/>
      <color theme="0"/>
      <name val="Calibri"/>
      <family val="2"/>
      <scheme val="minor"/>
    </font>
    <font>
      <sz val="11"/>
      <color theme="1"/>
      <name val="Times New Roman"/>
      <family val="1"/>
    </font>
    <font>
      <b/>
      <sz val="14"/>
      <color theme="1"/>
      <name val="Times New Roman"/>
      <family val="1"/>
    </font>
    <font>
      <b/>
      <sz val="15"/>
      <name val="Times New Roman"/>
      <family val="1"/>
    </font>
    <font>
      <b/>
      <sz val="10"/>
      <name val="Times New Roman"/>
      <family val="1"/>
    </font>
    <font>
      <sz val="10"/>
      <name val="Times New Roman"/>
      <family val="1"/>
    </font>
    <font>
      <sz val="10"/>
      <name val="Arial"/>
      <family val="2"/>
    </font>
    <font>
      <sz val="11"/>
      <name val="Calibri"/>
      <family val="2"/>
      <scheme val="minor"/>
    </font>
    <font>
      <sz val="8"/>
      <color theme="0"/>
      <name val="Calibri"/>
      <family val="2"/>
      <scheme val="minor"/>
    </font>
    <font>
      <sz val="8"/>
      <color theme="0"/>
      <name val="Arial"/>
      <family val="2"/>
    </font>
    <font>
      <sz val="10"/>
      <color rgb="FFFF0000"/>
      <name val="Arial"/>
      <family val="2"/>
    </font>
    <font>
      <b/>
      <sz val="14"/>
      <color rgb="FFFF0000"/>
      <name val="Times"/>
      <family val="1"/>
    </font>
    <font>
      <b/>
      <sz val="14"/>
      <name val="Times"/>
      <family val="1"/>
    </font>
    <font>
      <sz val="12"/>
      <name val="Times"/>
      <family val="1"/>
    </font>
    <font>
      <sz val="20"/>
      <name val="Arial"/>
      <family val="2"/>
    </font>
    <font>
      <b/>
      <sz val="10"/>
      <name val="Arial"/>
      <family val="2"/>
    </font>
    <font>
      <b/>
      <sz val="11"/>
      <color rgb="FFFF0000"/>
      <name val="Times"/>
    </font>
  </fonts>
  <fills count="18">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C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s>
  <borders count="29">
    <border>
      <left/>
      <right/>
      <top/>
      <bottom/>
      <diagonal/>
    </border>
    <border>
      <left style="thin">
        <color indexed="64"/>
      </left>
      <right style="thin">
        <color indexed="64"/>
      </right>
      <top style="medium">
        <color indexed="64"/>
      </top>
      <bottom style="hair">
        <color indexed="64"/>
      </bottom>
      <diagonal/>
    </border>
    <border>
      <left style="thin">
        <color indexed="64"/>
      </left>
      <right style="thin">
        <color auto="1"/>
      </right>
      <top style="medium">
        <color indexed="64"/>
      </top>
      <bottom/>
      <diagonal/>
    </border>
    <border>
      <left style="thin">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thin">
        <color auto="1"/>
      </left>
      <right/>
      <top/>
      <bottom style="hair">
        <color auto="1"/>
      </bottom>
      <diagonal/>
    </border>
    <border>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thin">
        <color auto="1"/>
      </right>
      <top style="hair">
        <color auto="1"/>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thin">
        <color indexed="64"/>
      </top>
      <bottom/>
      <diagonal/>
    </border>
    <border>
      <left style="thin">
        <color indexed="64"/>
      </left>
      <right style="thin">
        <color indexed="64"/>
      </right>
      <top/>
      <bottom/>
      <diagonal/>
    </border>
    <border>
      <left/>
      <right style="thin">
        <color auto="1"/>
      </right>
      <top/>
      <bottom/>
      <diagonal/>
    </border>
    <border>
      <left style="thin">
        <color auto="1"/>
      </left>
      <right/>
      <top/>
      <bottom/>
      <diagonal/>
    </border>
    <border>
      <left/>
      <right style="thin">
        <color indexed="64"/>
      </right>
      <top style="thin">
        <color indexed="64"/>
      </top>
      <bottom/>
      <diagonal/>
    </border>
    <border>
      <left style="thin">
        <color indexed="64"/>
      </left>
      <right/>
      <top style="thin">
        <color indexed="64"/>
      </top>
      <bottom/>
      <diagonal/>
    </border>
  </borders>
  <cellStyleXfs count="9">
    <xf numFmtId="0" fontId="0" fillId="0" borderId="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0" fontId="14" fillId="0" borderId="0">
      <alignment vertical="center"/>
    </xf>
    <xf numFmtId="0" fontId="2" fillId="0" borderId="0"/>
    <xf numFmtId="0" fontId="1" fillId="0" borderId="0"/>
    <xf numFmtId="164" fontId="1" fillId="0" borderId="0" applyFont="0" applyFill="0" applyBorder="0" applyAlignment="0" applyProtection="0"/>
    <xf numFmtId="0" fontId="27" fillId="0" borderId="0"/>
  </cellStyleXfs>
  <cellXfs count="241">
    <xf numFmtId="0" fontId="0" fillId="0" borderId="0" xfId="0"/>
    <xf numFmtId="14" fontId="3" fillId="4" borderId="4" xfId="0" quotePrefix="1" applyNumberFormat="1" applyFont="1" applyFill="1" applyBorder="1" applyAlignment="1">
      <alignment horizontal="center" vertical="center" wrapText="1"/>
    </xf>
    <xf numFmtId="14" fontId="3" fillId="4" borderId="5" xfId="0" quotePrefix="1" applyNumberFormat="1" applyFont="1" applyFill="1" applyBorder="1" applyAlignment="1">
      <alignment horizontal="center" vertical="center" wrapText="1"/>
    </xf>
    <xf numFmtId="0" fontId="3" fillId="2" borderId="0" xfId="0" applyFont="1" applyFill="1" applyAlignment="1">
      <alignment vertical="center" wrapText="1"/>
    </xf>
    <xf numFmtId="0" fontId="3" fillId="14" borderId="10" xfId="0" applyFont="1" applyFill="1" applyBorder="1" applyAlignment="1">
      <alignment horizontal="center" vertical="center" wrapText="1"/>
    </xf>
    <xf numFmtId="9" fontId="3" fillId="5" borderId="10" xfId="0" applyNumberFormat="1" applyFont="1" applyFill="1" applyBorder="1" applyAlignment="1">
      <alignment horizontal="center" vertical="center" wrapText="1"/>
    </xf>
    <xf numFmtId="43" fontId="4" fillId="5" borderId="11" xfId="1" applyNumberFormat="1" applyFont="1" applyFill="1" applyBorder="1" applyAlignment="1">
      <alignment horizontal="center" vertical="center" wrapText="1"/>
    </xf>
    <xf numFmtId="41" fontId="8" fillId="7" borderId="11" xfId="2" applyFont="1" applyFill="1" applyBorder="1" applyAlignment="1">
      <alignment horizontal="center" vertical="center" wrapText="1"/>
    </xf>
    <xf numFmtId="0" fontId="11" fillId="0" borderId="0" xfId="0" applyFont="1" applyFill="1" applyAlignment="1">
      <alignment vertical="center"/>
    </xf>
    <xf numFmtId="0" fontId="11" fillId="2" borderId="0" xfId="0" applyFont="1" applyFill="1" applyAlignment="1">
      <alignment vertical="center" wrapText="1"/>
    </xf>
    <xf numFmtId="0" fontId="11" fillId="0" borderId="0" xfId="0" applyFont="1" applyFill="1" applyAlignment="1">
      <alignment horizontal="center" vertical="center"/>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5" fillId="0" borderId="0" xfId="0" applyFont="1" applyFill="1" applyAlignment="1">
      <alignment horizontal="center" vertical="center" wrapText="1"/>
    </xf>
    <xf numFmtId="49" fontId="15" fillId="0" borderId="0" xfId="0" applyNumberFormat="1" applyFont="1" applyFill="1" applyAlignment="1">
      <alignment horizontal="center" vertical="center" wrapText="1"/>
    </xf>
    <xf numFmtId="3" fontId="11" fillId="0" borderId="0" xfId="0" applyNumberFormat="1" applyFont="1" applyFill="1" applyAlignment="1">
      <alignment vertical="center"/>
    </xf>
    <xf numFmtId="14" fontId="15" fillId="0" borderId="0" xfId="0" applyNumberFormat="1" applyFont="1" applyFill="1" applyAlignment="1">
      <alignment horizontal="center" vertical="center"/>
    </xf>
    <xf numFmtId="3" fontId="15" fillId="0" borderId="0" xfId="0" applyNumberFormat="1" applyFont="1" applyFill="1" applyAlignment="1">
      <alignment vertical="center"/>
    </xf>
    <xf numFmtId="3" fontId="16" fillId="0" borderId="0" xfId="0" applyNumberFormat="1" applyFont="1" applyFill="1" applyAlignment="1">
      <alignment vertical="center"/>
    </xf>
    <xf numFmtId="0" fontId="11" fillId="0" borderId="0" xfId="2" applyNumberFormat="1" applyFont="1" applyFill="1" applyAlignment="1">
      <alignment horizontal="center" vertical="center"/>
    </xf>
    <xf numFmtId="166" fontId="11" fillId="0" borderId="0" xfId="0" applyNumberFormat="1" applyFont="1" applyFill="1" applyAlignment="1">
      <alignment horizontal="center" vertical="center"/>
    </xf>
    <xf numFmtId="166" fontId="17" fillId="0" borderId="0" xfId="0" applyNumberFormat="1" applyFont="1" applyFill="1" applyAlignment="1">
      <alignment horizontal="center" vertical="center"/>
    </xf>
    <xf numFmtId="0" fontId="11" fillId="0" borderId="0" xfId="0" applyNumberFormat="1" applyFont="1" applyFill="1" applyAlignment="1">
      <alignment vertical="center"/>
    </xf>
    <xf numFmtId="167" fontId="11" fillId="0" borderId="0" xfId="1" applyNumberFormat="1" applyFont="1" applyFill="1" applyAlignment="1">
      <alignment vertical="center"/>
    </xf>
    <xf numFmtId="167" fontId="11" fillId="0" borderId="0" xfId="1" applyNumberFormat="1" applyFont="1" applyFill="1" applyAlignment="1">
      <alignment horizontal="center" vertical="center"/>
    </xf>
    <xf numFmtId="0" fontId="11" fillId="0" borderId="0" xfId="0" applyFont="1" applyFill="1" applyBorder="1" applyAlignment="1">
      <alignment vertical="center"/>
    </xf>
    <xf numFmtId="168" fontId="11" fillId="0" borderId="0" xfId="0" applyNumberFormat="1" applyFont="1" applyFill="1" applyAlignment="1">
      <alignment vertical="center"/>
    </xf>
    <xf numFmtId="164" fontId="8" fillId="0" borderId="0" xfId="0" applyNumberFormat="1" applyFont="1" applyFill="1" applyAlignment="1">
      <alignment vertical="center" wrapText="1"/>
    </xf>
    <xf numFmtId="0" fontId="3" fillId="2" borderId="1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167" fontId="6" fillId="2" borderId="14" xfId="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13" fillId="0" borderId="17" xfId="0" applyFont="1" applyFill="1" applyBorder="1" applyAlignment="1">
      <alignment horizontal="center" vertical="center" wrapText="1"/>
    </xf>
    <xf numFmtId="14" fontId="10" fillId="0" borderId="17" xfId="0" quotePrefix="1" applyNumberFormat="1" applyFont="1" applyFill="1" applyBorder="1" applyAlignment="1">
      <alignment horizontal="center" vertical="center" wrapText="1"/>
    </xf>
    <xf numFmtId="0" fontId="0" fillId="0" borderId="18" xfId="0" applyBorder="1" applyAlignment="1">
      <alignment horizontal="center" vertical="center" wrapText="1"/>
    </xf>
    <xf numFmtId="0" fontId="10" fillId="0" borderId="17" xfId="0" applyFont="1" applyFill="1" applyBorder="1" applyAlignment="1">
      <alignment horizontal="center" vertical="center" wrapText="1"/>
    </xf>
    <xf numFmtId="14" fontId="10" fillId="0" borderId="17" xfId="0" applyNumberFormat="1" applyFont="1" applyFill="1" applyBorder="1" applyAlignment="1">
      <alignment horizontal="center" vertical="center" wrapText="1"/>
    </xf>
    <xf numFmtId="167" fontId="8" fillId="3" borderId="13" xfId="1" applyNumberFormat="1" applyFont="1" applyFill="1" applyBorder="1" applyAlignment="1">
      <alignment horizontal="center" vertical="center" wrapText="1"/>
    </xf>
    <xf numFmtId="167" fontId="8" fillId="3" borderId="17" xfId="1" applyNumberFormat="1" applyFont="1" applyFill="1" applyBorder="1" applyAlignment="1">
      <alignment horizontal="center" vertical="center" wrapText="1"/>
    </xf>
    <xf numFmtId="167" fontId="8" fillId="14" borderId="13" xfId="1" applyNumberFormat="1" applyFont="1" applyFill="1" applyBorder="1" applyAlignment="1">
      <alignment horizontal="center" vertical="center" wrapText="1"/>
    </xf>
    <xf numFmtId="43" fontId="4" fillId="5" borderId="13" xfId="1" applyNumberFormat="1" applyFont="1" applyFill="1" applyBorder="1" applyAlignment="1">
      <alignment horizontal="center" vertical="center" wrapText="1"/>
    </xf>
    <xf numFmtId="167" fontId="8" fillId="7" borderId="13" xfId="3" applyNumberFormat="1" applyFont="1" applyFill="1" applyBorder="1" applyAlignment="1">
      <alignment horizontal="center" vertical="center" wrapText="1"/>
    </xf>
    <xf numFmtId="41" fontId="8" fillId="7" borderId="13" xfId="2" applyFont="1" applyFill="1" applyBorder="1" applyAlignment="1">
      <alignment horizontal="center" vertical="center" wrapText="1"/>
    </xf>
    <xf numFmtId="41" fontId="8" fillId="7" borderId="17" xfId="2" applyFont="1" applyFill="1" applyBorder="1" applyAlignment="1">
      <alignment horizontal="center" vertical="center" wrapText="1"/>
    </xf>
    <xf numFmtId="41" fontId="8" fillId="0" borderId="13" xfId="2" applyFont="1" applyFill="1" applyBorder="1" applyAlignment="1">
      <alignment horizontal="center" vertical="center" wrapText="1"/>
    </xf>
    <xf numFmtId="167" fontId="8" fillId="15" borderId="13" xfId="1" applyNumberFormat="1" applyFont="1" applyFill="1" applyBorder="1" applyAlignment="1">
      <alignment horizontal="center" vertical="center" wrapText="1"/>
    </xf>
    <xf numFmtId="169" fontId="8" fillId="0" borderId="13" xfId="1" applyNumberFormat="1" applyFont="1" applyFill="1" applyBorder="1" applyAlignment="1">
      <alignment horizontal="center" vertical="center" wrapText="1"/>
    </xf>
    <xf numFmtId="167" fontId="8" fillId="7" borderId="13" xfId="1" applyNumberFormat="1" applyFont="1" applyFill="1" applyBorder="1" applyAlignment="1">
      <alignment horizontal="center" vertical="center" wrapText="1"/>
    </xf>
    <xf numFmtId="167" fontId="8" fillId="12" borderId="13" xfId="3" applyNumberFormat="1" applyFont="1" applyFill="1" applyBorder="1" applyAlignment="1">
      <alignment horizontal="center" vertical="center" wrapText="1"/>
    </xf>
    <xf numFmtId="167" fontId="12" fillId="12" borderId="13" xfId="3" applyNumberFormat="1" applyFont="1" applyFill="1" applyBorder="1" applyAlignment="1">
      <alignment horizontal="center" vertical="center" wrapText="1"/>
    </xf>
    <xf numFmtId="167" fontId="8" fillId="13" borderId="13" xfId="1" applyNumberFormat="1" applyFont="1" applyFill="1" applyBorder="1" applyAlignment="1">
      <alignment horizontal="center" vertical="center" wrapText="1"/>
    </xf>
    <xf numFmtId="14" fontId="8" fillId="0" borderId="14" xfId="0" applyNumberFormat="1" applyFont="1" applyFill="1" applyBorder="1" applyAlignment="1">
      <alignment horizontal="center" vertical="center" wrapText="1"/>
    </xf>
    <xf numFmtId="0" fontId="0" fillId="0" borderId="14" xfId="0" applyBorder="1" applyAlignment="1">
      <alignment horizontal="center" vertical="center" wrapText="1"/>
    </xf>
    <xf numFmtId="167" fontId="8" fillId="0" borderId="14" xfId="1"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 fontId="10" fillId="0" borderId="14" xfId="0" quotePrefix="1" applyNumberFormat="1" applyFont="1" applyFill="1" applyBorder="1" applyAlignment="1">
      <alignment horizontal="center" vertical="center" wrapText="1"/>
    </xf>
    <xf numFmtId="169" fontId="8" fillId="0" borderId="14" xfId="1" applyNumberFormat="1" applyFont="1" applyFill="1" applyBorder="1" applyAlignment="1">
      <alignment horizontal="center" vertical="center" wrapText="1"/>
    </xf>
    <xf numFmtId="167" fontId="8" fillId="0" borderId="14" xfId="0" applyNumberFormat="1" applyFont="1" applyFill="1" applyBorder="1" applyAlignment="1">
      <alignment horizontal="center" vertical="center" wrapText="1"/>
    </xf>
    <xf numFmtId="43" fontId="8" fillId="0" borderId="14" xfId="1" applyFont="1" applyFill="1" applyBorder="1" applyAlignment="1">
      <alignment horizontal="center" vertical="center" wrapText="1"/>
    </xf>
    <xf numFmtId="43" fontId="8" fillId="0" borderId="14" xfId="0" applyNumberFormat="1" applyFont="1" applyFill="1" applyBorder="1" applyAlignment="1">
      <alignment horizontal="center" vertical="center" wrapText="1"/>
    </xf>
    <xf numFmtId="167" fontId="12" fillId="0" borderId="14" xfId="1" applyNumberFormat="1" applyFont="1" applyFill="1" applyBorder="1" applyAlignment="1">
      <alignment horizontal="center" vertical="center" wrapText="1"/>
    </xf>
    <xf numFmtId="1" fontId="12" fillId="16" borderId="14" xfId="0" applyNumberFormat="1" applyFont="1" applyFill="1" applyBorder="1" applyAlignment="1">
      <alignment horizontal="center" vertical="center" wrapText="1"/>
    </xf>
    <xf numFmtId="43" fontId="4" fillId="5" borderId="11" xfId="1" applyFont="1" applyFill="1" applyBorder="1" applyAlignment="1">
      <alignment horizontal="center" vertical="center"/>
    </xf>
    <xf numFmtId="0" fontId="1" fillId="0" borderId="0" xfId="6" applyFill="1"/>
    <xf numFmtId="0" fontId="22" fillId="0" borderId="0" xfId="6" applyFont="1" applyFill="1"/>
    <xf numFmtId="170" fontId="22" fillId="0" borderId="0" xfId="7" applyNumberFormat="1" applyFont="1" applyFill="1"/>
    <xf numFmtId="170" fontId="22" fillId="0" borderId="0" xfId="7" applyNumberFormat="1" applyFont="1" applyFill="1" applyAlignment="1">
      <alignment horizontal="center"/>
    </xf>
    <xf numFmtId="165" fontId="22" fillId="0" borderId="0" xfId="7" applyNumberFormat="1" applyFont="1" applyFill="1"/>
    <xf numFmtId="0" fontId="1" fillId="0" borderId="0" xfId="6"/>
    <xf numFmtId="0" fontId="25" fillId="0" borderId="10" xfId="6" applyFont="1" applyFill="1" applyBorder="1" applyAlignment="1">
      <alignment horizontal="center" vertical="center" wrapText="1"/>
    </xf>
    <xf numFmtId="0" fontId="26" fillId="0" borderId="10" xfId="6" applyFont="1" applyFill="1" applyBorder="1" applyAlignment="1">
      <alignment horizontal="center" vertical="center"/>
    </xf>
    <xf numFmtId="0" fontId="26" fillId="0" borderId="10" xfId="8" applyFont="1" applyFill="1" applyBorder="1" applyAlignment="1">
      <alignment horizontal="center" vertical="center"/>
    </xf>
    <xf numFmtId="165" fontId="26" fillId="0" borderId="10" xfId="7" applyNumberFormat="1" applyFont="1" applyFill="1" applyBorder="1" applyAlignment="1">
      <alignment horizontal="center" vertical="center"/>
    </xf>
    <xf numFmtId="165" fontId="26" fillId="0" borderId="22" xfId="7" applyNumberFormat="1" applyFont="1" applyFill="1" applyBorder="1" applyAlignment="1">
      <alignment horizontal="center" vertical="center"/>
    </xf>
    <xf numFmtId="0" fontId="28" fillId="0" borderId="0" xfId="6" applyFont="1"/>
    <xf numFmtId="0" fontId="26" fillId="0" borderId="17" xfId="6" applyFont="1" applyFill="1" applyBorder="1" applyAlignment="1">
      <alignment horizontal="center" vertical="center"/>
    </xf>
    <xf numFmtId="3" fontId="25" fillId="0" borderId="17" xfId="6" applyNumberFormat="1" applyFont="1" applyFill="1" applyBorder="1" applyAlignment="1">
      <alignment horizontal="center" vertical="center"/>
    </xf>
    <xf numFmtId="0" fontId="25" fillId="0" borderId="0" xfId="6" applyFont="1" applyAlignment="1">
      <alignment horizontal="center"/>
    </xf>
    <xf numFmtId="0" fontId="29" fillId="0" borderId="23" xfId="6" applyFont="1" applyFill="1" applyBorder="1"/>
    <xf numFmtId="0" fontId="29" fillId="0" borderId="0" xfId="6" applyFont="1" applyFill="1"/>
    <xf numFmtId="0" fontId="29" fillId="0" borderId="0" xfId="6" applyFont="1" applyFill="1" applyAlignment="1">
      <alignment wrapText="1"/>
    </xf>
    <xf numFmtId="3" fontId="29" fillId="0" borderId="0" xfId="6" applyNumberFormat="1" applyFont="1" applyFill="1"/>
    <xf numFmtId="165" fontId="30" fillId="0" borderId="0" xfId="7" applyNumberFormat="1" applyFont="1" applyFill="1" applyAlignment="1">
      <alignment horizontal="center"/>
    </xf>
    <xf numFmtId="0" fontId="29" fillId="0" borderId="0" xfId="6" applyFont="1"/>
    <xf numFmtId="0" fontId="21" fillId="0" borderId="0" xfId="6" applyFont="1" applyFill="1"/>
    <xf numFmtId="0" fontId="21" fillId="0" borderId="0" xfId="6" applyFont="1" applyFill="1" applyAlignment="1">
      <alignment wrapText="1"/>
    </xf>
    <xf numFmtId="3" fontId="21" fillId="0" borderId="0" xfId="6" applyNumberFormat="1" applyFont="1" applyFill="1"/>
    <xf numFmtId="0" fontId="21" fillId="0" borderId="0" xfId="6" applyFont="1"/>
    <xf numFmtId="0" fontId="20" fillId="0" borderId="0" xfId="6" applyFont="1"/>
    <xf numFmtId="0" fontId="20" fillId="0" borderId="0" xfId="6" applyFont="1" applyAlignment="1">
      <alignment wrapText="1"/>
    </xf>
    <xf numFmtId="3" fontId="20" fillId="0" borderId="0" xfId="6" applyNumberFormat="1" applyFont="1"/>
    <xf numFmtId="170" fontId="31" fillId="0" borderId="0" xfId="7" applyNumberFormat="1" applyFont="1"/>
    <xf numFmtId="165" fontId="32" fillId="2" borderId="0" xfId="7" applyNumberFormat="1" applyFont="1" applyFill="1" applyBorder="1" applyAlignment="1">
      <alignment horizontal="center" vertical="center"/>
    </xf>
    <xf numFmtId="165" fontId="32" fillId="2" borderId="0" xfId="7" applyNumberFormat="1" applyFont="1" applyFill="1" applyBorder="1" applyAlignment="1">
      <alignment vertical="center"/>
    </xf>
    <xf numFmtId="0" fontId="1" fillId="0" borderId="0" xfId="6" applyAlignment="1">
      <alignment wrapText="1"/>
    </xf>
    <xf numFmtId="0" fontId="1" fillId="0" borderId="0" xfId="6" applyAlignment="1">
      <alignment horizontal="center"/>
    </xf>
    <xf numFmtId="170" fontId="0" fillId="0" borderId="0" xfId="7" applyNumberFormat="1" applyFont="1"/>
    <xf numFmtId="165" fontId="33" fillId="2" borderId="0" xfId="7" applyNumberFormat="1" applyFont="1" applyFill="1" applyBorder="1" applyAlignment="1">
      <alignment horizontal="center" vertical="center"/>
    </xf>
    <xf numFmtId="165" fontId="33" fillId="2" borderId="0" xfId="7" applyNumberFormat="1" applyFont="1" applyFill="1" applyBorder="1" applyAlignment="1">
      <alignment vertical="center"/>
    </xf>
    <xf numFmtId="165" fontId="34" fillId="2" borderId="0" xfId="7" applyNumberFormat="1" applyFont="1" applyFill="1" applyBorder="1" applyAlignment="1">
      <alignment horizontal="center" vertical="center"/>
    </xf>
    <xf numFmtId="170" fontId="0" fillId="0" borderId="0" xfId="7" applyNumberFormat="1" applyFont="1" applyAlignment="1">
      <alignment horizontal="center"/>
    </xf>
    <xf numFmtId="165" fontId="0" fillId="0" borderId="0" xfId="7" applyNumberFormat="1" applyFont="1"/>
    <xf numFmtId="0" fontId="1" fillId="0" borderId="0" xfId="6" applyBorder="1"/>
    <xf numFmtId="0" fontId="27" fillId="0" borderId="0" xfId="8" applyAlignment="1">
      <alignment vertical="center"/>
    </xf>
    <xf numFmtId="0" fontId="35" fillId="0" borderId="0" xfId="8" applyFont="1"/>
    <xf numFmtId="0" fontId="27" fillId="0" borderId="0" xfId="8"/>
    <xf numFmtId="0" fontId="36" fillId="17" borderId="14" xfId="8" applyFont="1" applyFill="1" applyBorder="1"/>
    <xf numFmtId="0" fontId="36" fillId="17" borderId="14" xfId="8" applyFont="1" applyFill="1" applyBorder="1" applyAlignment="1">
      <alignment vertical="center" wrapText="1"/>
    </xf>
    <xf numFmtId="0" fontId="2" fillId="0" borderId="14" xfId="5" applyBorder="1" applyAlignment="1">
      <alignment horizontal="center" vertical="center" wrapText="1"/>
    </xf>
    <xf numFmtId="0" fontId="2" fillId="11" borderId="14" xfId="5" applyFill="1" applyBorder="1" applyAlignment="1">
      <alignment horizontal="center" vertical="center" wrapText="1"/>
    </xf>
    <xf numFmtId="0" fontId="2" fillId="0" borderId="14" xfId="5" applyBorder="1" applyAlignment="1">
      <alignment horizontal="center" vertical="center"/>
    </xf>
    <xf numFmtId="0" fontId="36" fillId="0" borderId="0" xfId="8" applyFont="1"/>
    <xf numFmtId="0" fontId="2" fillId="0" borderId="11" xfId="5" applyFont="1" applyBorder="1"/>
    <xf numFmtId="0" fontId="2" fillId="17" borderId="11" xfId="8" applyNumberFormat="1" applyFont="1" applyFill="1" applyBorder="1"/>
    <xf numFmtId="3" fontId="2" fillId="0" borderId="11" xfId="8" applyNumberFormat="1" applyFont="1" applyBorder="1"/>
    <xf numFmtId="0" fontId="2" fillId="0" borderId="0" xfId="8" applyFont="1"/>
    <xf numFmtId="0" fontId="2" fillId="0" borderId="0" xfId="8" applyFont="1" applyFill="1"/>
    <xf numFmtId="0" fontId="27" fillId="0" borderId="0" xfId="8" applyAlignment="1">
      <alignment vertical="top"/>
    </xf>
    <xf numFmtId="3" fontId="2" fillId="0" borderId="24" xfId="8" applyNumberFormat="1" applyFont="1" applyBorder="1"/>
    <xf numFmtId="0" fontId="36" fillId="0" borderId="17" xfId="5" applyFont="1" applyBorder="1" applyAlignment="1">
      <alignment vertical="center"/>
    </xf>
    <xf numFmtId="0" fontId="36" fillId="0" borderId="17" xfId="5" applyFont="1" applyBorder="1"/>
    <xf numFmtId="167" fontId="36" fillId="17" borderId="17" xfId="1" applyNumberFormat="1" applyFont="1" applyFill="1" applyBorder="1"/>
    <xf numFmtId="0" fontId="36" fillId="0" borderId="0" xfId="5" applyFont="1" applyBorder="1" applyAlignment="1">
      <alignment vertical="center"/>
    </xf>
    <xf numFmtId="0" fontId="36" fillId="0" borderId="0" xfId="5" applyFont="1" applyBorder="1"/>
    <xf numFmtId="1" fontId="36" fillId="0" borderId="0" xfId="8" applyNumberFormat="1" applyFont="1"/>
    <xf numFmtId="167" fontId="36" fillId="0" borderId="0" xfId="1" applyNumberFormat="1" applyFont="1"/>
    <xf numFmtId="3" fontId="2" fillId="0" borderId="23" xfId="8" applyNumberFormat="1" applyFont="1" applyBorder="1"/>
    <xf numFmtId="167" fontId="27" fillId="0" borderId="0" xfId="8" applyNumberFormat="1"/>
    <xf numFmtId="167" fontId="0" fillId="0" borderId="0" xfId="1" applyNumberFormat="1" applyFont="1"/>
    <xf numFmtId="43" fontId="27" fillId="0" borderId="0" xfId="8" applyNumberFormat="1"/>
    <xf numFmtId="3" fontId="27" fillId="0" borderId="0" xfId="8" applyNumberFormat="1"/>
    <xf numFmtId="167" fontId="2" fillId="17" borderId="11" xfId="1" applyNumberFormat="1" applyFont="1" applyFill="1" applyBorder="1"/>
    <xf numFmtId="167" fontId="2" fillId="0" borderId="11" xfId="1" applyNumberFormat="1" applyFont="1" applyFill="1" applyBorder="1"/>
    <xf numFmtId="41" fontId="8" fillId="7" borderId="11" xfId="2" applyFont="1" applyFill="1" applyBorder="1" applyAlignment="1">
      <alignment horizontal="center" vertical="center"/>
    </xf>
    <xf numFmtId="0" fontId="37" fillId="5" borderId="14"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167" fontId="8" fillId="3" borderId="11" xfId="1"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165" fontId="3" fillId="11" borderId="1" xfId="1" applyNumberFormat="1" applyFont="1" applyFill="1" applyBorder="1" applyAlignment="1">
      <alignment horizontal="center" vertical="center" wrapText="1"/>
    </xf>
    <xf numFmtId="165" fontId="3" fillId="11" borderId="10"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0" xfId="0" applyFont="1" applyFill="1" applyBorder="1" applyAlignment="1">
      <alignment horizontal="center" vertical="center" wrapText="1"/>
    </xf>
    <xf numFmtId="166" fontId="5" fillId="7" borderId="1" xfId="0" applyNumberFormat="1" applyFont="1" applyFill="1" applyBorder="1" applyAlignment="1">
      <alignment horizontal="center" vertical="center" wrapText="1"/>
    </xf>
    <xf numFmtId="166" fontId="5" fillId="7" borderId="10" xfId="0" applyNumberFormat="1" applyFont="1" applyFill="1" applyBorder="1" applyAlignment="1">
      <alignment horizontal="center" vertical="center" wrapText="1"/>
    </xf>
    <xf numFmtId="165" fontId="3" fillId="3" borderId="2" xfId="1" applyNumberFormat="1" applyFont="1" applyFill="1" applyBorder="1" applyAlignment="1">
      <alignment horizontal="center" vertical="center" wrapText="1"/>
    </xf>
    <xf numFmtId="165" fontId="3" fillId="3" borderId="11" xfId="1" applyNumberFormat="1" applyFont="1" applyFill="1" applyBorder="1" applyAlignment="1">
      <alignment horizontal="center" vertical="center" wrapText="1"/>
    </xf>
    <xf numFmtId="165" fontId="7" fillId="11" borderId="1" xfId="1" applyNumberFormat="1" applyFont="1" applyFill="1" applyBorder="1" applyAlignment="1">
      <alignment horizontal="center" vertical="center" wrapText="1"/>
    </xf>
    <xf numFmtId="165" fontId="7" fillId="11" borderId="10" xfId="1" applyNumberFormat="1" applyFont="1" applyFill="1" applyBorder="1" applyAlignment="1">
      <alignment horizontal="center" vertical="center" wrapText="1"/>
    </xf>
    <xf numFmtId="165" fontId="3" fillId="3" borderId="3" xfId="1" applyNumberFormat="1" applyFont="1" applyFill="1" applyBorder="1" applyAlignment="1">
      <alignment horizontal="center" vertical="center" wrapText="1"/>
    </xf>
    <xf numFmtId="165" fontId="3" fillId="3" borderId="10" xfId="1" applyNumberFormat="1" applyFont="1" applyFill="1" applyBorder="1" applyAlignment="1">
      <alignment horizontal="center" vertical="center" wrapText="1"/>
    </xf>
    <xf numFmtId="0" fontId="4" fillId="5" borderId="6"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166" fontId="5" fillId="6" borderId="1" xfId="0" applyNumberFormat="1" applyFont="1" applyFill="1" applyBorder="1" applyAlignment="1">
      <alignment horizontal="center" vertical="center" wrapText="1"/>
    </xf>
    <xf numFmtId="166" fontId="5" fillId="6" borderId="10" xfId="0" applyNumberFormat="1" applyFont="1" applyFill="1" applyBorder="1" applyAlignment="1">
      <alignment horizontal="center" vertical="center" wrapText="1"/>
    </xf>
    <xf numFmtId="166" fontId="5" fillId="5" borderId="1" xfId="0" applyNumberFormat="1" applyFont="1" applyFill="1" applyBorder="1" applyAlignment="1">
      <alignment horizontal="center" vertical="center" wrapText="1"/>
    </xf>
    <xf numFmtId="166" fontId="5" fillId="5" borderId="10" xfId="0" applyNumberFormat="1" applyFont="1" applyFill="1" applyBorder="1" applyAlignment="1">
      <alignment horizontal="center" vertical="center" wrapText="1"/>
    </xf>
    <xf numFmtId="166" fontId="3" fillId="5" borderId="1" xfId="0" applyNumberFormat="1" applyFont="1" applyFill="1" applyBorder="1" applyAlignment="1">
      <alignment horizontal="center" vertical="center" wrapText="1"/>
    </xf>
    <xf numFmtId="167" fontId="3" fillId="5" borderId="1" xfId="1" applyNumberFormat="1" applyFont="1" applyFill="1" applyBorder="1" applyAlignment="1">
      <alignment horizontal="center" vertical="center" wrapText="1"/>
    </xf>
    <xf numFmtId="167" fontId="3" fillId="5" borderId="10" xfId="1" applyNumberFormat="1" applyFont="1" applyFill="1" applyBorder="1" applyAlignment="1">
      <alignment horizontal="center" vertical="center" wrapText="1"/>
    </xf>
    <xf numFmtId="165" fontId="3" fillId="7" borderId="1" xfId="1" applyNumberFormat="1" applyFont="1" applyFill="1" applyBorder="1" applyAlignment="1">
      <alignment horizontal="center" vertical="center" wrapText="1"/>
    </xf>
    <xf numFmtId="165" fontId="3" fillId="7" borderId="10" xfId="1" applyNumberFormat="1" applyFont="1" applyFill="1" applyBorder="1" applyAlignment="1">
      <alignment horizontal="center" vertical="center" wrapText="1"/>
    </xf>
    <xf numFmtId="167" fontId="3" fillId="8" borderId="3" xfId="1" applyNumberFormat="1" applyFont="1" applyFill="1" applyBorder="1" applyAlignment="1">
      <alignment horizontal="center" vertical="center" wrapText="1"/>
    </xf>
    <xf numFmtId="167" fontId="3" fillId="8" borderId="7" xfId="1" applyNumberFormat="1" applyFont="1" applyFill="1" applyBorder="1" applyAlignment="1">
      <alignment horizontal="center" vertical="center" wrapText="1"/>
    </xf>
    <xf numFmtId="167" fontId="3" fillId="8" borderId="6" xfId="1" applyNumberFormat="1" applyFont="1" applyFill="1" applyBorder="1" applyAlignment="1">
      <alignment horizontal="center" vertical="center" wrapText="1"/>
    </xf>
    <xf numFmtId="165" fontId="3" fillId="5" borderId="1" xfId="1" applyNumberFormat="1" applyFont="1" applyFill="1" applyBorder="1" applyAlignment="1">
      <alignment horizontal="center" vertical="center" wrapText="1"/>
    </xf>
    <xf numFmtId="165" fontId="3" fillId="5" borderId="10" xfId="1" applyNumberFormat="1" applyFont="1" applyFill="1" applyBorder="1" applyAlignment="1">
      <alignment horizontal="center" vertical="center" wrapText="1"/>
    </xf>
    <xf numFmtId="43" fontId="4" fillId="5" borderId="8" xfId="1" applyNumberFormat="1" applyFont="1" applyFill="1" applyBorder="1" applyAlignment="1">
      <alignment horizontal="center" vertical="center" wrapText="1"/>
    </xf>
    <xf numFmtId="43" fontId="4" fillId="5" borderId="9" xfId="1"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10" xfId="0" applyFont="1" applyFill="1" applyBorder="1" applyAlignment="1">
      <alignment horizontal="center" vertical="center" wrapText="1"/>
    </xf>
    <xf numFmtId="165" fontId="3" fillId="9" borderId="1" xfId="1" applyNumberFormat="1" applyFont="1" applyFill="1" applyBorder="1" applyAlignment="1">
      <alignment horizontal="center" vertical="center" wrapText="1"/>
    </xf>
    <xf numFmtId="165" fontId="3" fillId="9" borderId="10" xfId="1" applyNumberFormat="1" applyFont="1" applyFill="1" applyBorder="1" applyAlignment="1">
      <alignment horizontal="center" vertical="center" wrapText="1"/>
    </xf>
    <xf numFmtId="167" fontId="3" fillId="10" borderId="1" xfId="1" applyNumberFormat="1" applyFont="1" applyFill="1" applyBorder="1" applyAlignment="1">
      <alignment horizontal="center" vertical="center" wrapText="1"/>
    </xf>
    <xf numFmtId="167" fontId="3" fillId="10" borderId="10" xfId="1"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0" xfId="0" applyFont="1" applyFill="1" applyBorder="1" applyAlignment="1">
      <alignment horizontal="center" vertical="center" wrapText="1"/>
    </xf>
    <xf numFmtId="168" fontId="3" fillId="2" borderId="12" xfId="0" applyNumberFormat="1" applyFont="1" applyFill="1" applyBorder="1" applyAlignment="1">
      <alignment horizontal="center" vertical="center" wrapText="1"/>
    </xf>
    <xf numFmtId="168" fontId="3" fillId="2" borderId="14" xfId="0" applyNumberFormat="1" applyFont="1" applyFill="1" applyBorder="1" applyAlignment="1">
      <alignment horizontal="center" vertical="center" wrapText="1"/>
    </xf>
    <xf numFmtId="0" fontId="3" fillId="2" borderId="12" xfId="0" applyFont="1" applyFill="1" applyBorder="1" applyAlignment="1">
      <alignment horizontal="center" vertical="center" wrapText="1"/>
    </xf>
    <xf numFmtId="167" fontId="7" fillId="2" borderId="12" xfId="1" applyNumberFormat="1" applyFont="1" applyFill="1" applyBorder="1" applyAlignment="1">
      <alignment horizontal="center" vertical="center" wrapText="1"/>
    </xf>
    <xf numFmtId="167" fontId="7" fillId="2" borderId="14" xfId="1" applyNumberFormat="1" applyFont="1" applyFill="1" applyBorder="1" applyAlignment="1">
      <alignment horizontal="center" vertical="center" wrapText="1"/>
    </xf>
    <xf numFmtId="0" fontId="3" fillId="2" borderId="12"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0" fontId="7" fillId="16" borderId="12" xfId="0" applyFont="1" applyFill="1" applyBorder="1" applyAlignment="1">
      <alignment horizontal="center" vertical="center" wrapText="1"/>
    </xf>
    <xf numFmtId="0" fontId="7" fillId="16" borderId="14" xfId="0" applyFont="1" applyFill="1" applyBorder="1" applyAlignment="1">
      <alignment horizontal="center" vertical="center" wrapText="1"/>
    </xf>
    <xf numFmtId="14" fontId="7" fillId="2" borderId="12" xfId="0" quotePrefix="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4" fillId="5" borderId="15" xfId="0" applyNumberFormat="1" applyFont="1" applyFill="1" applyBorder="1" applyAlignment="1">
      <alignment horizontal="center" vertical="center" wrapText="1"/>
    </xf>
    <xf numFmtId="0" fontId="4" fillId="5" borderId="16" xfId="0" applyNumberFormat="1" applyFont="1" applyFill="1" applyBorder="1" applyAlignment="1">
      <alignment horizontal="center" vertical="center" wrapText="1"/>
    </xf>
    <xf numFmtId="0" fontId="4" fillId="5" borderId="2" xfId="0" applyNumberFormat="1" applyFont="1" applyFill="1" applyBorder="1" applyAlignment="1">
      <alignment horizontal="center" vertical="center" wrapText="1"/>
    </xf>
    <xf numFmtId="0" fontId="4" fillId="5" borderId="13" xfId="0" applyNumberFormat="1" applyFont="1" applyFill="1" applyBorder="1" applyAlignment="1">
      <alignment horizontal="center" vertical="center" wrapText="1"/>
    </xf>
    <xf numFmtId="165" fontId="33" fillId="2" borderId="0" xfId="7" applyNumberFormat="1" applyFont="1" applyFill="1" applyBorder="1" applyAlignment="1">
      <alignment horizontal="center" vertical="center"/>
    </xf>
    <xf numFmtId="165" fontId="34" fillId="2" borderId="0" xfId="7" applyNumberFormat="1" applyFont="1" applyFill="1" applyBorder="1" applyAlignment="1">
      <alignment horizontal="center" vertical="center"/>
    </xf>
    <xf numFmtId="0" fontId="25" fillId="0" borderId="20" xfId="6" applyFont="1" applyFill="1" applyBorder="1" applyAlignment="1">
      <alignment horizontal="center" vertical="center" wrapText="1"/>
    </xf>
    <xf numFmtId="0" fontId="25" fillId="0" borderId="11" xfId="6" applyFont="1" applyFill="1" applyBorder="1" applyAlignment="1">
      <alignment horizontal="center" vertical="center" wrapText="1"/>
    </xf>
    <xf numFmtId="0" fontId="25" fillId="0" borderId="19" xfId="6" applyFont="1" applyFill="1" applyBorder="1" applyAlignment="1">
      <alignment horizontal="center" vertical="center" wrapText="1"/>
    </xf>
    <xf numFmtId="0" fontId="25" fillId="0" borderId="21" xfId="6" applyFont="1" applyFill="1" applyBorder="1" applyAlignment="1">
      <alignment horizontal="center" vertical="center" wrapText="1"/>
    </xf>
    <xf numFmtId="0" fontId="25" fillId="0" borderId="22" xfId="6" applyFont="1" applyFill="1" applyBorder="1" applyAlignment="1">
      <alignment horizontal="center" vertical="center" wrapText="1"/>
    </xf>
    <xf numFmtId="0" fontId="25" fillId="0" borderId="17" xfId="6" applyFont="1" applyFill="1" applyBorder="1" applyAlignment="1">
      <alignment horizontal="center" vertical="center"/>
    </xf>
    <xf numFmtId="165" fontId="32" fillId="2" borderId="0" xfId="7" applyNumberFormat="1" applyFont="1" applyFill="1" applyBorder="1" applyAlignment="1">
      <alignment horizontal="center" vertical="center"/>
    </xf>
    <xf numFmtId="0" fontId="25" fillId="0" borderId="10" xfId="6" applyFont="1" applyFill="1" applyBorder="1" applyAlignment="1">
      <alignment horizontal="center" vertical="center" wrapText="1"/>
    </xf>
    <xf numFmtId="0" fontId="25" fillId="11" borderId="20" xfId="6" applyFont="1" applyFill="1" applyBorder="1" applyAlignment="1">
      <alignment horizontal="center" vertical="center" wrapText="1"/>
    </xf>
    <xf numFmtId="0" fontId="25" fillId="11" borderId="11" xfId="6" applyFont="1" applyFill="1" applyBorder="1" applyAlignment="1">
      <alignment horizontal="center" vertical="center" wrapText="1"/>
    </xf>
    <xf numFmtId="170" fontId="25" fillId="0" borderId="19" xfId="7" applyNumberFormat="1" applyFont="1" applyFill="1" applyBorder="1" applyAlignment="1">
      <alignment horizontal="center" vertical="center" wrapText="1"/>
    </xf>
    <xf numFmtId="170" fontId="25" fillId="0" borderId="10" xfId="7" applyNumberFormat="1" applyFont="1" applyFill="1" applyBorder="1" applyAlignment="1">
      <alignment horizontal="center" vertical="center" wrapText="1"/>
    </xf>
    <xf numFmtId="165" fontId="25" fillId="0" borderId="19" xfId="7" applyNumberFormat="1" applyFont="1" applyFill="1" applyBorder="1" applyAlignment="1">
      <alignment horizontal="center" vertical="center" wrapText="1"/>
    </xf>
    <xf numFmtId="165" fontId="25" fillId="0" borderId="10" xfId="7" applyNumberFormat="1" applyFont="1" applyFill="1" applyBorder="1" applyAlignment="1">
      <alignment horizontal="center" vertical="center" wrapText="1"/>
    </xf>
    <xf numFmtId="165" fontId="25" fillId="0" borderId="20" xfId="7" applyNumberFormat="1" applyFont="1" applyFill="1" applyBorder="1" applyAlignment="1">
      <alignment horizontal="center" vertical="center" wrapText="1"/>
    </xf>
    <xf numFmtId="165" fontId="25" fillId="0" borderId="11" xfId="7" applyNumberFormat="1" applyFont="1" applyFill="1" applyBorder="1" applyAlignment="1">
      <alignment horizontal="center" vertical="center" wrapText="1"/>
    </xf>
    <xf numFmtId="0" fontId="23" fillId="0" borderId="0" xfId="6" applyFont="1" applyFill="1" applyAlignment="1">
      <alignment horizontal="left" wrapText="1"/>
    </xf>
    <xf numFmtId="0" fontId="24" fillId="0" borderId="0" xfId="6" applyFont="1" applyFill="1" applyAlignment="1">
      <alignment horizontal="center" vertical="center" wrapText="1"/>
    </xf>
    <xf numFmtId="171" fontId="25" fillId="0" borderId="19" xfId="6" applyNumberFormat="1" applyFont="1" applyFill="1" applyBorder="1" applyAlignment="1">
      <alignment horizontal="center" vertical="center" wrapText="1"/>
    </xf>
    <xf numFmtId="171" fontId="25" fillId="0" borderId="10" xfId="6" applyNumberFormat="1" applyFont="1" applyFill="1" applyBorder="1" applyAlignment="1">
      <alignment horizontal="center" vertical="center" wrapText="1"/>
    </xf>
    <xf numFmtId="0" fontId="2" fillId="0" borderId="14" xfId="5" applyBorder="1" applyAlignment="1">
      <alignment horizontal="center" vertical="center" wrapText="1"/>
    </xf>
    <xf numFmtId="0" fontId="2" fillId="0" borderId="14" xfId="5" applyBorder="1" applyAlignment="1">
      <alignment horizontal="center" vertical="center"/>
    </xf>
    <xf numFmtId="0" fontId="11" fillId="0" borderId="25" xfId="0" applyFont="1" applyFill="1" applyBorder="1" applyAlignment="1">
      <alignment horizontal="center" vertical="center"/>
    </xf>
    <xf numFmtId="0" fontId="11" fillId="0" borderId="24" xfId="0" applyFont="1" applyFill="1" applyBorder="1" applyAlignment="1">
      <alignment horizontal="center" vertical="center"/>
    </xf>
    <xf numFmtId="0" fontId="11" fillId="0" borderId="26" xfId="0" applyFont="1" applyFill="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cellXfs>
  <cellStyles count="9">
    <cellStyle name="Comma" xfId="1" builtinId="3"/>
    <cellStyle name="Comma [0]" xfId="2" builtinId="6"/>
    <cellStyle name="Comma 2 3" xfId="3"/>
    <cellStyle name="Comma 5 3" xfId="7"/>
    <cellStyle name="Normal" xfId="0" builtinId="0"/>
    <cellStyle name="Normal 2" xfId="5"/>
    <cellStyle name="Normal 3" xfId="8"/>
    <cellStyle name="Normal 3 9" xfId="6"/>
    <cellStyle name="Normal 41" xfId="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1</xdr:rowOff>
    </xdr:from>
    <xdr:ext cx="529505" cy="61912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9525</xdr:colOff>
      <xdr:row>0</xdr:row>
      <xdr:rowOff>1</xdr:rowOff>
    </xdr:from>
    <xdr:ext cx="529505" cy="619125"/>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144256</xdr:colOff>
      <xdr:row>14</xdr:row>
      <xdr:rowOff>105106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897856" cy="2372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I17"/>
  <sheetViews>
    <sheetView showGridLines="0" tabSelected="1" zoomScaleNormal="100" zoomScaleSheetLayoutView="100" workbookViewId="0">
      <pane xSplit="9" ySplit="2" topLeftCell="J3" activePane="bottomRight" state="frozen"/>
      <selection pane="topRight" activeCell="J1" sqref="J1"/>
      <selection pane="bottomLeft" activeCell="A3" sqref="A3"/>
      <selection pane="bottomRight" activeCell="G5" sqref="G5"/>
    </sheetView>
  </sheetViews>
  <sheetFormatPr defaultColWidth="9.140625" defaultRowHeight="34.5" customHeight="1"/>
  <cols>
    <col min="1" max="1" width="5.42578125" style="10" customWidth="1"/>
    <col min="2" max="3" width="11.140625" style="8" customWidth="1"/>
    <col min="4" max="4" width="11.140625" style="10" customWidth="1"/>
    <col min="5" max="5" width="6.85546875" style="8" customWidth="1"/>
    <col min="6" max="6" width="23.42578125" style="11" customWidth="1"/>
    <col min="7" max="7" width="31.5703125" style="13" customWidth="1"/>
    <col min="8" max="8" width="17.140625" style="14" customWidth="1"/>
    <col min="9" max="9" width="11.5703125" style="16" customWidth="1"/>
    <col min="10" max="10" width="17.28515625" style="15" customWidth="1"/>
    <col min="11" max="11" width="13.7109375" style="15" customWidth="1"/>
    <col min="12" max="15" width="11" style="15" customWidth="1"/>
    <col min="16" max="17" width="11.5703125" style="17" customWidth="1"/>
    <col min="18" max="18" width="11.140625" style="18" customWidth="1"/>
    <col min="19" max="19" width="9.5703125" style="19" customWidth="1"/>
    <col min="20" max="20" width="10" style="20" customWidth="1"/>
    <col min="21" max="21" width="12.85546875" style="20" customWidth="1"/>
    <col min="22" max="22" width="13.7109375" style="20" customWidth="1"/>
    <col min="23" max="23" width="7.7109375" style="21" customWidth="1"/>
    <col min="24" max="24" width="8.140625" style="21" customWidth="1"/>
    <col min="25" max="25" width="8.28515625" style="21" customWidth="1"/>
    <col min="26" max="26" width="12.85546875" style="20" customWidth="1"/>
    <col min="27" max="28" width="13.42578125" style="20" customWidth="1"/>
    <col min="29" max="30" width="7.85546875" style="20" customWidth="1"/>
    <col min="31" max="32" width="6.140625" style="20" customWidth="1"/>
    <col min="33" max="33" width="10.42578125" style="20" customWidth="1"/>
    <col min="34" max="34" width="6.140625" style="20" customWidth="1"/>
    <col min="35" max="35" width="11.85546875" style="22" customWidth="1"/>
    <col min="36" max="36" width="8.85546875" style="8" customWidth="1"/>
    <col min="37" max="37" width="7.85546875" style="8" customWidth="1"/>
    <col min="38" max="39" width="7.7109375" style="8" customWidth="1"/>
    <col min="40" max="40" width="7.85546875" style="8" customWidth="1"/>
    <col min="41" max="41" width="9.28515625" style="8" customWidth="1"/>
    <col min="42" max="42" width="12.85546875" style="23" customWidth="1"/>
    <col min="43" max="44" width="11.7109375" style="23" customWidth="1"/>
    <col min="45" max="45" width="12.85546875" style="23" customWidth="1"/>
    <col min="46" max="47" width="7.85546875" style="23" customWidth="1"/>
    <col min="48" max="48" width="12.85546875" style="23" customWidth="1"/>
    <col min="49" max="50" width="7.85546875" style="20" customWidth="1"/>
    <col min="51" max="54" width="6.140625" style="20" customWidth="1"/>
    <col min="55" max="55" width="11.85546875" style="22" customWidth="1"/>
    <col min="56" max="56" width="8.85546875" style="8" customWidth="1"/>
    <col min="57" max="57" width="7.85546875" style="8" customWidth="1"/>
    <col min="58" max="59" width="7.7109375" style="8" customWidth="1"/>
    <col min="60" max="60" width="7.85546875" style="8" customWidth="1"/>
    <col min="61" max="61" width="9.28515625" style="8" customWidth="1"/>
    <col min="62" max="62" width="12.85546875" style="23" customWidth="1"/>
    <col min="63" max="66" width="8.7109375" style="24" customWidth="1"/>
    <col min="67" max="67" width="12" style="24" customWidth="1"/>
    <col min="68" max="68" width="7.85546875" style="23" customWidth="1"/>
    <col min="69" max="71" width="10.42578125" style="15" customWidth="1"/>
    <col min="72" max="72" width="11.140625" style="15" customWidth="1"/>
    <col min="73" max="81" width="12.140625" style="15" customWidth="1"/>
    <col min="82" max="82" width="8.5703125" style="8" customWidth="1"/>
    <col min="83" max="83" width="8.85546875" style="8" customWidth="1"/>
    <col min="84" max="84" width="11.28515625" style="8" customWidth="1"/>
    <col min="85" max="85" width="8.7109375" style="8" customWidth="1"/>
    <col min="86" max="86" width="11.5703125" style="8" customWidth="1"/>
    <col min="87" max="87" width="13.5703125" style="8" customWidth="1"/>
    <col min="88" max="88" width="13.140625" style="23" bestFit="1" customWidth="1"/>
    <col min="89" max="89" width="13.5703125" style="10" customWidth="1"/>
    <col min="90" max="90" width="13.5703125" style="8" customWidth="1"/>
    <col min="91" max="91" width="14.28515625" style="8" customWidth="1"/>
    <col min="92" max="100" width="13.5703125" style="8" customWidth="1"/>
    <col min="101" max="101" width="18.28515625" style="8" customWidth="1"/>
    <col min="102" max="102" width="14.140625" style="26" customWidth="1"/>
    <col min="103" max="103" width="13.7109375" style="12" customWidth="1"/>
    <col min="104" max="104" width="13.42578125" style="8" customWidth="1"/>
    <col min="105" max="105" width="10.42578125" style="8" customWidth="1"/>
    <col min="106" max="106" width="15.28515625" style="8" customWidth="1"/>
    <col min="107" max="107" width="13.42578125" style="8" customWidth="1"/>
    <col min="108" max="108" width="13.42578125" style="23" customWidth="1"/>
    <col min="109" max="109" width="15.7109375" style="8" customWidth="1"/>
    <col min="110" max="110" width="23.28515625" style="10" customWidth="1"/>
    <col min="111" max="111" width="15.85546875" style="8" customWidth="1"/>
    <col min="112" max="112" width="12.85546875" style="8" customWidth="1"/>
    <col min="113" max="113" width="14.85546875" style="25" customWidth="1"/>
    <col min="114" max="119" width="14.85546875" style="8" customWidth="1"/>
    <col min="120" max="121" width="13.5703125" style="8" customWidth="1"/>
    <col min="122" max="122" width="9.140625" style="8" customWidth="1"/>
    <col min="123" max="123" width="17.42578125" style="8" bestFit="1" customWidth="1"/>
    <col min="124" max="124" width="15.140625" style="8" customWidth="1"/>
    <col min="125" max="125" width="11.5703125" style="8" customWidth="1"/>
    <col min="126" max="126" width="14.140625" style="8" customWidth="1"/>
    <col min="127" max="127" width="12.5703125" style="8" customWidth="1"/>
    <col min="128" max="128" width="12.85546875" style="8" bestFit="1" customWidth="1"/>
    <col min="129" max="130" width="12.85546875" style="8" customWidth="1"/>
    <col min="131" max="131" width="13.85546875" style="8" bestFit="1" customWidth="1"/>
    <col min="132" max="132" width="11.42578125" style="8" bestFit="1" customWidth="1"/>
    <col min="133" max="133" width="12.85546875" style="8" bestFit="1" customWidth="1"/>
    <col min="134" max="134" width="10.5703125" style="8" customWidth="1"/>
    <col min="135" max="135" width="16.140625" style="8" customWidth="1"/>
    <col min="136" max="136" width="15.7109375" style="8" bestFit="1" customWidth="1"/>
    <col min="137" max="137" width="10.28515625" style="8" bestFit="1" customWidth="1"/>
    <col min="138" max="138" width="14" style="8" bestFit="1" customWidth="1"/>
    <col min="139" max="16384" width="9.140625" style="8"/>
  </cols>
  <sheetData>
    <row r="1" spans="1:139" s="3" customFormat="1" ht="46.5" customHeight="1">
      <c r="A1" s="142" t="s">
        <v>0</v>
      </c>
      <c r="B1" s="144" t="s">
        <v>1</v>
      </c>
      <c r="C1" s="144" t="s">
        <v>240</v>
      </c>
      <c r="D1" s="144" t="s">
        <v>2</v>
      </c>
      <c r="E1" s="144" t="s">
        <v>3</v>
      </c>
      <c r="F1" s="144" t="s">
        <v>4</v>
      </c>
      <c r="G1" s="146" t="s">
        <v>5</v>
      </c>
      <c r="H1" s="144" t="s">
        <v>6</v>
      </c>
      <c r="I1" s="148" t="s">
        <v>7</v>
      </c>
      <c r="J1" s="150" t="s">
        <v>8</v>
      </c>
      <c r="K1" s="150" t="s">
        <v>9</v>
      </c>
      <c r="L1" s="140" t="s">
        <v>10</v>
      </c>
      <c r="M1" s="154" t="s">
        <v>11</v>
      </c>
      <c r="N1" s="156" t="s">
        <v>12</v>
      </c>
      <c r="O1" s="158" t="s">
        <v>13</v>
      </c>
      <c r="P1" s="1">
        <v>44958</v>
      </c>
      <c r="Q1" s="2">
        <v>44985</v>
      </c>
      <c r="R1" s="160" t="s">
        <v>14</v>
      </c>
      <c r="S1" s="162" t="s">
        <v>15</v>
      </c>
      <c r="T1" s="162" t="s">
        <v>16</v>
      </c>
      <c r="U1" s="152" t="s">
        <v>17</v>
      </c>
      <c r="V1" s="152" t="s">
        <v>18</v>
      </c>
      <c r="W1" s="164" t="s">
        <v>19</v>
      </c>
      <c r="X1" s="164" t="s">
        <v>20</v>
      </c>
      <c r="Y1" s="164" t="s">
        <v>21</v>
      </c>
      <c r="Z1" s="152" t="s">
        <v>22</v>
      </c>
      <c r="AA1" s="152" t="s">
        <v>23</v>
      </c>
      <c r="AB1" s="152" t="s">
        <v>24</v>
      </c>
      <c r="AC1" s="166" t="s">
        <v>25</v>
      </c>
      <c r="AD1" s="166"/>
      <c r="AE1" s="166"/>
      <c r="AF1" s="166"/>
      <c r="AG1" s="166"/>
      <c r="AH1" s="166"/>
      <c r="AI1" s="166" t="s">
        <v>26</v>
      </c>
      <c r="AJ1" s="166"/>
      <c r="AK1" s="166"/>
      <c r="AL1" s="166"/>
      <c r="AM1" s="166"/>
      <c r="AN1" s="166"/>
      <c r="AO1" s="152" t="s">
        <v>27</v>
      </c>
      <c r="AP1" s="152" t="s">
        <v>28</v>
      </c>
      <c r="AQ1" s="167" t="s">
        <v>29</v>
      </c>
      <c r="AR1" s="167" t="s">
        <v>30</v>
      </c>
      <c r="AS1" s="152" t="s">
        <v>31</v>
      </c>
      <c r="AT1" s="167" t="s">
        <v>32</v>
      </c>
      <c r="AU1" s="167" t="s">
        <v>33</v>
      </c>
      <c r="AV1" s="152" t="s">
        <v>34</v>
      </c>
      <c r="AW1" s="166" t="s">
        <v>35</v>
      </c>
      <c r="AX1" s="166"/>
      <c r="AY1" s="166"/>
      <c r="AZ1" s="166"/>
      <c r="BA1" s="166"/>
      <c r="BB1" s="166"/>
      <c r="BC1" s="166" t="s">
        <v>36</v>
      </c>
      <c r="BD1" s="166"/>
      <c r="BE1" s="166"/>
      <c r="BF1" s="166"/>
      <c r="BG1" s="166"/>
      <c r="BH1" s="166"/>
      <c r="BI1" s="152" t="s">
        <v>37</v>
      </c>
      <c r="BJ1" s="152" t="s">
        <v>38</v>
      </c>
      <c r="BK1" s="171" t="s">
        <v>39</v>
      </c>
      <c r="BL1" s="172"/>
      <c r="BM1" s="172"/>
      <c r="BN1" s="172"/>
      <c r="BO1" s="173"/>
      <c r="BP1" s="167" t="s">
        <v>40</v>
      </c>
      <c r="BQ1" s="174" t="s">
        <v>41</v>
      </c>
      <c r="BR1" s="176" t="s">
        <v>42</v>
      </c>
      <c r="BS1" s="177"/>
      <c r="BT1" s="169" t="s">
        <v>43</v>
      </c>
      <c r="BU1" s="169" t="s">
        <v>44</v>
      </c>
      <c r="BV1" s="169" t="s">
        <v>45</v>
      </c>
      <c r="BW1" s="169" t="s">
        <v>46</v>
      </c>
      <c r="BX1" s="169" t="s">
        <v>47</v>
      </c>
      <c r="BY1" s="169" t="s">
        <v>48</v>
      </c>
      <c r="BZ1" s="180" t="s">
        <v>49</v>
      </c>
      <c r="CA1" s="180" t="s">
        <v>50</v>
      </c>
      <c r="CB1" s="180" t="s">
        <v>51</v>
      </c>
      <c r="CC1" s="182" t="s">
        <v>52</v>
      </c>
      <c r="CD1" s="180" t="s">
        <v>244</v>
      </c>
      <c r="CE1" s="184" t="s">
        <v>53</v>
      </c>
      <c r="CF1" s="184" t="s">
        <v>54</v>
      </c>
      <c r="CG1" s="184" t="s">
        <v>55</v>
      </c>
      <c r="CH1" s="186" t="s">
        <v>56</v>
      </c>
      <c r="CI1" s="178" t="s">
        <v>57</v>
      </c>
      <c r="CJ1" s="184" t="s">
        <v>58</v>
      </c>
      <c r="CK1" s="144" t="s">
        <v>59</v>
      </c>
      <c r="CL1" s="186" t="s">
        <v>60</v>
      </c>
      <c r="CM1" s="186" t="s">
        <v>61</v>
      </c>
      <c r="CN1" s="188" t="s">
        <v>62</v>
      </c>
      <c r="CO1" s="186" t="s">
        <v>63</v>
      </c>
      <c r="CP1" s="188" t="s">
        <v>110</v>
      </c>
      <c r="CQ1" s="186" t="s">
        <v>64</v>
      </c>
      <c r="CR1" s="190" t="s">
        <v>65</v>
      </c>
      <c r="CS1" s="192" t="s">
        <v>66</v>
      </c>
      <c r="CT1" s="186" t="s">
        <v>67</v>
      </c>
      <c r="CU1" s="186" t="s">
        <v>68</v>
      </c>
      <c r="CV1" s="186" t="s">
        <v>69</v>
      </c>
      <c r="CW1" s="195" t="s">
        <v>70</v>
      </c>
      <c r="CX1" s="197" t="s">
        <v>71</v>
      </c>
      <c r="CY1" s="199" t="s">
        <v>111</v>
      </c>
      <c r="CZ1" s="194" t="s">
        <v>72</v>
      </c>
      <c r="DA1" s="194"/>
      <c r="DB1" s="194"/>
      <c r="DC1" s="194"/>
      <c r="DD1" s="200" t="s">
        <v>48</v>
      </c>
      <c r="DE1" s="202" t="s">
        <v>73</v>
      </c>
      <c r="DF1" s="204" t="s">
        <v>74</v>
      </c>
      <c r="DG1" s="206">
        <v>44958</v>
      </c>
      <c r="DH1" s="206"/>
      <c r="DI1" s="194" t="s">
        <v>75</v>
      </c>
      <c r="DJ1" s="194"/>
      <c r="DK1" s="194"/>
      <c r="DL1" s="194"/>
      <c r="DM1" s="194"/>
      <c r="DN1" s="194"/>
      <c r="DO1" s="194"/>
      <c r="DP1" s="194" t="s">
        <v>76</v>
      </c>
      <c r="DQ1" s="194"/>
      <c r="DR1" s="194" t="s">
        <v>77</v>
      </c>
      <c r="DS1" s="194"/>
      <c r="DT1" s="194" t="s">
        <v>78</v>
      </c>
      <c r="DU1" s="208" t="s">
        <v>241</v>
      </c>
      <c r="DV1" s="209"/>
      <c r="DW1" s="210" t="s">
        <v>112</v>
      </c>
      <c r="DX1" s="194" t="s">
        <v>79</v>
      </c>
      <c r="DY1" s="194"/>
      <c r="DZ1" s="194"/>
      <c r="EA1" s="194" t="s">
        <v>80</v>
      </c>
      <c r="EB1" s="194"/>
      <c r="EC1" s="194"/>
      <c r="ED1" s="207" t="s">
        <v>81</v>
      </c>
      <c r="EE1" s="139" t="s">
        <v>244</v>
      </c>
      <c r="EF1" s="139"/>
      <c r="EG1" s="139"/>
      <c r="EH1" s="139"/>
    </row>
    <row r="2" spans="1:139" s="3" customFormat="1" ht="92.25" customHeight="1">
      <c r="A2" s="143"/>
      <c r="B2" s="145"/>
      <c r="C2" s="145"/>
      <c r="D2" s="145"/>
      <c r="E2" s="145"/>
      <c r="F2" s="145"/>
      <c r="G2" s="147"/>
      <c r="H2" s="145"/>
      <c r="I2" s="149"/>
      <c r="J2" s="151"/>
      <c r="K2" s="151"/>
      <c r="L2" s="141"/>
      <c r="M2" s="155"/>
      <c r="N2" s="157"/>
      <c r="O2" s="159"/>
      <c r="P2" s="4" t="s">
        <v>82</v>
      </c>
      <c r="Q2" s="4" t="s">
        <v>83</v>
      </c>
      <c r="R2" s="161"/>
      <c r="S2" s="163"/>
      <c r="T2" s="163"/>
      <c r="U2" s="153"/>
      <c r="V2" s="153"/>
      <c r="W2" s="165"/>
      <c r="X2" s="165"/>
      <c r="Y2" s="165"/>
      <c r="Z2" s="153"/>
      <c r="AA2" s="153"/>
      <c r="AB2" s="153"/>
      <c r="AC2" s="5">
        <v>1.5</v>
      </c>
      <c r="AD2" s="5">
        <v>2</v>
      </c>
      <c r="AE2" s="5">
        <v>2.1</v>
      </c>
      <c r="AF2" s="5">
        <v>2.7</v>
      </c>
      <c r="AG2" s="5">
        <v>3</v>
      </c>
      <c r="AH2" s="5">
        <v>3.9</v>
      </c>
      <c r="AI2" s="5">
        <v>1.5</v>
      </c>
      <c r="AJ2" s="5">
        <v>2</v>
      </c>
      <c r="AK2" s="5">
        <v>2.1</v>
      </c>
      <c r="AL2" s="5">
        <v>2.7</v>
      </c>
      <c r="AM2" s="5">
        <v>3</v>
      </c>
      <c r="AN2" s="5">
        <v>3.9</v>
      </c>
      <c r="AO2" s="153"/>
      <c r="AP2" s="153"/>
      <c r="AQ2" s="168"/>
      <c r="AR2" s="168"/>
      <c r="AS2" s="153"/>
      <c r="AT2" s="168"/>
      <c r="AU2" s="168"/>
      <c r="AV2" s="153"/>
      <c r="AW2" s="5">
        <v>1.5</v>
      </c>
      <c r="AX2" s="5">
        <v>2</v>
      </c>
      <c r="AY2" s="5">
        <v>2</v>
      </c>
      <c r="AZ2" s="5">
        <v>2.7</v>
      </c>
      <c r="BA2" s="5">
        <v>3</v>
      </c>
      <c r="BB2" s="5">
        <v>3.9</v>
      </c>
      <c r="BC2" s="5">
        <v>1.5</v>
      </c>
      <c r="BD2" s="5">
        <v>2</v>
      </c>
      <c r="BE2" s="5">
        <v>2</v>
      </c>
      <c r="BF2" s="5">
        <v>2.7</v>
      </c>
      <c r="BG2" s="5">
        <v>3</v>
      </c>
      <c r="BH2" s="5">
        <v>3.9</v>
      </c>
      <c r="BI2" s="153"/>
      <c r="BJ2" s="153"/>
      <c r="BK2" s="6" t="s">
        <v>84</v>
      </c>
      <c r="BL2" s="6" t="s">
        <v>85</v>
      </c>
      <c r="BM2" s="6" t="s">
        <v>86</v>
      </c>
      <c r="BN2" s="6" t="s">
        <v>87</v>
      </c>
      <c r="BO2" s="7" t="s">
        <v>88</v>
      </c>
      <c r="BP2" s="168"/>
      <c r="BQ2" s="175"/>
      <c r="BR2" s="64" t="s">
        <v>114</v>
      </c>
      <c r="BS2" s="64" t="s">
        <v>115</v>
      </c>
      <c r="BT2" s="170"/>
      <c r="BU2" s="170"/>
      <c r="BV2" s="170"/>
      <c r="BW2" s="170"/>
      <c r="BX2" s="170"/>
      <c r="BY2" s="170"/>
      <c r="BZ2" s="181"/>
      <c r="CA2" s="181"/>
      <c r="CB2" s="181"/>
      <c r="CC2" s="183"/>
      <c r="CD2" s="181"/>
      <c r="CE2" s="185"/>
      <c r="CF2" s="185"/>
      <c r="CG2" s="185"/>
      <c r="CH2" s="187"/>
      <c r="CI2" s="179"/>
      <c r="CJ2" s="185"/>
      <c r="CK2" s="145"/>
      <c r="CL2" s="187"/>
      <c r="CM2" s="187"/>
      <c r="CN2" s="189"/>
      <c r="CO2" s="187"/>
      <c r="CP2" s="189"/>
      <c r="CQ2" s="187"/>
      <c r="CR2" s="191"/>
      <c r="CS2" s="193"/>
      <c r="CT2" s="187"/>
      <c r="CU2" s="187"/>
      <c r="CV2" s="187"/>
      <c r="CW2" s="196"/>
      <c r="CX2" s="198"/>
      <c r="CY2" s="139"/>
      <c r="CZ2" s="28" t="s">
        <v>89</v>
      </c>
      <c r="DA2" s="28" t="s">
        <v>90</v>
      </c>
      <c r="DB2" s="28" t="s">
        <v>91</v>
      </c>
      <c r="DC2" s="28" t="s">
        <v>92</v>
      </c>
      <c r="DD2" s="201"/>
      <c r="DE2" s="203"/>
      <c r="DF2" s="205"/>
      <c r="DG2" s="29" t="s">
        <v>93</v>
      </c>
      <c r="DH2" s="29" t="s">
        <v>94</v>
      </c>
      <c r="DI2" s="30" t="s">
        <v>95</v>
      </c>
      <c r="DJ2" s="30" t="s">
        <v>96</v>
      </c>
      <c r="DK2" s="30" t="s">
        <v>97</v>
      </c>
      <c r="DL2" s="30" t="s">
        <v>98</v>
      </c>
      <c r="DM2" s="30" t="s">
        <v>99</v>
      </c>
      <c r="DN2" s="30" t="s">
        <v>100</v>
      </c>
      <c r="DO2" s="30" t="s">
        <v>101</v>
      </c>
      <c r="DP2" s="30" t="s">
        <v>102</v>
      </c>
      <c r="DQ2" s="30" t="s">
        <v>103</v>
      </c>
      <c r="DR2" s="28" t="s">
        <v>104</v>
      </c>
      <c r="DS2" s="30" t="s">
        <v>105</v>
      </c>
      <c r="DT2" s="207"/>
      <c r="DU2" s="136" t="s">
        <v>242</v>
      </c>
      <c r="DV2" s="31">
        <f>4160000/26</f>
        <v>160000</v>
      </c>
      <c r="DW2" s="211"/>
      <c r="DX2" s="32" t="s">
        <v>106</v>
      </c>
      <c r="DY2" s="32" t="s">
        <v>107</v>
      </c>
      <c r="DZ2" s="32" t="s">
        <v>108</v>
      </c>
      <c r="EA2" s="32" t="s">
        <v>106</v>
      </c>
      <c r="EB2" s="32" t="s">
        <v>107</v>
      </c>
      <c r="EC2" s="32" t="s">
        <v>108</v>
      </c>
      <c r="ED2" s="207"/>
      <c r="EE2" s="137" t="s">
        <v>245</v>
      </c>
      <c r="EF2" s="137" t="s">
        <v>246</v>
      </c>
      <c r="EG2" s="137" t="s">
        <v>247</v>
      </c>
      <c r="EH2" s="137" t="s">
        <v>88</v>
      </c>
    </row>
    <row r="3" spans="1:139" s="9" customFormat="1" ht="34.5" customHeight="1">
      <c r="A3" s="33"/>
      <c r="B3" s="34" t="s">
        <v>153</v>
      </c>
      <c r="C3" s="35"/>
      <c r="D3" s="36" t="s">
        <v>155</v>
      </c>
      <c r="E3" s="37" t="s">
        <v>156</v>
      </c>
      <c r="F3" s="37" t="s">
        <v>157</v>
      </c>
      <c r="G3" s="37" t="s">
        <v>158</v>
      </c>
      <c r="H3" s="37" t="s">
        <v>159</v>
      </c>
      <c r="I3" s="38">
        <v>42065</v>
      </c>
      <c r="J3" s="39">
        <v>4800000</v>
      </c>
      <c r="K3" s="40">
        <v>350000</v>
      </c>
      <c r="L3" s="40">
        <f>+IF(OR(H3="Group Leader/ Trưởng bộ phận",H5="Engineer Group Leader/ Trưởng bộ phận kỹ thuật",H5="Production Group Leader/ Trưởng bộ phận sản xuất"),2000000,IF(OR($H5="Part Leader/ Trưởng nhóm",$H5="Engineer Part Leader/ Trưởng nhóm kỹ thuật",$H5="Production Part Leader/ Trưởng nhóm sản xuất"),1000000,IF(OR($H5="Assistant leader/ Phó nhóm",$H5="Engineer Assistant leader/ Phó nhóm kỹ thuật",$H5="Production Assistant leader/ Phó nhóm sản xuất"),700000,IF(OR($H5="Engineer Supervisor/ Giám sát kỹ thuật",$H5="Supervisor/ Giám sát line"),500000,IF(OR($H5="Engineer shift leader/ Tổ trưởng kỹ thuật",$H5="Shift Leader/ Tổ trưởng sản xuất"),300000,0)))))</f>
        <v>2000000</v>
      </c>
      <c r="M3" s="39">
        <v>0</v>
      </c>
      <c r="N3" s="138">
        <f>+IF(DG3&gt;=96,1000000,IF(AND(DG3&lt;=95,DG3&gt;=84),950000,IF(AND(DG3&lt;=83,DG3&gt;=72),850000,IF(AND(DG3&lt;=71,DG3&gt;=60),750000,IF(AND(DG3&lt;=59,DG3&gt;=48),650000,IF(AND(DG3&lt;=47,DG3&gt;=36),550000,IF(AND(DG3&lt;=35,DG3&gt;=24),450000,IF(AND(DG3&lt;=23,DG3&gt;=18),350000,IF(AND(DG3&lt;=17,DG3&gt;=12),250000,IF(AND(DG3&lt;=11,DG3&gt;=2),150000,0))))))))))</f>
        <v>0</v>
      </c>
      <c r="O3" s="40">
        <f>+IF($G3="Utility",J3*5%,IF(C3="x",J3*7%,0))</f>
        <v>0</v>
      </c>
      <c r="P3" s="41">
        <f t="shared" ref="P3" si="0">+SUM($J3:$O3)/NETWORKDAYS.INTL($P$1,$Q$1,11)</f>
        <v>297916.66666666669</v>
      </c>
      <c r="Q3" s="41">
        <f t="shared" ref="Q3" si="1">+IF(NETWORKDAYS.INTL($P$1,$Q$1,11)&lt;=26,P3/8,(SUM(J3:O3)/26)/8)</f>
        <v>37239.583333333336</v>
      </c>
      <c r="R3" s="42"/>
      <c r="S3" s="42">
        <v>0</v>
      </c>
      <c r="T3" s="42">
        <v>0</v>
      </c>
      <c r="U3" s="43">
        <f t="shared" ref="U3" si="2">85%*$P3*$S3</f>
        <v>0</v>
      </c>
      <c r="V3" s="43">
        <f t="shared" ref="V3" si="3">85%*$P3*130%*$T3</f>
        <v>0</v>
      </c>
      <c r="W3" s="42"/>
      <c r="X3" s="42">
        <v>0</v>
      </c>
      <c r="Y3" s="42">
        <v>0</v>
      </c>
      <c r="Z3" s="43">
        <f t="shared" ref="Z3" si="4">+$P3*($W3+$Y3)</f>
        <v>0</v>
      </c>
      <c r="AA3" s="43">
        <f t="shared" ref="AA3" si="5">+$P3*130%*X3</f>
        <v>0</v>
      </c>
      <c r="AB3" s="43">
        <f t="shared" ref="AB3" si="6">+U3+V3+Z3+AA3</f>
        <v>0</v>
      </c>
      <c r="AC3" s="42">
        <v>0</v>
      </c>
      <c r="AD3" s="42">
        <v>0</v>
      </c>
      <c r="AE3" s="42">
        <v>0</v>
      </c>
      <c r="AF3" s="42">
        <v>0</v>
      </c>
      <c r="AG3" s="42">
        <v>0</v>
      </c>
      <c r="AH3" s="42">
        <v>0</v>
      </c>
      <c r="AI3" s="42">
        <v>0</v>
      </c>
      <c r="AJ3" s="42">
        <v>0</v>
      </c>
      <c r="AK3" s="42">
        <v>0</v>
      </c>
      <c r="AL3" s="42">
        <v>0</v>
      </c>
      <c r="AM3" s="42">
        <v>0</v>
      </c>
      <c r="AN3" s="42">
        <v>0</v>
      </c>
      <c r="AO3" s="43">
        <f t="shared" ref="AO3" si="7">SUM(AC3:AH3,AI3:AN3)</f>
        <v>0</v>
      </c>
      <c r="AP3" s="43">
        <f t="shared" ref="AP3" si="8">+IF(H3="operator",Q3*((AC3+AI3)*150%+(AD3+AJ3)*200%+(AE3+AK3)*210%+(AF3+AL3)*270%+(AG3+AM3)*300%+(AH3+AN3)*390%),Q3*85%*(AC3*150%+AD3*200%+AE3*210%+AF3*270%+AG3*300%+AH3*390%)+Q3*(AI3*150%+AJ3*200%+AK3*210%+AL3*270%+AM3*300%+AN3*390%))</f>
        <v>0</v>
      </c>
      <c r="AQ3" s="42">
        <v>0</v>
      </c>
      <c r="AR3" s="42">
        <v>0</v>
      </c>
      <c r="AS3" s="43">
        <f t="shared" ref="AS3" si="9">260%*P3*(85%*AQ3/2+AR3/2)</f>
        <v>0</v>
      </c>
      <c r="AT3" s="42">
        <v>0</v>
      </c>
      <c r="AU3" s="42">
        <v>0</v>
      </c>
      <c r="AV3" s="43">
        <f t="shared" ref="AV3" si="10">+IF(E3="M1-1",Q3*(AT3+AU3)*200%*(45/60),Q3*85%*AT3*200%*(45/60)+Q3*AU3*200%*(45/60))</f>
        <v>0</v>
      </c>
      <c r="AW3" s="42">
        <v>0</v>
      </c>
      <c r="AX3" s="42">
        <v>0</v>
      </c>
      <c r="AY3" s="42">
        <v>0</v>
      </c>
      <c r="AZ3" s="42">
        <v>0</v>
      </c>
      <c r="BA3" s="42">
        <v>0</v>
      </c>
      <c r="BB3" s="42">
        <v>0</v>
      </c>
      <c r="BC3" s="42">
        <v>0</v>
      </c>
      <c r="BD3" s="42">
        <v>0</v>
      </c>
      <c r="BE3" s="42">
        <v>0</v>
      </c>
      <c r="BF3" s="42">
        <v>0</v>
      </c>
      <c r="BG3" s="42">
        <v>0</v>
      </c>
      <c r="BH3" s="42">
        <v>0</v>
      </c>
      <c r="BI3" s="43">
        <f t="shared" ref="BI3" si="11">SUM(AW3:BB3,BC3:BH3)</f>
        <v>0</v>
      </c>
      <c r="BJ3" s="43">
        <f t="shared" ref="BJ3" si="12">+Q3*85%*(AW3*$AW$2+AX3*$AX$2+AY3*$AY$2+AZ3*$AZ$2+BA3*$BA$2+BB3*$BB$2)+Q3*(BC3*$BC$2+BD3*$BD$2+BE3*$BE$2+BF3*$BF$2+BG3*$BG$2+BH3*$BH$2)</f>
        <v>0</v>
      </c>
      <c r="BK3" s="42">
        <v>0</v>
      </c>
      <c r="BL3" s="42">
        <v>0</v>
      </c>
      <c r="BM3" s="42">
        <v>0</v>
      </c>
      <c r="BN3" s="42">
        <v>0</v>
      </c>
      <c r="BO3" s="44">
        <f t="shared" ref="BO3" si="13">+P3*(BK3*85%+BL3)+Q3*(85%*BM3*(2*70%+2*140%)+BN3*(2*70%+2*140%))</f>
        <v>0</v>
      </c>
      <c r="BP3" s="42">
        <v>0</v>
      </c>
      <c r="BQ3" s="42">
        <v>0</v>
      </c>
      <c r="BR3" s="42">
        <v>0</v>
      </c>
      <c r="BS3" s="42">
        <v>0</v>
      </c>
      <c r="BT3" s="44">
        <f>+IF(BQ3&lt;=0,IF(E3="M1-1",350000/NETWORKDAYS.INTL($P$1,$Q$1,11)*(R3+BP3),350000*85%/NETWORKDAYS.INTL($P$1,$Q$1,11)*(S3+T3)+350000/NETWORKDAYS.INTL($P$1,$Q$1,11)*((W3+X3+Y3+BP3))),0)+(BS3)*350000/NETWORKDAYS.INTL($P$1,$Q$1,11)</f>
        <v>0</v>
      </c>
      <c r="BU3" s="44">
        <f>(DB3/NETWORKDAYS.INTL($P$1,$Q$1,11)*(S3+T3)*85%+DB3/NETWORKDAYS.INTL($P$1,$Q$1,11)*(W3+X3+Y3))+(BS3)*DB3/NETWORKDAYS.INTL($P$1,$Q$1,11)</f>
        <v>0</v>
      </c>
      <c r="BV3" s="44">
        <f>DC3/NETWORKDAYS.INTL($P$1,$Q$1,11)*R3</f>
        <v>0</v>
      </c>
      <c r="BW3" s="135">
        <f>+BS3*SUM(K3:O3)/NETWORKDAYS.INTL($P$1,$Q$1,11)</f>
        <v>0</v>
      </c>
      <c r="BX3" s="135">
        <f>30%*P3*(BR3+BS3)</f>
        <v>0</v>
      </c>
      <c r="BY3" s="44">
        <f>(DD3/NETWORKDAYS.INTL($P$1,$Q$1,11)*(S3+T3)*85%+DD3/NETWORKDAYS.INTL($P$1,$Q$1,11)*(W3+X3+Y3))+(85%*BS3)*DD3/NETWORKDAYS.INTL($P$1,$Q$1,11)</f>
        <v>0</v>
      </c>
      <c r="BZ3" s="44">
        <f t="shared" ref="BZ3" si="14">30000*$DT3</f>
        <v>0</v>
      </c>
      <c r="CA3" s="45"/>
      <c r="CB3" s="44">
        <v>0</v>
      </c>
      <c r="CC3" s="46">
        <f>+DY3+EB3+ED3</f>
        <v>0</v>
      </c>
      <c r="CD3" s="44">
        <f>+EH3</f>
        <v>0</v>
      </c>
      <c r="CE3" s="42">
        <v>0</v>
      </c>
      <c r="CF3" s="42">
        <v>0</v>
      </c>
      <c r="CG3" s="42">
        <v>0</v>
      </c>
      <c r="CH3" s="43">
        <f t="shared" ref="CH3" si="15">IF(H3="operator",(CF3+CG3)*$Q3,CF3*$Q3*85%+CG3*$Q3)</f>
        <v>0</v>
      </c>
      <c r="CI3" s="46">
        <f>+DZ3+EC3</f>
        <v>0</v>
      </c>
      <c r="CJ3" s="47">
        <f>ROUND(AB3+AP3+AS3+AV3+BJ3+BO3+SUM(BT3:CD3)+DV3-SUM(CH3:CI3),0)</f>
        <v>0</v>
      </c>
      <c r="CK3" s="48">
        <v>0</v>
      </c>
      <c r="CL3" s="49">
        <f>IF(CK3="x",10.5%*(J3+K3+L3+M3+N3+O3+CA3+CB3+DD3),IF(DR3="x",DS3,0))</f>
        <v>321750</v>
      </c>
      <c r="CM3" s="49">
        <f>+IF(DF3="x",IF(((J3+K3+L3+M3+N3+O3)*1%)&lt;180000,(J3+K3+L3+M3+N3+O3)*1%,180000),0)</f>
        <v>0</v>
      </c>
      <c r="CN3" s="49">
        <v>0</v>
      </c>
      <c r="CO3" s="43">
        <f>IF(H3="operator",Q3*((AC3+AI3)*50%+(AD3+AJ3)*100%+(AE3+AK3)*110%+(AF3+AL3)*170%+(AG3+AM3)*200%+(AH3+AN3)*290%),Q3*85%*(AC3*50%+AD3*100%+AE3*110%+AF3*170%+AG3*200%+AH3*290%)+Q3*(AI3*50%+AJ3*100%+AK3*110%+AL3*170%+AM3*200%+AN3*290%))+P3*30%*(85%*T3+X3)</f>
        <v>0</v>
      </c>
      <c r="CP3" s="50">
        <v>0</v>
      </c>
      <c r="CQ3" s="43">
        <f t="shared" ref="CQ3" si="16">(CJ3+CP3-CO3-O3)</f>
        <v>0</v>
      </c>
      <c r="CR3" s="50">
        <v>11000000</v>
      </c>
      <c r="CS3" s="51">
        <v>0</v>
      </c>
      <c r="CT3" s="43">
        <f t="shared" ref="CT3" si="17">CS3*4400000</f>
        <v>0</v>
      </c>
      <c r="CU3" s="49">
        <f t="shared" ref="CU3" si="18">IF((CQ3-CL3-CR3-CT3-CN3)&lt;=0,0,(CQ3-CL3-CR3-CT3-CN3))</f>
        <v>0</v>
      </c>
      <c r="CV3" s="49">
        <f t="shared" ref="CV3" si="19">IF(AND(CU3&gt;0,CU3&lt;=5000000),CU3*5%,IF(AND(CU3&gt;5000000,CU3&lt;=10000000),CU3*10%-250000,IF(AND(CU3&gt;10000000,CU3&lt;=18000000),CU3*15%-750000,IF(AND(CU3&gt;18000000,CU3&lt;=32000000),CU3*20%-1650000,IF(AND(CU3&gt;32000000,CU3&lt;=52000000),CU3*25%-3250000,IF(AND(CU3&gt;52000000,CU3&lt;=80000000),CU3*30%-5850000,IF(CU3&gt;80000000,CU3*35%-9850000,0)))))))</f>
        <v>0</v>
      </c>
      <c r="CW3" s="52">
        <f t="shared" ref="CW3" si="20">ROUND(+CJ3-SUM(CL3:CN3,CV3),0)</f>
        <v>-321750</v>
      </c>
      <c r="CX3" s="53">
        <f t="shared" ref="CX3" si="21">I3</f>
        <v>42065</v>
      </c>
      <c r="CY3" s="54"/>
      <c r="CZ3" s="55">
        <v>0</v>
      </c>
      <c r="DA3" s="55"/>
      <c r="DB3" s="55">
        <f t="shared" ref="DB3" si="22">ROUNDUP(IF($DA3="A",$CZ3*110%,IF($DA3="B",$CZ3*105%,IF(OR($DA3="C",$DA3="D",$DA3="N"),$CZ3,0))),-3)</f>
        <v>0</v>
      </c>
      <c r="DC3" s="56">
        <v>0</v>
      </c>
      <c r="DD3" s="55">
        <v>0</v>
      </c>
      <c r="DE3" s="57"/>
      <c r="DF3" s="63"/>
      <c r="DG3" s="58">
        <f t="shared" ref="DG3" si="23">IF(OR($E3="M1-1",$E3="P2-1"),IF(ISERROR(DATEDIF($I3,$DG$1,"m")),0,DATEDIF($I3,$DG$1,"m")),0)</f>
        <v>0</v>
      </c>
      <c r="DH3" s="58">
        <f t="shared" ref="DH3" si="24">IF(OR($E3="M1-1",$E3="P2-1"),IF(ISERROR(DATEDIF($I3,$DG$1,"md")),0,DATEDIF($I3,$DG$1,"md")&amp;" "&amp;"ngày"),0)</f>
        <v>0</v>
      </c>
      <c r="DI3" s="59">
        <f t="shared" ref="DI3" si="25">+IF($CK3="x",($J3+$K3+$L3+M3+$N3+$O3+CA3+CB3)*8%,0)</f>
        <v>0</v>
      </c>
      <c r="DJ3" s="59">
        <f t="shared" ref="DJ3" si="26">+IF($CK3="x",($J3+$K3+$L3+M3+$N3+$O3+CA3+CB3)*1.5%,0)</f>
        <v>0</v>
      </c>
      <c r="DK3" s="59">
        <f t="shared" ref="DK3" si="27">+IF($CK3="x",($J3+$K3+$L3+M3+$N3+$O3+CA3+CB3)*1%,0)</f>
        <v>0</v>
      </c>
      <c r="DL3" s="59">
        <f t="shared" ref="DL3" si="28">+IF($CK3="x",($J3+$K3+$L3+M3+$N3+$O3+CA3+CB3)*17%,0)</f>
        <v>0</v>
      </c>
      <c r="DM3" s="59">
        <f t="shared" ref="DM3" si="29">+IF($CK3="x",($J3+$K3+$L3+M3+$N3+$O3+CA3+CB3)*0.5%,0)</f>
        <v>0</v>
      </c>
      <c r="DN3" s="59">
        <f t="shared" ref="DN3" si="30">+IF($CK3="x",($J3+$K3+$L3+$M3+$N3+$O3+$CA3+$CB3)*3%,0)</f>
        <v>0</v>
      </c>
      <c r="DO3" s="59">
        <f t="shared" ref="DO3" si="31">+IF($CK3="x",($J3+$K3+$L3+$M3+$N3+$O3+$CA3+$CB3)*1%,0)</f>
        <v>0</v>
      </c>
      <c r="DP3" s="55">
        <f t="shared" ref="DP3" si="32">+CM3</f>
        <v>0</v>
      </c>
      <c r="DQ3" s="55">
        <f t="shared" ref="DQ3" si="33">IF(CK3="x",SUM(J3:O3)*2%,0)</f>
        <v>0</v>
      </c>
      <c r="DR3" s="56" t="s">
        <v>113</v>
      </c>
      <c r="DS3" s="60">
        <f>+IF($DR3="x",(J3+K3+L3+M3+N3+O3+CA3+CB3+DD3)*4.5%,0)</f>
        <v>321750</v>
      </c>
      <c r="DT3" s="61">
        <v>0</v>
      </c>
      <c r="DU3" s="59">
        <v>0</v>
      </c>
      <c r="DV3" s="59">
        <f>+DU3*$DV$2</f>
        <v>0</v>
      </c>
      <c r="DW3" s="53" t="s">
        <v>109</v>
      </c>
      <c r="DX3" s="62">
        <v>0</v>
      </c>
      <c r="DY3" s="62">
        <f t="shared" ref="DY3" si="34">+IF(DX3&gt;0,DX3,0)</f>
        <v>0</v>
      </c>
      <c r="DZ3" s="62">
        <f t="shared" ref="DZ3" si="35">+IF(DX3&lt;0,-DX3,0)</f>
        <v>0</v>
      </c>
      <c r="EA3" s="62">
        <v>0</v>
      </c>
      <c r="EB3" s="55">
        <f t="shared" ref="EB3" si="36">+IF(EA3&gt;0,EA3,0)</f>
        <v>0</v>
      </c>
      <c r="EC3" s="55">
        <f t="shared" ref="EC3" si="37">-IF(EA3&lt;0,EA3,0)</f>
        <v>0</v>
      </c>
      <c r="ED3" s="62">
        <v>0</v>
      </c>
      <c r="EE3" s="62"/>
      <c r="EF3" s="62"/>
      <c r="EG3" s="62"/>
      <c r="EH3" s="62">
        <f>+IF(AND(EE3="Female",EF3=""),Q3*150%*EG3,0)</f>
        <v>0</v>
      </c>
      <c r="EI3" s="27"/>
    </row>
    <row r="4" spans="1:139" ht="34.5" customHeight="1">
      <c r="EE4" s="239"/>
      <c r="EF4" s="240"/>
      <c r="EG4" s="11"/>
    </row>
    <row r="5" spans="1:139" ht="34.5" customHeight="1">
      <c r="J5" s="14"/>
      <c r="EE5" s="236"/>
      <c r="EF5" s="237"/>
      <c r="EG5" s="237"/>
      <c r="EH5" s="238"/>
    </row>
    <row r="6" spans="1:139" ht="34.5" customHeight="1">
      <c r="J6" s="14"/>
    </row>
    <row r="7" spans="1:139" ht="34.5" customHeight="1">
      <c r="J7" s="14"/>
    </row>
    <row r="8" spans="1:139" ht="34.5" customHeight="1">
      <c r="J8" s="14"/>
    </row>
    <row r="9" spans="1:139" ht="34.5" customHeight="1">
      <c r="J9" s="14"/>
    </row>
    <row r="10" spans="1:139" ht="34.5" customHeight="1">
      <c r="J10" s="14"/>
    </row>
    <row r="11" spans="1:139" ht="34.5" customHeight="1">
      <c r="J11" s="14"/>
    </row>
    <row r="12" spans="1:139" ht="34.5" customHeight="1">
      <c r="J12" s="14"/>
    </row>
    <row r="13" spans="1:139" ht="34.5" customHeight="1">
      <c r="J13" s="14"/>
    </row>
    <row r="14" spans="1:139" ht="34.5" customHeight="1">
      <c r="J14" s="14"/>
    </row>
    <row r="15" spans="1:139" ht="34.5" customHeight="1">
      <c r="J15" s="14"/>
    </row>
    <row r="16" spans="1:139" ht="34.5" customHeight="1">
      <c r="J16" s="14"/>
    </row>
    <row r="17" spans="10:10" ht="34.5" customHeight="1">
      <c r="J17" s="14"/>
    </row>
  </sheetData>
  <autoFilter ref="A2:EI3"/>
  <mergeCells count="93">
    <mergeCell ref="EA1:EC1"/>
    <mergeCell ref="ED1:ED2"/>
    <mergeCell ref="DT1:DT2"/>
    <mergeCell ref="DU1:DV1"/>
    <mergeCell ref="DW1:DW2"/>
    <mergeCell ref="DX1:DZ1"/>
    <mergeCell ref="DI1:DO1"/>
    <mergeCell ref="DP1:DQ1"/>
    <mergeCell ref="DR1:DS1"/>
    <mergeCell ref="CV1:CV2"/>
    <mergeCell ref="CW1:CW2"/>
    <mergeCell ref="CX1:CX2"/>
    <mergeCell ref="CY1:CY2"/>
    <mergeCell ref="CZ1:DC1"/>
    <mergeCell ref="DD1:DD2"/>
    <mergeCell ref="DE1:DE2"/>
    <mergeCell ref="DF1:DF2"/>
    <mergeCell ref="DG1:DH1"/>
    <mergeCell ref="CU1:CU2"/>
    <mergeCell ref="CJ1:CJ2"/>
    <mergeCell ref="CK1:CK2"/>
    <mergeCell ref="CL1:CL2"/>
    <mergeCell ref="CM1:CM2"/>
    <mergeCell ref="CN1:CN2"/>
    <mergeCell ref="CO1:CO2"/>
    <mergeCell ref="CP1:CP2"/>
    <mergeCell ref="CQ1:CQ2"/>
    <mergeCell ref="CR1:CR2"/>
    <mergeCell ref="CS1:CS2"/>
    <mergeCell ref="CT1:CT2"/>
    <mergeCell ref="CI1:CI2"/>
    <mergeCell ref="BX1:BX2"/>
    <mergeCell ref="BY1:BY2"/>
    <mergeCell ref="BZ1:BZ2"/>
    <mergeCell ref="CA1:CA2"/>
    <mergeCell ref="CB1:CB2"/>
    <mergeCell ref="CC1:CC2"/>
    <mergeCell ref="CD1:CD2"/>
    <mergeCell ref="CE1:CE2"/>
    <mergeCell ref="CF1:CF2"/>
    <mergeCell ref="CG1:CG2"/>
    <mergeCell ref="CH1:CH2"/>
    <mergeCell ref="BW1:BW2"/>
    <mergeCell ref="AW1:BB1"/>
    <mergeCell ref="BC1:BH1"/>
    <mergeCell ref="BI1:BI2"/>
    <mergeCell ref="BJ1:BJ2"/>
    <mergeCell ref="BK1:BO1"/>
    <mergeCell ref="BP1:BP2"/>
    <mergeCell ref="BQ1:BQ2"/>
    <mergeCell ref="BR1:BS1"/>
    <mergeCell ref="BT1:BT2"/>
    <mergeCell ref="BU1:BU2"/>
    <mergeCell ref="BV1:BV2"/>
    <mergeCell ref="Y1:Y2"/>
    <mergeCell ref="AV1:AV2"/>
    <mergeCell ref="AA1:AA2"/>
    <mergeCell ref="AB1:AB2"/>
    <mergeCell ref="AC1:AH1"/>
    <mergeCell ref="AI1:AN1"/>
    <mergeCell ref="AO1:AO2"/>
    <mergeCell ref="AP1:AP2"/>
    <mergeCell ref="AQ1:AQ2"/>
    <mergeCell ref="AR1:AR2"/>
    <mergeCell ref="AS1:AS2"/>
    <mergeCell ref="AT1:AT2"/>
    <mergeCell ref="AU1:AU2"/>
    <mergeCell ref="T1:T2"/>
    <mergeCell ref="U1:U2"/>
    <mergeCell ref="V1:V2"/>
    <mergeCell ref="W1:W2"/>
    <mergeCell ref="X1:X2"/>
    <mergeCell ref="M1:M2"/>
    <mergeCell ref="N1:N2"/>
    <mergeCell ref="O1:O2"/>
    <mergeCell ref="R1:R2"/>
    <mergeCell ref="S1:S2"/>
    <mergeCell ref="EE1:EH1"/>
    <mergeCell ref="EE4:EF4"/>
    <mergeCell ref="EE5:EH5"/>
    <mergeCell ref="L1:L2"/>
    <mergeCell ref="A1:A2"/>
    <mergeCell ref="B1:B2"/>
    <mergeCell ref="C1:C2"/>
    <mergeCell ref="D1:D2"/>
    <mergeCell ref="E1:E2"/>
    <mergeCell ref="F1:F2"/>
    <mergeCell ref="G1:G2"/>
    <mergeCell ref="H1:H2"/>
    <mergeCell ref="I1:I2"/>
    <mergeCell ref="J1:J2"/>
    <mergeCell ref="K1:K2"/>
    <mergeCell ref="Z1:Z2"/>
  </mergeCells>
  <conditionalFormatting sqref="B3">
    <cfRule type="duplicateValues" dxfId="17" priority="513"/>
  </conditionalFormatting>
  <conditionalFormatting sqref="B3">
    <cfRule type="duplicateValues" dxfId="16" priority="505"/>
    <cfRule type="duplicateValues" dxfId="15" priority="506"/>
    <cfRule type="duplicateValues" dxfId="14" priority="507"/>
    <cfRule type="duplicateValues" dxfId="13" priority="508"/>
    <cfRule type="duplicateValues" dxfId="12" priority="509"/>
    <cfRule type="duplicateValues" dxfId="11" priority="510"/>
    <cfRule type="duplicateValues" dxfId="10" priority="511"/>
    <cfRule type="duplicateValues" dxfId="9" priority="512"/>
  </conditionalFormatting>
  <conditionalFormatting sqref="B4:B1048576 B1:B2">
    <cfRule type="duplicateValues" dxfId="8" priority="2744"/>
    <cfRule type="duplicateValues" dxfId="7" priority="2745"/>
    <cfRule type="duplicateValues" dxfId="6" priority="2746"/>
    <cfRule type="duplicateValues" dxfId="5" priority="2747"/>
    <cfRule type="duplicateValues" dxfId="4" priority="2748"/>
    <cfRule type="duplicateValues" dxfId="3" priority="2749"/>
    <cfRule type="duplicateValues" dxfId="2" priority="2750"/>
    <cfRule type="duplicateValues" dxfId="1" priority="2751"/>
  </conditionalFormatting>
  <conditionalFormatting sqref="B4:B1048576 B1:B2">
    <cfRule type="duplicateValues" dxfId="0" priority="2752"/>
  </conditionalFormatting>
  <printOptions horizontalCentered="1" verticalCentered="1"/>
  <pageMargins left="0.1" right="0.1" top="0.35433070866141703" bottom="0.35433070866141703" header="0.15748031496063" footer="0"/>
  <pageSetup paperSize="9" scale="49" orientation="landscape" r:id="rId1"/>
  <headerFooter alignWithMargins="0"/>
  <colBreaks count="2" manualBreakCount="2">
    <brk id="22" max="1048575" man="1"/>
    <brk id="82"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view="pageBreakPreview" zoomScaleNormal="100" zoomScaleSheetLayoutView="100" workbookViewId="0">
      <pane xSplit="4" ySplit="5" topLeftCell="Q6" activePane="bottomRight" state="frozen"/>
      <selection activeCell="AO601" sqref="AO601"/>
      <selection pane="topRight" activeCell="AO601" sqref="AO601"/>
      <selection pane="bottomLeft" activeCell="AO601" sqref="AO601"/>
      <selection pane="bottomRight" activeCell="AD10" sqref="AD10"/>
    </sheetView>
  </sheetViews>
  <sheetFormatPr defaultColWidth="9.140625" defaultRowHeight="15"/>
  <cols>
    <col min="1" max="1" width="5" style="70" customWidth="1"/>
    <col min="2" max="2" width="9.140625" style="70" customWidth="1"/>
    <col min="3" max="3" width="6" style="70" customWidth="1"/>
    <col min="4" max="4" width="10.42578125" style="96" customWidth="1"/>
    <col min="5" max="5" width="12.85546875" style="70" customWidth="1"/>
    <col min="6" max="6" width="12.7109375" style="70" bestFit="1" customWidth="1"/>
    <col min="7" max="8" width="11.5703125" style="70" customWidth="1"/>
    <col min="9" max="9" width="12.28515625" style="70" customWidth="1"/>
    <col min="10" max="10" width="9.7109375" style="70" customWidth="1"/>
    <col min="11" max="11" width="10.85546875" style="70" customWidth="1"/>
    <col min="12" max="12" width="9.5703125" style="70" customWidth="1"/>
    <col min="13" max="13" width="8.42578125" style="98" customWidth="1"/>
    <col min="14" max="14" width="7.7109375" style="102" customWidth="1"/>
    <col min="15" max="15" width="15" style="103" bestFit="1" customWidth="1"/>
    <col min="16" max="16" width="10" style="103" customWidth="1"/>
    <col min="17" max="18" width="10.7109375" style="103" customWidth="1"/>
    <col min="19" max="19" width="10.7109375" style="103" hidden="1" customWidth="1"/>
    <col min="20" max="20" width="10.85546875" style="70" customWidth="1"/>
    <col min="21" max="21" width="11" style="70" customWidth="1"/>
    <col min="22" max="22" width="10.7109375" style="70" hidden="1" customWidth="1"/>
    <col min="23" max="23" width="12.42578125" style="70" customWidth="1"/>
    <col min="24" max="24" width="13.42578125" style="70" customWidth="1"/>
    <col min="25" max="25" width="11.5703125" style="70" customWidth="1"/>
    <col min="26" max="26" width="9" style="70" customWidth="1"/>
    <col min="27" max="27" width="11" style="70" customWidth="1"/>
    <col min="28" max="28" width="13" style="70" customWidth="1"/>
    <col min="29" max="29" width="12.7109375" style="70" customWidth="1"/>
    <col min="30" max="30" width="11.140625" style="70" customWidth="1"/>
    <col min="31" max="31" width="11.28515625" style="70" hidden="1" customWidth="1"/>
    <col min="32" max="32" width="10.7109375" style="70" hidden="1" customWidth="1"/>
    <col min="33" max="33" width="10.85546875" style="70" customWidth="1"/>
    <col min="34" max="34" width="13.5703125" style="70" bestFit="1" customWidth="1"/>
    <col min="35" max="36" width="11" style="70" customWidth="1"/>
    <col min="37" max="37" width="13" style="70" hidden="1" customWidth="1"/>
    <col min="38" max="38" width="11" style="70" customWidth="1"/>
    <col min="39" max="39" width="11.140625" style="70" bestFit="1" customWidth="1"/>
    <col min="40" max="40" width="10.28515625" style="70" customWidth="1"/>
    <col min="41" max="41" width="12.5703125" style="70" customWidth="1"/>
    <col min="42" max="16384" width="9.140625" style="70"/>
  </cols>
  <sheetData>
    <row r="1" spans="1:41" ht="30.75" customHeight="1">
      <c r="A1" s="65"/>
      <c r="B1" s="66"/>
      <c r="C1" s="230" t="s">
        <v>116</v>
      </c>
      <c r="D1" s="230"/>
      <c r="E1" s="230"/>
      <c r="F1" s="230"/>
      <c r="G1" s="230"/>
      <c r="H1" s="230"/>
      <c r="I1" s="230"/>
      <c r="J1" s="230"/>
      <c r="K1" s="66"/>
      <c r="L1" s="66"/>
      <c r="M1" s="67"/>
      <c r="N1" s="68"/>
      <c r="O1" s="69"/>
      <c r="P1" s="69"/>
      <c r="Q1" s="69"/>
      <c r="R1" s="69"/>
      <c r="S1" s="69"/>
      <c r="T1" s="66"/>
      <c r="U1" s="66"/>
      <c r="V1" s="66"/>
      <c r="W1" s="66"/>
      <c r="X1" s="66"/>
      <c r="Y1" s="66"/>
      <c r="Z1" s="66"/>
      <c r="AA1" s="66"/>
      <c r="AB1" s="66"/>
      <c r="AC1" s="66"/>
      <c r="AD1" s="66"/>
      <c r="AE1" s="66"/>
      <c r="AF1" s="66"/>
      <c r="AG1" s="66"/>
      <c r="AH1" s="66"/>
      <c r="AI1" s="66"/>
      <c r="AJ1" s="66"/>
      <c r="AK1" s="66"/>
      <c r="AL1" s="66"/>
      <c r="AM1" s="66"/>
      <c r="AN1" s="66"/>
      <c r="AO1" s="66"/>
    </row>
    <row r="2" spans="1:41" ht="23.25" customHeight="1">
      <c r="A2" s="65"/>
      <c r="B2" s="231" t="s">
        <v>160</v>
      </c>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row>
    <row r="3" spans="1:41" ht="30" customHeight="1">
      <c r="A3" s="65"/>
      <c r="B3" s="231" t="s">
        <v>154</v>
      </c>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row>
    <row r="4" spans="1:41" ht="21.75" customHeight="1">
      <c r="A4" s="232" t="s">
        <v>0</v>
      </c>
      <c r="B4" s="232" t="s">
        <v>117</v>
      </c>
      <c r="C4" s="232" t="s">
        <v>118</v>
      </c>
      <c r="D4" s="216" t="s">
        <v>119</v>
      </c>
      <c r="E4" s="216" t="s">
        <v>120</v>
      </c>
      <c r="F4" s="216" t="s">
        <v>9</v>
      </c>
      <c r="G4" s="216" t="s">
        <v>121</v>
      </c>
      <c r="H4" s="214" t="s">
        <v>11</v>
      </c>
      <c r="I4" s="216" t="s">
        <v>12</v>
      </c>
      <c r="J4" s="216" t="s">
        <v>13</v>
      </c>
      <c r="K4" s="216" t="s">
        <v>122</v>
      </c>
      <c r="L4" s="216" t="s">
        <v>123</v>
      </c>
      <c r="M4" s="224" t="s">
        <v>124</v>
      </c>
      <c r="N4" s="224" t="s">
        <v>125</v>
      </c>
      <c r="O4" s="226" t="s">
        <v>126</v>
      </c>
      <c r="P4" s="228" t="s">
        <v>127</v>
      </c>
      <c r="Q4" s="226" t="s">
        <v>128</v>
      </c>
      <c r="R4" s="228" t="s">
        <v>129</v>
      </c>
      <c r="S4" s="228" t="s">
        <v>130</v>
      </c>
      <c r="T4" s="216" t="s">
        <v>131</v>
      </c>
      <c r="U4" s="216"/>
      <c r="V4" s="216"/>
      <c r="W4" s="216"/>
      <c r="X4" s="216"/>
      <c r="Y4" s="216"/>
      <c r="Z4" s="216"/>
      <c r="AA4" s="216"/>
      <c r="AB4" s="216"/>
      <c r="AC4" s="216" t="s">
        <v>132</v>
      </c>
      <c r="AD4" s="222" t="s">
        <v>243</v>
      </c>
      <c r="AE4" s="214" t="s">
        <v>133</v>
      </c>
      <c r="AF4" s="214" t="s">
        <v>134</v>
      </c>
      <c r="AG4" s="216" t="s">
        <v>135</v>
      </c>
      <c r="AH4" s="214" t="s">
        <v>136</v>
      </c>
      <c r="AI4" s="216" t="s">
        <v>137</v>
      </c>
      <c r="AJ4" s="216"/>
      <c r="AK4" s="216"/>
      <c r="AL4" s="216"/>
      <c r="AM4" s="216"/>
      <c r="AN4" s="216"/>
      <c r="AO4" s="217" t="s">
        <v>138</v>
      </c>
    </row>
    <row r="5" spans="1:41" ht="45" customHeight="1">
      <c r="A5" s="233"/>
      <c r="B5" s="233"/>
      <c r="C5" s="233"/>
      <c r="D5" s="221"/>
      <c r="E5" s="221"/>
      <c r="F5" s="221"/>
      <c r="G5" s="221"/>
      <c r="H5" s="215"/>
      <c r="I5" s="221"/>
      <c r="J5" s="221"/>
      <c r="K5" s="221"/>
      <c r="L5" s="221"/>
      <c r="M5" s="225"/>
      <c r="N5" s="225"/>
      <c r="O5" s="227"/>
      <c r="P5" s="229"/>
      <c r="Q5" s="227"/>
      <c r="R5" s="229"/>
      <c r="S5" s="229"/>
      <c r="T5" s="71" t="s">
        <v>139</v>
      </c>
      <c r="U5" s="71" t="s">
        <v>140</v>
      </c>
      <c r="V5" s="71" t="s">
        <v>141</v>
      </c>
      <c r="W5" s="71" t="s">
        <v>142</v>
      </c>
      <c r="X5" s="71" t="s">
        <v>143</v>
      </c>
      <c r="Y5" s="71" t="s">
        <v>144</v>
      </c>
      <c r="Z5" s="71" t="s">
        <v>48</v>
      </c>
      <c r="AA5" s="71" t="s">
        <v>145</v>
      </c>
      <c r="AB5" s="71" t="s">
        <v>146</v>
      </c>
      <c r="AC5" s="221"/>
      <c r="AD5" s="223"/>
      <c r="AE5" s="215"/>
      <c r="AF5" s="215"/>
      <c r="AG5" s="221"/>
      <c r="AH5" s="215"/>
      <c r="AI5" s="71" t="s">
        <v>147</v>
      </c>
      <c r="AJ5" s="71" t="s">
        <v>148</v>
      </c>
      <c r="AK5" s="71" t="s">
        <v>149</v>
      </c>
      <c r="AL5" s="71" t="s">
        <v>150</v>
      </c>
      <c r="AM5" s="71" t="s">
        <v>151</v>
      </c>
      <c r="AN5" s="71" t="s">
        <v>152</v>
      </c>
      <c r="AO5" s="218"/>
    </row>
    <row r="6" spans="1:41" s="76" customFormat="1" ht="24.75" customHeight="1">
      <c r="A6" s="72">
        <f>+IF(B6="","",SUBTOTAL(3,$B$6:B6))</f>
        <v>1</v>
      </c>
      <c r="B6" s="73" t="s">
        <v>153</v>
      </c>
      <c r="C6" s="72" t="str">
        <f>+VLOOKUP($B6,'Salary detail'!$B$3:$EI$1048576,4,0)</f>
        <v>M7-1</v>
      </c>
      <c r="D6" s="72" t="str">
        <f>+VLOOKUP($B6,'Salary detail'!$B$3:$EI$1048576,5,0)</f>
        <v>Vũ Thị Ngọc</v>
      </c>
      <c r="E6" s="74">
        <f>+VLOOKUP($B6,'Salary detail'!$B$3:$EI$1048576,9,0)</f>
        <v>4800000</v>
      </c>
      <c r="F6" s="74">
        <f>+VLOOKUP($B6,'Salary detail'!$B$3:$EI$1048576,10,0)</f>
        <v>350000</v>
      </c>
      <c r="G6" s="74">
        <f>+VLOOKUP($B6,'Salary detail'!$B$3:$EI$1048576,11,0)</f>
        <v>2000000</v>
      </c>
      <c r="H6" s="74">
        <f>+VLOOKUP($B6,'Salary detail'!$B$3:$EI$1048576,12,0)</f>
        <v>0</v>
      </c>
      <c r="I6" s="74">
        <f>+VLOOKUP($B6,'Salary detail'!$B$3:$EI$1048576,13,0)</f>
        <v>0</v>
      </c>
      <c r="J6" s="74">
        <f>+VLOOKUP($B6,'Salary detail'!$B$3:$EI$1048576,14,0)</f>
        <v>0</v>
      </c>
      <c r="K6" s="74">
        <f>+VLOOKUP($B6,'Salary detail'!$B$3:$EI$1048576,15,0)</f>
        <v>297916.66666666669</v>
      </c>
      <c r="L6" s="74">
        <f>+VLOOKUP($B6,'Salary detail'!$B$3:$EI$1048576,16,0)</f>
        <v>37239.583333333336</v>
      </c>
      <c r="M6" s="74">
        <f>+VLOOKUP($B6,'Salary detail'!$B$3:$EI$1048576,17,0)</f>
        <v>0</v>
      </c>
      <c r="N6" s="74">
        <f>+VLOOKUP($B6,'Salary detail'!$B$3:$EI$1048576,40,0)</f>
        <v>0</v>
      </c>
      <c r="O6" s="74">
        <f>+VLOOKUP($B6,'Salary detail'!$B$3:$EI$1048576,41,0)</f>
        <v>0</v>
      </c>
      <c r="P6" s="74">
        <f>+VLOOKUP($B6,'Salary detail'!$B$3:$EI$1048576,44,0)</f>
        <v>0</v>
      </c>
      <c r="Q6" s="74">
        <f>+VLOOKUP($B6,'Salary detail'!$B$3:$EI$1048576,47,0)</f>
        <v>0</v>
      </c>
      <c r="R6" s="74">
        <f>+VLOOKUP($B6,'Salary detail'!$B$3:$EI$1048576,61,0)</f>
        <v>0</v>
      </c>
      <c r="S6" s="74">
        <v>0</v>
      </c>
      <c r="T6" s="74">
        <f>+VLOOKUP($B6,'Salary detail'!$B$3:$EI$1048576,71,0)</f>
        <v>0</v>
      </c>
      <c r="U6" s="74">
        <f>+VLOOKUP($B6,'Salary detail'!$B$3:$EI$1048576,72,0)</f>
        <v>0</v>
      </c>
      <c r="V6" s="74">
        <v>0</v>
      </c>
      <c r="W6" s="74">
        <f>+VLOOKUP($B6,'Salary detail'!$B$3:$EI$1048576,73,0)</f>
        <v>0</v>
      </c>
      <c r="X6" s="74">
        <f>+VLOOKUP($B6,'Salary detail'!$B$3:$EI$1048576,78,0)</f>
        <v>0</v>
      </c>
      <c r="Y6" s="74">
        <f>+VLOOKUP($B6,'Salary detail'!$B$3:$EI$1048576,79,0)</f>
        <v>0</v>
      </c>
      <c r="Z6" s="74">
        <f>+VLOOKUP($B6,'Salary detail'!$B$3:$EI$1048576,76,0)</f>
        <v>0</v>
      </c>
      <c r="AA6" s="74">
        <f>+VLOOKUP($B6,'Salary detail'!$B$3:$EI$1048576,74,0)</f>
        <v>0</v>
      </c>
      <c r="AB6" s="74">
        <f>+VLOOKUP($B6,'Salary detail'!$B$3:$EI$1048576,75,0)</f>
        <v>0</v>
      </c>
      <c r="AC6" s="74">
        <f>+VLOOKUP($B6,'Salary detail'!$B$3:$EI$1048576,27,0)</f>
        <v>0</v>
      </c>
      <c r="AD6" s="74">
        <f>+VLOOKUP($B6,'Salary detail'!$B$3:$EI$1048576,125,0)</f>
        <v>0</v>
      </c>
      <c r="AE6" s="74">
        <v>0</v>
      </c>
      <c r="AF6" s="74">
        <v>0</v>
      </c>
      <c r="AG6" s="74">
        <f>+VLOOKUP($B6,'Salary detail'!$B$3:$EI$1048576,80,0)</f>
        <v>0</v>
      </c>
      <c r="AH6" s="74">
        <f>ROUND(SUM(O6:AG6)-AN6-AM6,0)</f>
        <v>0</v>
      </c>
      <c r="AI6" s="74">
        <f>+VLOOKUP($B6,'Salary detail'!$B$3:$EI$1048576,89,0)</f>
        <v>321750</v>
      </c>
      <c r="AJ6" s="74">
        <f>+VLOOKUP($B6,'Salary detail'!$B$3:$EI$1048576,90,0)</f>
        <v>0</v>
      </c>
      <c r="AK6" s="74">
        <v>0</v>
      </c>
      <c r="AL6" s="74">
        <f>+VLOOKUP($B6,'Salary detail'!$B$3:$EI$1048576,99,0)</f>
        <v>0</v>
      </c>
      <c r="AM6" s="74">
        <f>+VLOOKUP($B6,'Salary detail'!$B$3:$EI$1048576,86,0)</f>
        <v>0</v>
      </c>
      <c r="AN6" s="74">
        <f>+VLOOKUP($B6,'Salary detail'!$B$3:$EI$1048576,85,0)</f>
        <v>0</v>
      </c>
      <c r="AO6" s="75">
        <f>ROUND(AH6-SUM(AI6:AL6),0)</f>
        <v>-321750</v>
      </c>
    </row>
    <row r="7" spans="1:41" s="79" customFormat="1" ht="24.75" customHeight="1">
      <c r="A7" s="77"/>
      <c r="B7" s="219" t="s">
        <v>106</v>
      </c>
      <c r="C7" s="219"/>
      <c r="D7" s="219"/>
      <c r="E7" s="78">
        <f t="shared" ref="E7:AO7" si="0">+SUBTOTAL(9,E6:E6)</f>
        <v>4800000</v>
      </c>
      <c r="F7" s="78">
        <f t="shared" si="0"/>
        <v>350000</v>
      </c>
      <c r="G7" s="78">
        <f t="shared" si="0"/>
        <v>2000000</v>
      </c>
      <c r="H7" s="78">
        <f t="shared" si="0"/>
        <v>0</v>
      </c>
      <c r="I7" s="78">
        <f t="shared" si="0"/>
        <v>0</v>
      </c>
      <c r="J7" s="78">
        <f t="shared" si="0"/>
        <v>0</v>
      </c>
      <c r="K7" s="78">
        <f t="shared" si="0"/>
        <v>297916.66666666669</v>
      </c>
      <c r="L7" s="78">
        <f t="shared" si="0"/>
        <v>37239.583333333336</v>
      </c>
      <c r="M7" s="78">
        <f t="shared" si="0"/>
        <v>0</v>
      </c>
      <c r="N7" s="78">
        <f t="shared" si="0"/>
        <v>0</v>
      </c>
      <c r="O7" s="78">
        <f t="shared" si="0"/>
        <v>0</v>
      </c>
      <c r="P7" s="78">
        <f t="shared" si="0"/>
        <v>0</v>
      </c>
      <c r="Q7" s="78">
        <f t="shared" si="0"/>
        <v>0</v>
      </c>
      <c r="R7" s="78">
        <f t="shared" si="0"/>
        <v>0</v>
      </c>
      <c r="S7" s="78">
        <f t="shared" si="0"/>
        <v>0</v>
      </c>
      <c r="T7" s="78">
        <f t="shared" si="0"/>
        <v>0</v>
      </c>
      <c r="U7" s="78">
        <f t="shared" si="0"/>
        <v>0</v>
      </c>
      <c r="V7" s="78">
        <f t="shared" si="0"/>
        <v>0</v>
      </c>
      <c r="W7" s="78">
        <f t="shared" si="0"/>
        <v>0</v>
      </c>
      <c r="X7" s="78">
        <f t="shared" si="0"/>
        <v>0</v>
      </c>
      <c r="Y7" s="78">
        <f t="shared" si="0"/>
        <v>0</v>
      </c>
      <c r="Z7" s="78">
        <f t="shared" si="0"/>
        <v>0</v>
      </c>
      <c r="AA7" s="78">
        <f t="shared" si="0"/>
        <v>0</v>
      </c>
      <c r="AB7" s="78">
        <f t="shared" si="0"/>
        <v>0</v>
      </c>
      <c r="AC7" s="78">
        <f t="shared" si="0"/>
        <v>0</v>
      </c>
      <c r="AD7" s="78">
        <f t="shared" si="0"/>
        <v>0</v>
      </c>
      <c r="AE7" s="78">
        <f t="shared" si="0"/>
        <v>0</v>
      </c>
      <c r="AF7" s="78">
        <f t="shared" si="0"/>
        <v>0</v>
      </c>
      <c r="AG7" s="78">
        <f t="shared" si="0"/>
        <v>0</v>
      </c>
      <c r="AH7" s="78">
        <f t="shared" si="0"/>
        <v>0</v>
      </c>
      <c r="AI7" s="78">
        <f t="shared" si="0"/>
        <v>321750</v>
      </c>
      <c r="AJ7" s="78">
        <f t="shared" si="0"/>
        <v>0</v>
      </c>
      <c r="AK7" s="78">
        <f t="shared" si="0"/>
        <v>0</v>
      </c>
      <c r="AL7" s="78">
        <f t="shared" si="0"/>
        <v>0</v>
      </c>
      <c r="AM7" s="78">
        <f t="shared" si="0"/>
        <v>0</v>
      </c>
      <c r="AN7" s="78">
        <f t="shared" si="0"/>
        <v>0</v>
      </c>
      <c r="AO7" s="78">
        <f t="shared" si="0"/>
        <v>-321750</v>
      </c>
    </row>
    <row r="8" spans="1:41" s="85" customFormat="1" ht="23.25" customHeight="1">
      <c r="A8" s="80"/>
      <c r="B8" s="81"/>
      <c r="C8" s="81"/>
      <c r="D8" s="82"/>
      <c r="E8" s="83"/>
      <c r="F8" s="83"/>
      <c r="G8" s="83"/>
      <c r="H8" s="83"/>
      <c r="I8" s="83"/>
      <c r="J8" s="83"/>
      <c r="K8" s="83"/>
      <c r="L8" s="83"/>
      <c r="M8" s="83"/>
      <c r="N8" s="83"/>
      <c r="O8" s="83"/>
      <c r="P8" s="84"/>
      <c r="Q8" s="84"/>
      <c r="R8" s="84"/>
      <c r="S8" s="84"/>
      <c r="T8" s="84"/>
      <c r="U8" s="84"/>
      <c r="V8" s="84"/>
      <c r="W8" s="84"/>
      <c r="X8" s="84"/>
      <c r="Y8" s="84"/>
      <c r="Z8" s="84"/>
      <c r="AA8" s="83"/>
      <c r="AB8" s="83"/>
      <c r="AC8" s="83"/>
      <c r="AD8" s="83"/>
      <c r="AE8" s="83"/>
      <c r="AF8" s="83"/>
      <c r="AG8" s="83"/>
      <c r="AH8" s="83"/>
      <c r="AI8" s="83"/>
      <c r="AJ8" s="83"/>
      <c r="AK8" s="83"/>
      <c r="AL8" s="83"/>
      <c r="AM8" s="83"/>
      <c r="AN8" s="83"/>
      <c r="AO8" s="83"/>
    </row>
    <row r="9" spans="1:41" s="89" customFormat="1" ht="23.25" customHeight="1">
      <c r="A9" s="86"/>
      <c r="B9" s="86"/>
      <c r="C9" s="86"/>
      <c r="D9" s="87"/>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row>
    <row r="10" spans="1:41" s="90" customFormat="1" ht="12.75" customHeight="1">
      <c r="D10" s="91"/>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row>
    <row r="11" spans="1:41" s="90" customFormat="1" ht="18.75">
      <c r="D11" s="91"/>
      <c r="M11" s="93"/>
      <c r="N11" s="220"/>
      <c r="O11" s="220"/>
      <c r="P11" s="220"/>
      <c r="Q11" s="220"/>
      <c r="R11" s="94"/>
      <c r="S11" s="94"/>
      <c r="T11" s="94"/>
      <c r="U11" s="94"/>
      <c r="V11" s="94"/>
      <c r="W11" s="94"/>
      <c r="X11" s="94"/>
      <c r="Y11" s="94"/>
      <c r="Z11" s="94"/>
      <c r="AA11" s="94"/>
      <c r="AB11" s="94"/>
      <c r="AC11" s="94"/>
      <c r="AD11" s="94"/>
      <c r="AE11" s="94"/>
      <c r="AF11" s="94"/>
      <c r="AG11" s="220"/>
      <c r="AH11" s="220"/>
      <c r="AI11" s="220"/>
      <c r="AJ11" s="220"/>
      <c r="AK11" s="94"/>
      <c r="AL11" s="94"/>
      <c r="AM11" s="94"/>
      <c r="AN11" s="94"/>
      <c r="AO11" s="92"/>
    </row>
    <row r="12" spans="1:41" s="90" customFormat="1" ht="18.75" customHeight="1">
      <c r="D12" s="91"/>
      <c r="M12" s="93"/>
      <c r="N12" s="212"/>
      <c r="O12" s="212"/>
      <c r="P12" s="212"/>
      <c r="Q12" s="212"/>
      <c r="R12" s="94"/>
      <c r="S12" s="94"/>
      <c r="T12" s="94"/>
      <c r="U12" s="94"/>
      <c r="V12" s="94"/>
      <c r="W12" s="94"/>
      <c r="X12" s="94"/>
      <c r="Y12" s="94"/>
      <c r="Z12" s="94"/>
      <c r="AA12" s="94"/>
      <c r="AB12" s="94"/>
      <c r="AC12" s="94"/>
      <c r="AD12" s="94"/>
      <c r="AE12" s="94"/>
      <c r="AF12" s="94"/>
      <c r="AG12" s="95"/>
      <c r="AH12" s="95"/>
      <c r="AI12" s="95"/>
      <c r="AJ12" s="95"/>
      <c r="AK12" s="94"/>
      <c r="AL12" s="94"/>
      <c r="AM12" s="94"/>
      <c r="AN12" s="94"/>
      <c r="AO12" s="92"/>
    </row>
    <row r="13" spans="1:41" ht="18.75" customHeight="1">
      <c r="I13" s="97"/>
      <c r="N13" s="212"/>
      <c r="O13" s="212"/>
      <c r="P13" s="212"/>
      <c r="Q13" s="212"/>
      <c r="R13" s="99"/>
      <c r="S13" s="99"/>
      <c r="T13" s="99"/>
      <c r="U13" s="99"/>
      <c r="V13" s="99"/>
      <c r="W13" s="99"/>
      <c r="X13" s="99"/>
      <c r="Y13" s="99"/>
      <c r="Z13" s="99"/>
      <c r="AA13" s="99"/>
      <c r="AB13" s="99"/>
      <c r="AC13" s="99"/>
      <c r="AD13" s="99"/>
      <c r="AE13" s="99"/>
      <c r="AF13" s="99"/>
      <c r="AG13" s="100"/>
      <c r="AH13" s="100"/>
      <c r="AI13" s="100"/>
      <c r="AJ13" s="100"/>
      <c r="AK13" s="99"/>
      <c r="AL13" s="99"/>
      <c r="AM13" s="99"/>
      <c r="AN13" s="99"/>
    </row>
    <row r="14" spans="1:41" ht="18.75" customHeight="1">
      <c r="N14" s="212"/>
      <c r="O14" s="212"/>
      <c r="P14" s="212"/>
      <c r="Q14" s="212"/>
      <c r="R14" s="99"/>
      <c r="S14" s="99"/>
      <c r="T14" s="99"/>
      <c r="U14" s="99"/>
      <c r="V14" s="99"/>
      <c r="W14" s="99"/>
      <c r="X14" s="99"/>
      <c r="Y14" s="99"/>
      <c r="Z14" s="99"/>
      <c r="AA14" s="99"/>
      <c r="AB14" s="99"/>
      <c r="AC14" s="99"/>
      <c r="AD14" s="99"/>
      <c r="AE14" s="99"/>
      <c r="AF14" s="99"/>
      <c r="AG14" s="100"/>
      <c r="AH14" s="100"/>
      <c r="AI14" s="100"/>
      <c r="AJ14" s="100"/>
      <c r="AK14" s="99"/>
      <c r="AL14" s="99"/>
      <c r="AM14" s="99"/>
      <c r="AN14" s="99"/>
    </row>
    <row r="15" spans="1:41" ht="18.75" customHeight="1">
      <c r="N15" s="212"/>
      <c r="O15" s="212"/>
      <c r="P15" s="212"/>
      <c r="Q15" s="212"/>
      <c r="R15" s="99"/>
      <c r="S15" s="99"/>
      <c r="T15" s="99"/>
      <c r="U15" s="99"/>
      <c r="V15" s="99"/>
      <c r="W15" s="99"/>
      <c r="X15" s="99"/>
      <c r="Y15" s="99"/>
      <c r="Z15" s="99"/>
      <c r="AA15" s="99"/>
      <c r="AB15" s="99"/>
      <c r="AC15" s="99"/>
      <c r="AD15" s="99"/>
      <c r="AE15" s="99"/>
      <c r="AF15" s="99"/>
      <c r="AG15" s="100"/>
      <c r="AH15" s="100"/>
      <c r="AI15" s="100"/>
      <c r="AJ15" s="100"/>
      <c r="AK15" s="99"/>
      <c r="AL15" s="99"/>
      <c r="AM15" s="99"/>
      <c r="AN15" s="99"/>
    </row>
    <row r="16" spans="1:41" ht="18.75" customHeight="1">
      <c r="N16" s="212"/>
      <c r="O16" s="212"/>
      <c r="P16" s="212"/>
      <c r="Q16" s="212"/>
      <c r="R16" s="99"/>
      <c r="S16" s="99"/>
      <c r="T16" s="99"/>
      <c r="U16" s="99"/>
      <c r="V16" s="99"/>
      <c r="W16" s="99"/>
      <c r="X16" s="99"/>
      <c r="Y16" s="99"/>
      <c r="Z16" s="99"/>
      <c r="AA16" s="99"/>
      <c r="AB16" s="99"/>
      <c r="AC16" s="99"/>
      <c r="AD16" s="99"/>
      <c r="AE16" s="99"/>
      <c r="AF16" s="99"/>
      <c r="AG16" s="100"/>
      <c r="AH16" s="100"/>
      <c r="AI16" s="100"/>
      <c r="AJ16" s="100"/>
      <c r="AK16" s="99"/>
      <c r="AL16" s="99"/>
      <c r="AM16" s="99"/>
      <c r="AN16" s="99"/>
    </row>
    <row r="17" spans="14:41" ht="22.5" customHeight="1">
      <c r="N17" s="213"/>
      <c r="O17" s="213"/>
      <c r="P17" s="213"/>
      <c r="Q17" s="213"/>
      <c r="R17" s="101"/>
      <c r="S17" s="101"/>
      <c r="T17" s="101"/>
      <c r="U17" s="101"/>
      <c r="V17" s="101"/>
      <c r="W17" s="101"/>
      <c r="X17" s="101"/>
      <c r="Y17" s="101"/>
      <c r="Z17" s="101"/>
      <c r="AA17" s="101"/>
      <c r="AB17" s="101"/>
      <c r="AC17" s="101"/>
      <c r="AD17" s="101"/>
      <c r="AE17" s="101"/>
      <c r="AF17" s="101"/>
      <c r="AG17" s="213"/>
      <c r="AH17" s="213"/>
      <c r="AI17" s="213"/>
      <c r="AJ17" s="213"/>
      <c r="AK17" s="101"/>
      <c r="AL17" s="101"/>
      <c r="AM17" s="101"/>
      <c r="AN17" s="101"/>
    </row>
    <row r="18" spans="14:41">
      <c r="AO18" s="104"/>
    </row>
  </sheetData>
  <autoFilter ref="A5:AO9"/>
  <mergeCells count="37">
    <mergeCell ref="M4:M5"/>
    <mergeCell ref="C1:J1"/>
    <mergeCell ref="B2:AO2"/>
    <mergeCell ref="B3:AO3"/>
    <mergeCell ref="A4:A5"/>
    <mergeCell ref="B4:B5"/>
    <mergeCell ref="C4:C5"/>
    <mergeCell ref="D4:D5"/>
    <mergeCell ref="E4:E5"/>
    <mergeCell ref="F4:F5"/>
    <mergeCell ref="G4:G5"/>
    <mergeCell ref="H4:H5"/>
    <mergeCell ref="I4:I5"/>
    <mergeCell ref="J4:J5"/>
    <mergeCell ref="K4:K5"/>
    <mergeCell ref="L4:L5"/>
    <mergeCell ref="AO4:AO5"/>
    <mergeCell ref="B7:D7"/>
    <mergeCell ref="N11:Q11"/>
    <mergeCell ref="AG11:AJ11"/>
    <mergeCell ref="T4:AB4"/>
    <mergeCell ref="AC4:AC5"/>
    <mergeCell ref="AD4:AD5"/>
    <mergeCell ref="AE4:AE5"/>
    <mergeCell ref="AF4:AF5"/>
    <mergeCell ref="AG4:AG5"/>
    <mergeCell ref="N4:N5"/>
    <mergeCell ref="O4:O5"/>
    <mergeCell ref="P4:P5"/>
    <mergeCell ref="Q4:Q5"/>
    <mergeCell ref="R4:R5"/>
    <mergeCell ref="S4:S5"/>
    <mergeCell ref="N12:Q16"/>
    <mergeCell ref="N17:Q17"/>
    <mergeCell ref="AG17:AJ17"/>
    <mergeCell ref="AH4:AH5"/>
    <mergeCell ref="AI4:AN4"/>
  </mergeCells>
  <printOptions horizontalCentered="1"/>
  <pageMargins left="0" right="0" top="0.39500000000000002" bottom="0" header="0" footer="0"/>
  <pageSetup scale="35" orientation="landscape"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7"/>
  <sheetViews>
    <sheetView showGridLines="0" workbookViewId="0">
      <pane xSplit="5" ySplit="3" topLeftCell="M4" activePane="bottomRight" state="frozen"/>
      <selection activeCell="U38" sqref="U38"/>
      <selection pane="topRight" activeCell="U38" sqref="U38"/>
      <selection pane="bottomLeft" activeCell="U38" sqref="U38"/>
      <selection pane="bottomRight" activeCell="M4" sqref="M4"/>
    </sheetView>
  </sheetViews>
  <sheetFormatPr defaultRowHeight="12.75"/>
  <cols>
    <col min="1" max="1" width="9.140625" style="105"/>
    <col min="2" max="2" width="26.140625" style="107" customWidth="1"/>
    <col min="3" max="3" width="11.7109375" style="107" customWidth="1"/>
    <col min="4" max="4" width="16.42578125" style="107" customWidth="1"/>
    <col min="5" max="8" width="15.85546875" style="107" customWidth="1"/>
    <col min="9" max="9" width="16.7109375" style="107" customWidth="1"/>
    <col min="10" max="10" width="21.140625" style="107" customWidth="1"/>
    <col min="11" max="11" width="21.42578125" style="107" bestFit="1" customWidth="1"/>
    <col min="12" max="12" width="20.5703125" style="107" bestFit="1" customWidth="1"/>
    <col min="13" max="13" width="19" style="107" bestFit="1" customWidth="1"/>
    <col min="14" max="14" width="20.42578125" style="107" customWidth="1"/>
    <col min="15" max="15" width="21.85546875" style="107" customWidth="1"/>
    <col min="16" max="16" width="18.42578125" style="107" bestFit="1" customWidth="1"/>
    <col min="17" max="17" width="16.42578125" style="107" bestFit="1" customWidth="1"/>
    <col min="18" max="18" width="15.42578125" style="107" bestFit="1" customWidth="1"/>
    <col min="19" max="20" width="12.140625" style="107" customWidth="1"/>
    <col min="21" max="21" width="16.7109375" style="107" customWidth="1"/>
    <col min="22" max="16384" width="9.140625" style="107"/>
  </cols>
  <sheetData>
    <row r="1" spans="1:22" ht="59.25" customHeight="1">
      <c r="B1" s="106" t="s">
        <v>161</v>
      </c>
    </row>
    <row r="3" spans="1:22" s="113" customFormat="1" ht="51" customHeight="1">
      <c r="A3" s="234" t="s">
        <v>162</v>
      </c>
      <c r="B3" s="235"/>
      <c r="C3" s="108" t="s">
        <v>163</v>
      </c>
      <c r="D3" s="108" t="s">
        <v>164</v>
      </c>
      <c r="E3" s="108" t="s">
        <v>165</v>
      </c>
      <c r="F3" s="109" t="s">
        <v>166</v>
      </c>
      <c r="G3" s="109" t="s">
        <v>167</v>
      </c>
      <c r="H3" s="109" t="s">
        <v>168</v>
      </c>
      <c r="I3" s="110" t="s">
        <v>169</v>
      </c>
      <c r="J3" s="110" t="s">
        <v>170</v>
      </c>
      <c r="K3" s="110" t="s">
        <v>171</v>
      </c>
      <c r="L3" s="110" t="s">
        <v>172</v>
      </c>
      <c r="M3" s="110" t="s">
        <v>173</v>
      </c>
      <c r="N3" s="110" t="s">
        <v>174</v>
      </c>
      <c r="O3" s="110" t="s">
        <v>175</v>
      </c>
      <c r="P3" s="110" t="s">
        <v>176</v>
      </c>
      <c r="Q3" s="110" t="s">
        <v>177</v>
      </c>
      <c r="R3" s="110" t="s">
        <v>178</v>
      </c>
      <c r="S3" s="111" t="s">
        <v>179</v>
      </c>
      <c r="T3" s="111" t="s">
        <v>149</v>
      </c>
      <c r="U3" s="112" t="s">
        <v>180</v>
      </c>
      <c r="V3" s="110" t="s">
        <v>181</v>
      </c>
    </row>
    <row r="4" spans="1:22" s="117" customFormat="1" ht="21" customHeight="1">
      <c r="A4" s="105" t="s">
        <v>155</v>
      </c>
      <c r="B4" s="114" t="s">
        <v>182</v>
      </c>
      <c r="C4" s="115">
        <f>+COUNTIF('Salary detail'!$D$3:$D$1048576,'Pivot 01 (.)'!$A4)</f>
        <v>1</v>
      </c>
      <c r="D4" s="133">
        <f>+SUMIF('Salary detail'!$D$3:$D$1048576,'Pivot 01 (.)'!$A4,'Salary detail'!$J$3:$J$1048576)</f>
        <v>4800000</v>
      </c>
      <c r="E4" s="133">
        <f>+SUMIF('Salary detail'!$D$3:$D$1048576,'Pivot 01 (.)'!$A4,'Salary detail'!$K$3:$K$1048576)</f>
        <v>350000</v>
      </c>
      <c r="F4" s="133">
        <f>+SUMIF('Salary detail'!$D$3:$D$1048576,'Pivot 01 (.)'!$A4,'Salary detail'!$L$3:$L$1048576)</f>
        <v>2000000</v>
      </c>
      <c r="G4" s="133">
        <f>+SUMIF('Salary detail'!$D$3:$D$1048576,'Pivot 01 (.)'!$A4,'Salary detail'!$N$3:$N$1048576)</f>
        <v>0</v>
      </c>
      <c r="H4" s="133">
        <f>+SUMIF('Salary detail'!$D$3:$D$1048576,'Pivot 01 (.)'!$A4,'Salary detail'!$O$3:$O$1048576)</f>
        <v>0</v>
      </c>
      <c r="I4" s="134">
        <f>+SUMIF('Salary detail'!$D$3:$D$1048576,'Pivot 01 (.)'!$A4,'Salary detail'!$CJ$3:$CJ$1048576)</f>
        <v>0</v>
      </c>
      <c r="J4" s="134">
        <f>+SUMIF('Salary detail'!$D$3:$D$1048576,'Pivot 01 (.)'!$A4,'Salary detail'!$DI$3:$DI$1048576)</f>
        <v>0</v>
      </c>
      <c r="K4" s="134">
        <f>+SUMIF('Salary detail'!$D$3:$D$1048576,'Pivot 01 (.)'!$A4,'Salary detail'!$DJ$3:$DJ$1048576)</f>
        <v>0</v>
      </c>
      <c r="L4" s="134">
        <f>+SUMIF('Salary detail'!$D$3:$D$1048576,'Pivot 01 (.)'!$A4,'Salary detail'!$DK$3:$DK$1048576)</f>
        <v>0</v>
      </c>
      <c r="M4" s="134">
        <f>+SUMIF('Salary detail'!$D$3:$D$1048576,'Pivot 01 (.)'!$A4,'Salary detail'!$DL$3:$DL$1048576)+SUMIF('Salary detail'!$D$3:$D$1048576,'Pivot 01 (.)'!$A4,'Salary detail'!$DM$3:$DM$1048576)</f>
        <v>0</v>
      </c>
      <c r="N4" s="134">
        <f>+SUMIF('Salary detail'!$D$3:$D$1048576,'Pivot 01 (.)'!$A4,'Salary detail'!$DN$3:$DN$1048576)</f>
        <v>0</v>
      </c>
      <c r="O4" s="134">
        <f>+SUMIF('Salary detail'!$D$3:$D$1048576,'Pivot 01 (.)'!$A4,'Salary detail'!$DO$3:$DO$1048576)</f>
        <v>0</v>
      </c>
      <c r="P4" s="134">
        <f>+SUMIF('Salary detail'!$D$3:$D$1048576,'Pivot 01 (.)'!$A4,'Salary detail'!$DP$3:$DP$1048576)</f>
        <v>0</v>
      </c>
      <c r="Q4" s="134">
        <f>+SUMIF('Salary detail'!$D$3:$D$1048576,'Pivot 01 (.)'!$A4,'Salary detail'!$DQ$3:$DQ$1048576)</f>
        <v>0</v>
      </c>
      <c r="R4" s="134">
        <f>+SUMIF('Salary detail'!$D$3:$D$1048576,'Pivot 01 (.)'!$A4,'Salary detail'!$CV$3:$CV$1048576)</f>
        <v>0</v>
      </c>
      <c r="S4" s="134">
        <f>+SUMIF('Salary detail'!$D$3:$D$1048576,'Pivot 01 (.)'!$A4,'Salary detail'!$DS$3:$DS$1048576)</f>
        <v>321750</v>
      </c>
      <c r="T4" s="134">
        <v>0</v>
      </c>
      <c r="U4" s="116">
        <f>ROUND(I4-SUM(J4:L4,P4,R4,S4,T4),0)</f>
        <v>-321750</v>
      </c>
      <c r="V4" s="116"/>
    </row>
    <row r="5" spans="1:22" s="117" customFormat="1" ht="21" customHeight="1">
      <c r="A5" s="105" t="s">
        <v>183</v>
      </c>
      <c r="B5" s="114" t="s">
        <v>184</v>
      </c>
      <c r="C5" s="115">
        <f>+COUNTIF('Salary detail'!$D$3:$D$1048576,'Pivot 01 (.)'!$A5)</f>
        <v>0</v>
      </c>
      <c r="D5" s="133">
        <f>+SUMIF('Salary detail'!$D$3:$D$1048576,'Pivot 01 (.)'!$A5,'Salary detail'!$J$3:$J$1048576)</f>
        <v>0</v>
      </c>
      <c r="E5" s="133">
        <f>+SUMIF('Salary detail'!$D$3:$D$1048576,'Pivot 01 (.)'!$A5,'Salary detail'!$K$3:$K$1048576)</f>
        <v>0</v>
      </c>
      <c r="F5" s="133">
        <f>+SUMIF('Salary detail'!$D$3:$D$1048576,'Pivot 01 (.)'!$A5,'Salary detail'!$L$3:$L$1048576)</f>
        <v>0</v>
      </c>
      <c r="G5" s="133">
        <f>+SUMIF('Salary detail'!$D$3:$D$1048576,'Pivot 01 (.)'!$A5,'Salary detail'!$N$3:$N$1048576)</f>
        <v>0</v>
      </c>
      <c r="H5" s="133">
        <f>+SUMIF('Salary detail'!$D$3:$D$1048576,'Pivot 01 (.)'!$A5,'Salary detail'!$O$3:$O$1048576)</f>
        <v>0</v>
      </c>
      <c r="I5" s="134">
        <f>+SUMIF('Salary detail'!$D$3:$D$1048576,'Pivot 01 (.)'!$A5,'Salary detail'!$CJ$3:$CJ$1048576)</f>
        <v>0</v>
      </c>
      <c r="J5" s="134">
        <f>+SUMIF('Salary detail'!$D$3:$D$1048576,'Pivot 01 (.)'!$A5,'Salary detail'!$DI$3:$DI$1048576)</f>
        <v>0</v>
      </c>
      <c r="K5" s="134">
        <f>+SUMIF('Salary detail'!$D$3:$D$1048576,'Pivot 01 (.)'!$A5,'Salary detail'!$DJ$3:$DJ$1048576)</f>
        <v>0</v>
      </c>
      <c r="L5" s="134">
        <f>+SUMIF('Salary detail'!$D$3:$D$1048576,'Pivot 01 (.)'!$A5,'Salary detail'!$DK$3:$DK$1048576)</f>
        <v>0</v>
      </c>
      <c r="M5" s="134">
        <f>+SUMIF('Salary detail'!$D$3:$D$1048576,'Pivot 01 (.)'!$A5,'Salary detail'!$DL$3:$DL$1048576)+SUMIF('Salary detail'!$D$3:$D$1048576,'Pivot 01 (.)'!$A5,'Salary detail'!$DM$3:$DM$1048576)</f>
        <v>0</v>
      </c>
      <c r="N5" s="134">
        <f>+SUMIF('Salary detail'!$D$3:$D$1048576,'Pivot 01 (.)'!$A5,'Salary detail'!$DN$3:$DN$1048576)</f>
        <v>0</v>
      </c>
      <c r="O5" s="134">
        <f>+SUMIF('Salary detail'!$D$3:$D$1048576,'Pivot 01 (.)'!$A5,'Salary detail'!$DO$3:$DO$1048576)</f>
        <v>0</v>
      </c>
      <c r="P5" s="134">
        <f>+SUMIF('Salary detail'!$D$3:$D$1048576,'Pivot 01 (.)'!$A5,'Salary detail'!$DP$3:$DP$1048576)</f>
        <v>0</v>
      </c>
      <c r="Q5" s="134">
        <f>+SUMIF('Salary detail'!$D$3:$D$1048576,'Pivot 01 (.)'!$A5,'Salary detail'!$DQ$3:$DQ$1048576)</f>
        <v>0</v>
      </c>
      <c r="R5" s="134">
        <f>+SUMIF('Salary detail'!$D$3:$D$1048576,'Pivot 01 (.)'!$A5,'Salary detail'!$CV$3:$CV$1048576)</f>
        <v>0</v>
      </c>
      <c r="S5" s="134">
        <f>+SUMIF('Salary detail'!$D$3:$D$1048576,'Pivot 01 (.)'!$A5,'Salary detail'!$DS$3:$DS$1048576)</f>
        <v>0</v>
      </c>
      <c r="T5" s="134">
        <v>0</v>
      </c>
      <c r="U5" s="116">
        <f t="shared" ref="U5:U35" si="0">ROUND(I5-SUM(J5:L5,P5,R5,S5,T5),0)</f>
        <v>0</v>
      </c>
      <c r="V5" s="116"/>
    </row>
    <row r="6" spans="1:22" s="117" customFormat="1" ht="21" customHeight="1">
      <c r="A6" s="105" t="s">
        <v>185</v>
      </c>
      <c r="B6" s="114" t="s">
        <v>186</v>
      </c>
      <c r="C6" s="115">
        <f>+COUNTIF('Salary detail'!$D$3:$D$1048576,'Pivot 01 (.)'!$A6)</f>
        <v>0</v>
      </c>
      <c r="D6" s="133">
        <f>+SUMIF('Salary detail'!$D$3:$D$1048576,'Pivot 01 (.)'!$A6,'Salary detail'!$J$3:$J$1048576)</f>
        <v>0</v>
      </c>
      <c r="E6" s="133">
        <f>+SUMIF('Salary detail'!$D$3:$D$1048576,'Pivot 01 (.)'!$A6,'Salary detail'!$K$3:$K$1048576)</f>
        <v>0</v>
      </c>
      <c r="F6" s="133">
        <f>+SUMIF('Salary detail'!$D$3:$D$1048576,'Pivot 01 (.)'!$A6,'Salary detail'!$L$3:$L$1048576)</f>
        <v>0</v>
      </c>
      <c r="G6" s="133">
        <f>+SUMIF('Salary detail'!$D$3:$D$1048576,'Pivot 01 (.)'!$A6,'Salary detail'!$N$3:$N$1048576)</f>
        <v>0</v>
      </c>
      <c r="H6" s="133">
        <f>+SUMIF('Salary detail'!$D$3:$D$1048576,'Pivot 01 (.)'!$A6,'Salary detail'!$O$3:$O$1048576)</f>
        <v>0</v>
      </c>
      <c r="I6" s="134">
        <f>+SUMIF('Salary detail'!$D$3:$D$1048576,'Pivot 01 (.)'!$A6,'Salary detail'!$CJ$3:$CJ$1048576)</f>
        <v>0</v>
      </c>
      <c r="J6" s="134">
        <f>+SUMIF('Salary detail'!$D$3:$D$1048576,'Pivot 01 (.)'!$A6,'Salary detail'!$DI$3:$DI$1048576)</f>
        <v>0</v>
      </c>
      <c r="K6" s="134">
        <f>+SUMIF('Salary detail'!$D$3:$D$1048576,'Pivot 01 (.)'!$A6,'Salary detail'!$DJ$3:$DJ$1048576)</f>
        <v>0</v>
      </c>
      <c r="L6" s="134">
        <f>+SUMIF('Salary detail'!$D$3:$D$1048576,'Pivot 01 (.)'!$A6,'Salary detail'!$DK$3:$DK$1048576)</f>
        <v>0</v>
      </c>
      <c r="M6" s="134">
        <f>+SUMIF('Salary detail'!$D$3:$D$1048576,'Pivot 01 (.)'!$A6,'Salary detail'!$DL$3:$DL$1048576)+SUMIF('Salary detail'!$D$3:$D$1048576,'Pivot 01 (.)'!$A6,'Salary detail'!$DM$3:$DM$1048576)</f>
        <v>0</v>
      </c>
      <c r="N6" s="134">
        <f>+SUMIF('Salary detail'!$D$3:$D$1048576,'Pivot 01 (.)'!$A6,'Salary detail'!$DN$3:$DN$1048576)</f>
        <v>0</v>
      </c>
      <c r="O6" s="134">
        <f>+SUMIF('Salary detail'!$D$3:$D$1048576,'Pivot 01 (.)'!$A6,'Salary detail'!$DO$3:$DO$1048576)</f>
        <v>0</v>
      </c>
      <c r="P6" s="134">
        <f>+SUMIF('Salary detail'!$D$3:$D$1048576,'Pivot 01 (.)'!$A6,'Salary detail'!$DP$3:$DP$1048576)</f>
        <v>0</v>
      </c>
      <c r="Q6" s="134">
        <f>+SUMIF('Salary detail'!$D$3:$D$1048576,'Pivot 01 (.)'!$A6,'Salary detail'!$DQ$3:$DQ$1048576)</f>
        <v>0</v>
      </c>
      <c r="R6" s="134">
        <f>+SUMIF('Salary detail'!$D$3:$D$1048576,'Pivot 01 (.)'!$A6,'Salary detail'!$CV$3:$CV$1048576)</f>
        <v>0</v>
      </c>
      <c r="S6" s="134">
        <f>+SUMIF('Salary detail'!$D$3:$D$1048576,'Pivot 01 (.)'!$A6,'Salary detail'!$DS$3:$DS$1048576)</f>
        <v>0</v>
      </c>
      <c r="T6" s="134">
        <v>0</v>
      </c>
      <c r="U6" s="116">
        <f t="shared" si="0"/>
        <v>0</v>
      </c>
      <c r="V6" s="116"/>
    </row>
    <row r="7" spans="1:22" s="117" customFormat="1" ht="21" customHeight="1">
      <c r="A7" s="105" t="s">
        <v>187</v>
      </c>
      <c r="B7" s="114" t="s">
        <v>188</v>
      </c>
      <c r="C7" s="115">
        <f>+COUNTIF('Salary detail'!$D$3:$D$1048576,'Pivot 01 (.)'!$A7)</f>
        <v>0</v>
      </c>
      <c r="D7" s="133">
        <f>+SUMIF('Salary detail'!$D$3:$D$1048576,'Pivot 01 (.)'!$A7,'Salary detail'!$J$3:$J$1048576)</f>
        <v>0</v>
      </c>
      <c r="E7" s="133">
        <f>+SUMIF('Salary detail'!$D$3:$D$1048576,'Pivot 01 (.)'!$A7,'Salary detail'!$K$3:$K$1048576)</f>
        <v>0</v>
      </c>
      <c r="F7" s="133">
        <f>+SUMIF('Salary detail'!$D$3:$D$1048576,'Pivot 01 (.)'!$A7,'Salary detail'!$L$3:$L$1048576)</f>
        <v>0</v>
      </c>
      <c r="G7" s="133">
        <f>+SUMIF('Salary detail'!$D$3:$D$1048576,'Pivot 01 (.)'!$A7,'Salary detail'!$N$3:$N$1048576)</f>
        <v>0</v>
      </c>
      <c r="H7" s="133">
        <f>+SUMIF('Salary detail'!$D$3:$D$1048576,'Pivot 01 (.)'!$A7,'Salary detail'!$O$3:$O$1048576)</f>
        <v>0</v>
      </c>
      <c r="I7" s="134">
        <f>+SUMIF('Salary detail'!$D$3:$D$1048576,'Pivot 01 (.)'!$A7,'Salary detail'!$CJ$3:$CJ$1048576)</f>
        <v>0</v>
      </c>
      <c r="J7" s="134">
        <f>+SUMIF('Salary detail'!$D$3:$D$1048576,'Pivot 01 (.)'!$A7,'Salary detail'!$DI$3:$DI$1048576)</f>
        <v>0</v>
      </c>
      <c r="K7" s="134">
        <f>+SUMIF('Salary detail'!$D$3:$D$1048576,'Pivot 01 (.)'!$A7,'Salary detail'!$DJ$3:$DJ$1048576)</f>
        <v>0</v>
      </c>
      <c r="L7" s="134">
        <f>+SUMIF('Salary detail'!$D$3:$D$1048576,'Pivot 01 (.)'!$A7,'Salary detail'!$DK$3:$DK$1048576)</f>
        <v>0</v>
      </c>
      <c r="M7" s="134">
        <f>+SUMIF('Salary detail'!$D$3:$D$1048576,'Pivot 01 (.)'!$A7,'Salary detail'!$DL$3:$DL$1048576)+SUMIF('Salary detail'!$D$3:$D$1048576,'Pivot 01 (.)'!$A7,'Salary detail'!$DM$3:$DM$1048576)</f>
        <v>0</v>
      </c>
      <c r="N7" s="134">
        <f>+SUMIF('Salary detail'!$D$3:$D$1048576,'Pivot 01 (.)'!$A7,'Salary detail'!$DN$3:$DN$1048576)</f>
        <v>0</v>
      </c>
      <c r="O7" s="134">
        <f>+SUMIF('Salary detail'!$D$3:$D$1048576,'Pivot 01 (.)'!$A7,'Salary detail'!$DO$3:$DO$1048576)</f>
        <v>0</v>
      </c>
      <c r="P7" s="134">
        <f>+SUMIF('Salary detail'!$D$3:$D$1048576,'Pivot 01 (.)'!$A7,'Salary detail'!$DP$3:$DP$1048576)</f>
        <v>0</v>
      </c>
      <c r="Q7" s="134">
        <f>+SUMIF('Salary detail'!$D$3:$D$1048576,'Pivot 01 (.)'!$A7,'Salary detail'!$DQ$3:$DQ$1048576)</f>
        <v>0</v>
      </c>
      <c r="R7" s="134">
        <f>+SUMIF('Salary detail'!$D$3:$D$1048576,'Pivot 01 (.)'!$A7,'Salary detail'!$CV$3:$CV$1048576)</f>
        <v>0</v>
      </c>
      <c r="S7" s="134">
        <f>+SUMIF('Salary detail'!$D$3:$D$1048576,'Pivot 01 (.)'!$A7,'Salary detail'!$DS$3:$DS$1048576)</f>
        <v>0</v>
      </c>
      <c r="T7" s="134">
        <v>0</v>
      </c>
      <c r="U7" s="116">
        <f t="shared" si="0"/>
        <v>0</v>
      </c>
      <c r="V7" s="116"/>
    </row>
    <row r="8" spans="1:22" s="118" customFormat="1" ht="21" customHeight="1">
      <c r="A8" s="105" t="s">
        <v>189</v>
      </c>
      <c r="B8" s="114" t="s">
        <v>190</v>
      </c>
      <c r="C8" s="115">
        <f>+COUNTIF('Salary detail'!$D$3:$D$1048576,'Pivot 01 (.)'!$A8)</f>
        <v>0</v>
      </c>
      <c r="D8" s="133">
        <f>+SUMIF('Salary detail'!$D$3:$D$1048576,'Pivot 01 (.)'!$A8,'Salary detail'!$J$3:$J$1048576)</f>
        <v>0</v>
      </c>
      <c r="E8" s="133">
        <f>+SUMIF('Salary detail'!$D$3:$D$1048576,'Pivot 01 (.)'!$A8,'Salary detail'!$K$3:$K$1048576)</f>
        <v>0</v>
      </c>
      <c r="F8" s="133">
        <f>+SUMIF('Salary detail'!$D$3:$D$1048576,'Pivot 01 (.)'!$A8,'Salary detail'!$L$3:$L$1048576)</f>
        <v>0</v>
      </c>
      <c r="G8" s="133">
        <f>+SUMIF('Salary detail'!$D$3:$D$1048576,'Pivot 01 (.)'!$A8,'Salary detail'!$N$3:$N$1048576)</f>
        <v>0</v>
      </c>
      <c r="H8" s="133">
        <f>+SUMIF('Salary detail'!$D$3:$D$1048576,'Pivot 01 (.)'!$A8,'Salary detail'!$O$3:$O$1048576)</f>
        <v>0</v>
      </c>
      <c r="I8" s="134">
        <f>+SUMIF('Salary detail'!$D$3:$D$1048576,'Pivot 01 (.)'!$A8,'Salary detail'!$CJ$3:$CJ$1048576)</f>
        <v>0</v>
      </c>
      <c r="J8" s="134">
        <f>+SUMIF('Salary detail'!$D$3:$D$1048576,'Pivot 01 (.)'!$A8,'Salary detail'!$DI$3:$DI$1048576)</f>
        <v>0</v>
      </c>
      <c r="K8" s="134">
        <f>+SUMIF('Salary detail'!$D$3:$D$1048576,'Pivot 01 (.)'!$A8,'Salary detail'!$DJ$3:$DJ$1048576)</f>
        <v>0</v>
      </c>
      <c r="L8" s="134">
        <f>+SUMIF('Salary detail'!$D$3:$D$1048576,'Pivot 01 (.)'!$A8,'Salary detail'!$DK$3:$DK$1048576)</f>
        <v>0</v>
      </c>
      <c r="M8" s="134">
        <f>+SUMIF('Salary detail'!$D$3:$D$1048576,'Pivot 01 (.)'!$A8,'Salary detail'!$DL$3:$DL$1048576)+SUMIF('Salary detail'!$D$3:$D$1048576,'Pivot 01 (.)'!$A8,'Salary detail'!$DM$3:$DM$1048576)</f>
        <v>0</v>
      </c>
      <c r="N8" s="134">
        <f>+SUMIF('Salary detail'!$D$3:$D$1048576,'Pivot 01 (.)'!$A8,'Salary detail'!$DN$3:$DN$1048576)</f>
        <v>0</v>
      </c>
      <c r="O8" s="134">
        <f>+SUMIF('Salary detail'!$D$3:$D$1048576,'Pivot 01 (.)'!$A8,'Salary detail'!$DO$3:$DO$1048576)</f>
        <v>0</v>
      </c>
      <c r="P8" s="134">
        <f>+SUMIF('Salary detail'!$D$3:$D$1048576,'Pivot 01 (.)'!$A8,'Salary detail'!$DP$3:$DP$1048576)</f>
        <v>0</v>
      </c>
      <c r="Q8" s="134">
        <f>+SUMIF('Salary detail'!$D$3:$D$1048576,'Pivot 01 (.)'!$A8,'Salary detail'!$DQ$3:$DQ$1048576)</f>
        <v>0</v>
      </c>
      <c r="R8" s="134">
        <f>+SUMIF('Salary detail'!$D$3:$D$1048576,'Pivot 01 (.)'!$A8,'Salary detail'!$CV$3:$CV$1048576)</f>
        <v>0</v>
      </c>
      <c r="S8" s="134">
        <f>+SUMIF('Salary detail'!$D$3:$D$1048576,'Pivot 01 (.)'!$A8,'Salary detail'!$DS$3:$DS$1048576)</f>
        <v>0</v>
      </c>
      <c r="T8" s="134">
        <v>0</v>
      </c>
      <c r="U8" s="116">
        <f t="shared" si="0"/>
        <v>0</v>
      </c>
      <c r="V8" s="116"/>
    </row>
    <row r="9" spans="1:22" s="118" customFormat="1" ht="21" customHeight="1">
      <c r="A9" s="105" t="s">
        <v>191</v>
      </c>
      <c r="B9" s="114" t="s">
        <v>192</v>
      </c>
      <c r="C9" s="115">
        <f>+COUNTIF('Salary detail'!$D$3:$D$1048576,'Pivot 01 (.)'!$A9)</f>
        <v>0</v>
      </c>
      <c r="D9" s="133">
        <f>+SUMIF('Salary detail'!$D$3:$D$1048576,'Pivot 01 (.)'!$A9,'Salary detail'!$J$3:$J$1048576)</f>
        <v>0</v>
      </c>
      <c r="E9" s="133">
        <f>+SUMIF('Salary detail'!$D$3:$D$1048576,'Pivot 01 (.)'!$A9,'Salary detail'!$K$3:$K$1048576)</f>
        <v>0</v>
      </c>
      <c r="F9" s="133">
        <f>+SUMIF('Salary detail'!$D$3:$D$1048576,'Pivot 01 (.)'!$A9,'Salary detail'!$L$3:$L$1048576)</f>
        <v>0</v>
      </c>
      <c r="G9" s="133">
        <f>+SUMIF('Salary detail'!$D$3:$D$1048576,'Pivot 01 (.)'!$A9,'Salary detail'!$N$3:$N$1048576)</f>
        <v>0</v>
      </c>
      <c r="H9" s="133">
        <f>+SUMIF('Salary detail'!$D$3:$D$1048576,'Pivot 01 (.)'!$A9,'Salary detail'!$O$3:$O$1048576)</f>
        <v>0</v>
      </c>
      <c r="I9" s="134">
        <f>+SUMIF('Salary detail'!$D$3:$D$1048576,'Pivot 01 (.)'!$A9,'Salary detail'!$CJ$3:$CJ$1048576)</f>
        <v>0</v>
      </c>
      <c r="J9" s="134">
        <f>+SUMIF('Salary detail'!$D$3:$D$1048576,'Pivot 01 (.)'!$A9,'Salary detail'!$DI$3:$DI$1048576)</f>
        <v>0</v>
      </c>
      <c r="K9" s="134">
        <f>+SUMIF('Salary detail'!$D$3:$D$1048576,'Pivot 01 (.)'!$A9,'Salary detail'!$DJ$3:$DJ$1048576)</f>
        <v>0</v>
      </c>
      <c r="L9" s="134">
        <f>+SUMIF('Salary detail'!$D$3:$D$1048576,'Pivot 01 (.)'!$A9,'Salary detail'!$DK$3:$DK$1048576)</f>
        <v>0</v>
      </c>
      <c r="M9" s="134">
        <f>+SUMIF('Salary detail'!$D$3:$D$1048576,'Pivot 01 (.)'!$A9,'Salary detail'!$DL$3:$DL$1048576)+SUMIF('Salary detail'!$D$3:$D$1048576,'Pivot 01 (.)'!$A9,'Salary detail'!$DM$3:$DM$1048576)</f>
        <v>0</v>
      </c>
      <c r="N9" s="134">
        <f>+SUMIF('Salary detail'!$D$3:$D$1048576,'Pivot 01 (.)'!$A9,'Salary detail'!$DN$3:$DN$1048576)</f>
        <v>0</v>
      </c>
      <c r="O9" s="134">
        <f>+SUMIF('Salary detail'!$D$3:$D$1048576,'Pivot 01 (.)'!$A9,'Salary detail'!$DO$3:$DO$1048576)</f>
        <v>0</v>
      </c>
      <c r="P9" s="134">
        <f>+SUMIF('Salary detail'!$D$3:$D$1048576,'Pivot 01 (.)'!$A9,'Salary detail'!$DP$3:$DP$1048576)</f>
        <v>0</v>
      </c>
      <c r="Q9" s="134">
        <f>+SUMIF('Salary detail'!$D$3:$D$1048576,'Pivot 01 (.)'!$A9,'Salary detail'!$DQ$3:$DQ$1048576)</f>
        <v>0</v>
      </c>
      <c r="R9" s="134">
        <f>+SUMIF('Salary detail'!$D$3:$D$1048576,'Pivot 01 (.)'!$A9,'Salary detail'!$CV$3:$CV$1048576)</f>
        <v>0</v>
      </c>
      <c r="S9" s="134">
        <f>+SUMIF('Salary detail'!$D$3:$D$1048576,'Pivot 01 (.)'!$A9,'Salary detail'!$DS$3:$DS$1048576)</f>
        <v>0</v>
      </c>
      <c r="T9" s="134">
        <v>0</v>
      </c>
      <c r="U9" s="116">
        <f t="shared" si="0"/>
        <v>0</v>
      </c>
      <c r="V9" s="116"/>
    </row>
    <row r="10" spans="1:22" s="118" customFormat="1" ht="21" customHeight="1">
      <c r="A10" s="105">
        <v>201016</v>
      </c>
      <c r="B10" s="114" t="s">
        <v>193</v>
      </c>
      <c r="C10" s="115">
        <f>+COUNTIF('Salary detail'!$D$3:$D$1048576,'Pivot 01 (.)'!$A10)</f>
        <v>0</v>
      </c>
      <c r="D10" s="133">
        <f>+SUMIF('Salary detail'!$D$3:$D$1048576,'Pivot 01 (.)'!$A10,'Salary detail'!$J$3:$J$1048576)</f>
        <v>0</v>
      </c>
      <c r="E10" s="133">
        <f>+SUMIF('Salary detail'!$D$3:$D$1048576,'Pivot 01 (.)'!$A10,'Salary detail'!$K$3:$K$1048576)</f>
        <v>0</v>
      </c>
      <c r="F10" s="133">
        <f>+SUMIF('Salary detail'!$D$3:$D$1048576,'Pivot 01 (.)'!$A10,'Salary detail'!$L$3:$L$1048576)</f>
        <v>0</v>
      </c>
      <c r="G10" s="133">
        <f>+SUMIF('Salary detail'!$D$3:$D$1048576,'Pivot 01 (.)'!$A10,'Salary detail'!$N$3:$N$1048576)</f>
        <v>0</v>
      </c>
      <c r="H10" s="133">
        <f>+SUMIF('Salary detail'!$D$3:$D$1048576,'Pivot 01 (.)'!$A10,'Salary detail'!$O$3:$O$1048576)</f>
        <v>0</v>
      </c>
      <c r="I10" s="134">
        <f>+SUMIF('Salary detail'!$D$3:$D$1048576,'Pivot 01 (.)'!$A10,'Salary detail'!$CJ$3:$CJ$1048576)</f>
        <v>0</v>
      </c>
      <c r="J10" s="134">
        <f>+SUMIF('Salary detail'!$D$3:$D$1048576,'Pivot 01 (.)'!$A10,'Salary detail'!$DI$3:$DI$1048576)</f>
        <v>0</v>
      </c>
      <c r="K10" s="134">
        <f>+SUMIF('Salary detail'!$D$3:$D$1048576,'Pivot 01 (.)'!$A10,'Salary detail'!$DJ$3:$DJ$1048576)</f>
        <v>0</v>
      </c>
      <c r="L10" s="134">
        <f>+SUMIF('Salary detail'!$D$3:$D$1048576,'Pivot 01 (.)'!$A10,'Salary detail'!$DK$3:$DK$1048576)</f>
        <v>0</v>
      </c>
      <c r="M10" s="134">
        <f>+SUMIF('Salary detail'!$D$3:$D$1048576,'Pivot 01 (.)'!$A10,'Salary detail'!$DL$3:$DL$1048576)+SUMIF('Salary detail'!$D$3:$D$1048576,'Pivot 01 (.)'!$A10,'Salary detail'!$DM$3:$DM$1048576)</f>
        <v>0</v>
      </c>
      <c r="N10" s="134">
        <f>+SUMIF('Salary detail'!$D$3:$D$1048576,'Pivot 01 (.)'!$A10,'Salary detail'!$DN$3:$DN$1048576)</f>
        <v>0</v>
      </c>
      <c r="O10" s="134">
        <f>+SUMIF('Salary detail'!$D$3:$D$1048576,'Pivot 01 (.)'!$A10,'Salary detail'!$DO$3:$DO$1048576)</f>
        <v>0</v>
      </c>
      <c r="P10" s="134">
        <f>+SUMIF('Salary detail'!$D$3:$D$1048576,'Pivot 01 (.)'!$A10,'Salary detail'!$DP$3:$DP$1048576)</f>
        <v>0</v>
      </c>
      <c r="Q10" s="134">
        <f>+SUMIF('Salary detail'!$D$3:$D$1048576,'Pivot 01 (.)'!$A10,'Salary detail'!$DQ$3:$DQ$1048576)</f>
        <v>0</v>
      </c>
      <c r="R10" s="134">
        <f>+SUMIF('Salary detail'!$D$3:$D$1048576,'Pivot 01 (.)'!$A10,'Salary detail'!$CV$3:$CV$1048576)</f>
        <v>0</v>
      </c>
      <c r="S10" s="134">
        <f>+SUMIF('Salary detail'!$D$3:$D$1048576,'Pivot 01 (.)'!$A10,'Salary detail'!$DS$3:$DS$1048576)</f>
        <v>0</v>
      </c>
      <c r="T10" s="134">
        <v>0</v>
      </c>
      <c r="U10" s="116">
        <f t="shared" si="0"/>
        <v>0</v>
      </c>
      <c r="V10" s="116"/>
    </row>
    <row r="11" spans="1:22" s="118" customFormat="1" ht="21" customHeight="1">
      <c r="A11" s="105" t="s">
        <v>194</v>
      </c>
      <c r="B11" s="114" t="s">
        <v>195</v>
      </c>
      <c r="C11" s="115">
        <f>+COUNTIF('Salary detail'!$D$3:$D$1048576,'Pivot 01 (.)'!$A11)</f>
        <v>0</v>
      </c>
      <c r="D11" s="133">
        <f>+SUMIF('Salary detail'!$D$3:$D$1048576,'Pivot 01 (.)'!$A11,'Salary detail'!$J$3:$J$1048576)</f>
        <v>0</v>
      </c>
      <c r="E11" s="133">
        <f>+SUMIF('Salary detail'!$D$3:$D$1048576,'Pivot 01 (.)'!$A11,'Salary detail'!$K$3:$K$1048576)</f>
        <v>0</v>
      </c>
      <c r="F11" s="133">
        <f>+SUMIF('Salary detail'!$D$3:$D$1048576,'Pivot 01 (.)'!$A11,'Salary detail'!$L$3:$L$1048576)</f>
        <v>0</v>
      </c>
      <c r="G11" s="133">
        <f>+SUMIF('Salary detail'!$D$3:$D$1048576,'Pivot 01 (.)'!$A11,'Salary detail'!$N$3:$N$1048576)</f>
        <v>0</v>
      </c>
      <c r="H11" s="133">
        <f>+SUMIF('Salary detail'!$D$3:$D$1048576,'Pivot 01 (.)'!$A11,'Salary detail'!$O$3:$O$1048576)</f>
        <v>0</v>
      </c>
      <c r="I11" s="134">
        <f>+SUMIF('Salary detail'!$D$3:$D$1048576,'Pivot 01 (.)'!$A11,'Salary detail'!$CJ$3:$CJ$1048576)</f>
        <v>0</v>
      </c>
      <c r="J11" s="134">
        <f>+SUMIF('Salary detail'!$D$3:$D$1048576,'Pivot 01 (.)'!$A11,'Salary detail'!$DI$3:$DI$1048576)</f>
        <v>0</v>
      </c>
      <c r="K11" s="134">
        <f>+SUMIF('Salary detail'!$D$3:$D$1048576,'Pivot 01 (.)'!$A11,'Salary detail'!$DJ$3:$DJ$1048576)</f>
        <v>0</v>
      </c>
      <c r="L11" s="134">
        <f>+SUMIF('Salary detail'!$D$3:$D$1048576,'Pivot 01 (.)'!$A11,'Salary detail'!$DK$3:$DK$1048576)</f>
        <v>0</v>
      </c>
      <c r="M11" s="134">
        <f>+SUMIF('Salary detail'!$D$3:$D$1048576,'Pivot 01 (.)'!$A11,'Salary detail'!$DL$3:$DL$1048576)+SUMIF('Salary detail'!$D$3:$D$1048576,'Pivot 01 (.)'!$A11,'Salary detail'!$DM$3:$DM$1048576)</f>
        <v>0</v>
      </c>
      <c r="N11" s="134">
        <f>+SUMIF('Salary detail'!$D$3:$D$1048576,'Pivot 01 (.)'!$A11,'Salary detail'!$DN$3:$DN$1048576)</f>
        <v>0</v>
      </c>
      <c r="O11" s="134">
        <f>+SUMIF('Salary detail'!$D$3:$D$1048576,'Pivot 01 (.)'!$A11,'Salary detail'!$DO$3:$DO$1048576)</f>
        <v>0</v>
      </c>
      <c r="P11" s="134">
        <f>+SUMIF('Salary detail'!$D$3:$D$1048576,'Pivot 01 (.)'!$A11,'Salary detail'!$DP$3:$DP$1048576)</f>
        <v>0</v>
      </c>
      <c r="Q11" s="134">
        <f>+SUMIF('Salary detail'!$D$3:$D$1048576,'Pivot 01 (.)'!$A11,'Salary detail'!$DQ$3:$DQ$1048576)</f>
        <v>0</v>
      </c>
      <c r="R11" s="134">
        <f>+SUMIF('Salary detail'!$D$3:$D$1048576,'Pivot 01 (.)'!$A11,'Salary detail'!$CV$3:$CV$1048576)</f>
        <v>0</v>
      </c>
      <c r="S11" s="134">
        <f>+SUMIF('Salary detail'!$D$3:$D$1048576,'Pivot 01 (.)'!$A11,'Salary detail'!$DS$3:$DS$1048576)</f>
        <v>0</v>
      </c>
      <c r="T11" s="134">
        <v>0</v>
      </c>
      <c r="U11" s="116">
        <f t="shared" si="0"/>
        <v>0</v>
      </c>
      <c r="V11" s="116"/>
    </row>
    <row r="12" spans="1:22" s="117" customFormat="1" ht="21" customHeight="1">
      <c r="A12" s="105" t="s">
        <v>196</v>
      </c>
      <c r="B12" s="114" t="s">
        <v>197</v>
      </c>
      <c r="C12" s="115">
        <f>+COUNTIF('Salary detail'!$D$3:$D$1048576,'Pivot 01 (.)'!$A12)</f>
        <v>0</v>
      </c>
      <c r="D12" s="133">
        <f>+SUMIF('Salary detail'!$D$3:$D$1048576,'Pivot 01 (.)'!$A12,'Salary detail'!$J$3:$J$1048576)</f>
        <v>0</v>
      </c>
      <c r="E12" s="133">
        <f>+SUMIF('Salary detail'!$D$3:$D$1048576,'Pivot 01 (.)'!$A12,'Salary detail'!$K$3:$K$1048576)</f>
        <v>0</v>
      </c>
      <c r="F12" s="133">
        <f>+SUMIF('Salary detail'!$D$3:$D$1048576,'Pivot 01 (.)'!$A12,'Salary detail'!$L$3:$L$1048576)</f>
        <v>0</v>
      </c>
      <c r="G12" s="133">
        <f>+SUMIF('Salary detail'!$D$3:$D$1048576,'Pivot 01 (.)'!$A12,'Salary detail'!$N$3:$N$1048576)</f>
        <v>0</v>
      </c>
      <c r="H12" s="133">
        <f>+SUMIF('Salary detail'!$D$3:$D$1048576,'Pivot 01 (.)'!$A12,'Salary detail'!$O$3:$O$1048576)</f>
        <v>0</v>
      </c>
      <c r="I12" s="134">
        <f>+SUMIF('Salary detail'!$D$3:$D$1048576,'Pivot 01 (.)'!$A12,'Salary detail'!$CJ$3:$CJ$1048576)</f>
        <v>0</v>
      </c>
      <c r="J12" s="134">
        <f>+SUMIF('Salary detail'!$D$3:$D$1048576,'Pivot 01 (.)'!$A12,'Salary detail'!$DI$3:$DI$1048576)</f>
        <v>0</v>
      </c>
      <c r="K12" s="134">
        <f>+SUMIF('Salary detail'!$D$3:$D$1048576,'Pivot 01 (.)'!$A12,'Salary detail'!$DJ$3:$DJ$1048576)</f>
        <v>0</v>
      </c>
      <c r="L12" s="134">
        <f>+SUMIF('Salary detail'!$D$3:$D$1048576,'Pivot 01 (.)'!$A12,'Salary detail'!$DK$3:$DK$1048576)</f>
        <v>0</v>
      </c>
      <c r="M12" s="134">
        <f>+SUMIF('Salary detail'!$D$3:$D$1048576,'Pivot 01 (.)'!$A12,'Salary detail'!$DL$3:$DL$1048576)+SUMIF('Salary detail'!$D$3:$D$1048576,'Pivot 01 (.)'!$A12,'Salary detail'!$DM$3:$DM$1048576)</f>
        <v>0</v>
      </c>
      <c r="N12" s="134">
        <f>+SUMIF('Salary detail'!$D$3:$D$1048576,'Pivot 01 (.)'!$A12,'Salary detail'!$DN$3:$DN$1048576)</f>
        <v>0</v>
      </c>
      <c r="O12" s="134">
        <f>+SUMIF('Salary detail'!$D$3:$D$1048576,'Pivot 01 (.)'!$A12,'Salary detail'!$DO$3:$DO$1048576)</f>
        <v>0</v>
      </c>
      <c r="P12" s="134">
        <f>+SUMIF('Salary detail'!$D$3:$D$1048576,'Pivot 01 (.)'!$A12,'Salary detail'!$DP$3:$DP$1048576)</f>
        <v>0</v>
      </c>
      <c r="Q12" s="134">
        <f>+SUMIF('Salary detail'!$D$3:$D$1048576,'Pivot 01 (.)'!$A12,'Salary detail'!$DQ$3:$DQ$1048576)</f>
        <v>0</v>
      </c>
      <c r="R12" s="134">
        <f>+SUMIF('Salary detail'!$D$3:$D$1048576,'Pivot 01 (.)'!$A12,'Salary detail'!$CV$3:$CV$1048576)</f>
        <v>0</v>
      </c>
      <c r="S12" s="134">
        <f>+SUMIF('Salary detail'!$D$3:$D$1048576,'Pivot 01 (.)'!$A12,'Salary detail'!$DS$3:$DS$1048576)</f>
        <v>0</v>
      </c>
      <c r="T12" s="134">
        <v>0</v>
      </c>
      <c r="U12" s="116">
        <f t="shared" si="0"/>
        <v>0</v>
      </c>
      <c r="V12" s="116"/>
    </row>
    <row r="13" spans="1:22" s="117" customFormat="1" ht="21" customHeight="1">
      <c r="A13" s="105" t="s">
        <v>198</v>
      </c>
      <c r="B13" s="114" t="s">
        <v>199</v>
      </c>
      <c r="C13" s="115">
        <f>+COUNTIF('Salary detail'!$D$3:$D$1048576,'Pivot 01 (.)'!$A13)</f>
        <v>0</v>
      </c>
      <c r="D13" s="133">
        <f>+SUMIF('Salary detail'!$D$3:$D$1048576,'Pivot 01 (.)'!$A13,'Salary detail'!$J$3:$J$1048576)</f>
        <v>0</v>
      </c>
      <c r="E13" s="133">
        <f>+SUMIF('Salary detail'!$D$3:$D$1048576,'Pivot 01 (.)'!$A13,'Salary detail'!$K$3:$K$1048576)</f>
        <v>0</v>
      </c>
      <c r="F13" s="133">
        <f>+SUMIF('Salary detail'!$D$3:$D$1048576,'Pivot 01 (.)'!$A13,'Salary detail'!$L$3:$L$1048576)</f>
        <v>0</v>
      </c>
      <c r="G13" s="133">
        <f>+SUMIF('Salary detail'!$D$3:$D$1048576,'Pivot 01 (.)'!$A13,'Salary detail'!$N$3:$N$1048576)</f>
        <v>0</v>
      </c>
      <c r="H13" s="133">
        <f>+SUMIF('Salary detail'!$D$3:$D$1048576,'Pivot 01 (.)'!$A13,'Salary detail'!$O$3:$O$1048576)</f>
        <v>0</v>
      </c>
      <c r="I13" s="134">
        <f>+SUMIF('Salary detail'!$D$3:$D$1048576,'Pivot 01 (.)'!$A13,'Salary detail'!$CJ$3:$CJ$1048576)</f>
        <v>0</v>
      </c>
      <c r="J13" s="134">
        <f>+SUMIF('Salary detail'!$D$3:$D$1048576,'Pivot 01 (.)'!$A13,'Salary detail'!$DI$3:$DI$1048576)</f>
        <v>0</v>
      </c>
      <c r="K13" s="134">
        <f>+SUMIF('Salary detail'!$D$3:$D$1048576,'Pivot 01 (.)'!$A13,'Salary detail'!$DJ$3:$DJ$1048576)</f>
        <v>0</v>
      </c>
      <c r="L13" s="134">
        <f>+SUMIF('Salary detail'!$D$3:$D$1048576,'Pivot 01 (.)'!$A13,'Salary detail'!$DK$3:$DK$1048576)</f>
        <v>0</v>
      </c>
      <c r="M13" s="134">
        <f>+SUMIF('Salary detail'!$D$3:$D$1048576,'Pivot 01 (.)'!$A13,'Salary detail'!$DL$3:$DL$1048576)+SUMIF('Salary detail'!$D$3:$D$1048576,'Pivot 01 (.)'!$A13,'Salary detail'!$DM$3:$DM$1048576)</f>
        <v>0</v>
      </c>
      <c r="N13" s="134">
        <f>+SUMIF('Salary detail'!$D$3:$D$1048576,'Pivot 01 (.)'!$A13,'Salary detail'!$DN$3:$DN$1048576)</f>
        <v>0</v>
      </c>
      <c r="O13" s="134">
        <f>+SUMIF('Salary detail'!$D$3:$D$1048576,'Pivot 01 (.)'!$A13,'Salary detail'!$DO$3:$DO$1048576)</f>
        <v>0</v>
      </c>
      <c r="P13" s="134">
        <f>+SUMIF('Salary detail'!$D$3:$D$1048576,'Pivot 01 (.)'!$A13,'Salary detail'!$DP$3:$DP$1048576)</f>
        <v>0</v>
      </c>
      <c r="Q13" s="134">
        <f>+SUMIF('Salary detail'!$D$3:$D$1048576,'Pivot 01 (.)'!$A13,'Salary detail'!$DQ$3:$DQ$1048576)</f>
        <v>0</v>
      </c>
      <c r="R13" s="134">
        <f>+SUMIF('Salary detail'!$D$3:$D$1048576,'Pivot 01 (.)'!$A13,'Salary detail'!$CV$3:$CV$1048576)</f>
        <v>0</v>
      </c>
      <c r="S13" s="134">
        <f>+SUMIF('Salary detail'!$D$3:$D$1048576,'Pivot 01 (.)'!$A13,'Salary detail'!$DS$3:$DS$1048576)</f>
        <v>0</v>
      </c>
      <c r="T13" s="134">
        <v>0</v>
      </c>
      <c r="U13" s="116">
        <f t="shared" si="0"/>
        <v>0</v>
      </c>
      <c r="V13" s="116"/>
    </row>
    <row r="14" spans="1:22" s="117" customFormat="1" ht="21" customHeight="1">
      <c r="A14" s="105" t="s">
        <v>200</v>
      </c>
      <c r="B14" s="114" t="s">
        <v>201</v>
      </c>
      <c r="C14" s="115">
        <f>+COUNTIF('Salary detail'!$D$3:$D$1048576,'Pivot 01 (.)'!$A14)</f>
        <v>0</v>
      </c>
      <c r="D14" s="133">
        <f>+SUMIF('Salary detail'!$D$3:$D$1048576,'Pivot 01 (.)'!$A14,'Salary detail'!$J$3:$J$1048576)</f>
        <v>0</v>
      </c>
      <c r="E14" s="133">
        <f>+SUMIF('Salary detail'!$D$3:$D$1048576,'Pivot 01 (.)'!$A14,'Salary detail'!$K$3:$K$1048576)</f>
        <v>0</v>
      </c>
      <c r="F14" s="133">
        <f>+SUMIF('Salary detail'!$D$3:$D$1048576,'Pivot 01 (.)'!$A14,'Salary detail'!$L$3:$L$1048576)</f>
        <v>0</v>
      </c>
      <c r="G14" s="133">
        <f>+SUMIF('Salary detail'!$D$3:$D$1048576,'Pivot 01 (.)'!$A14,'Salary detail'!$N$3:$N$1048576)</f>
        <v>0</v>
      </c>
      <c r="H14" s="133">
        <f>+SUMIF('Salary detail'!$D$3:$D$1048576,'Pivot 01 (.)'!$A14,'Salary detail'!$O$3:$O$1048576)</f>
        <v>0</v>
      </c>
      <c r="I14" s="134">
        <f>+SUMIF('Salary detail'!$D$3:$D$1048576,'Pivot 01 (.)'!$A14,'Salary detail'!$CJ$3:$CJ$1048576)</f>
        <v>0</v>
      </c>
      <c r="J14" s="134">
        <f>+SUMIF('Salary detail'!$D$3:$D$1048576,'Pivot 01 (.)'!$A14,'Salary detail'!$DI$3:$DI$1048576)</f>
        <v>0</v>
      </c>
      <c r="K14" s="134">
        <f>+SUMIF('Salary detail'!$D$3:$D$1048576,'Pivot 01 (.)'!$A14,'Salary detail'!$DJ$3:$DJ$1048576)</f>
        <v>0</v>
      </c>
      <c r="L14" s="134">
        <f>+SUMIF('Salary detail'!$D$3:$D$1048576,'Pivot 01 (.)'!$A14,'Salary detail'!$DK$3:$DK$1048576)</f>
        <v>0</v>
      </c>
      <c r="M14" s="134">
        <f>+SUMIF('Salary detail'!$D$3:$D$1048576,'Pivot 01 (.)'!$A14,'Salary detail'!$DL$3:$DL$1048576)+SUMIF('Salary detail'!$D$3:$D$1048576,'Pivot 01 (.)'!$A14,'Salary detail'!$DM$3:$DM$1048576)</f>
        <v>0</v>
      </c>
      <c r="N14" s="134">
        <f>+SUMIF('Salary detail'!$D$3:$D$1048576,'Pivot 01 (.)'!$A14,'Salary detail'!$DN$3:$DN$1048576)</f>
        <v>0</v>
      </c>
      <c r="O14" s="134">
        <f>+SUMIF('Salary detail'!$D$3:$D$1048576,'Pivot 01 (.)'!$A14,'Salary detail'!$DO$3:$DO$1048576)</f>
        <v>0</v>
      </c>
      <c r="P14" s="134">
        <f>+SUMIF('Salary detail'!$D$3:$D$1048576,'Pivot 01 (.)'!$A14,'Salary detail'!$DP$3:$DP$1048576)</f>
        <v>0</v>
      </c>
      <c r="Q14" s="134">
        <f>+SUMIF('Salary detail'!$D$3:$D$1048576,'Pivot 01 (.)'!$A14,'Salary detail'!$DQ$3:$DQ$1048576)</f>
        <v>0</v>
      </c>
      <c r="R14" s="134">
        <f>+SUMIF('Salary detail'!$D$3:$D$1048576,'Pivot 01 (.)'!$A14,'Salary detail'!$CV$3:$CV$1048576)</f>
        <v>0</v>
      </c>
      <c r="S14" s="134">
        <f>+SUMIF('Salary detail'!$D$3:$D$1048576,'Pivot 01 (.)'!$A14,'Salary detail'!$DS$3:$DS$1048576)</f>
        <v>0</v>
      </c>
      <c r="T14" s="134">
        <v>0</v>
      </c>
      <c r="U14" s="116">
        <f t="shared" si="0"/>
        <v>0</v>
      </c>
      <c r="V14" s="116"/>
    </row>
    <row r="15" spans="1:22" s="117" customFormat="1" ht="21" customHeight="1">
      <c r="A15" s="105" t="s">
        <v>202</v>
      </c>
      <c r="B15" s="114" t="s">
        <v>203</v>
      </c>
      <c r="C15" s="115">
        <f>+COUNTIF('Salary detail'!$D$3:$D$1048576,'Pivot 01 (.)'!$A15)</f>
        <v>0</v>
      </c>
      <c r="D15" s="133">
        <f>+SUMIF('Salary detail'!$D$3:$D$1048576,'Pivot 01 (.)'!$A15,'Salary detail'!$J$3:$J$1048576)</f>
        <v>0</v>
      </c>
      <c r="E15" s="133">
        <f>+SUMIF('Salary detail'!$D$3:$D$1048576,'Pivot 01 (.)'!$A15,'Salary detail'!$K$3:$K$1048576)</f>
        <v>0</v>
      </c>
      <c r="F15" s="133">
        <f>+SUMIF('Salary detail'!$D$3:$D$1048576,'Pivot 01 (.)'!$A15,'Salary detail'!$L$3:$L$1048576)</f>
        <v>0</v>
      </c>
      <c r="G15" s="133">
        <f>+SUMIF('Salary detail'!$D$3:$D$1048576,'Pivot 01 (.)'!$A15,'Salary detail'!$N$3:$N$1048576)</f>
        <v>0</v>
      </c>
      <c r="H15" s="133">
        <f>+SUMIF('Salary detail'!$D$3:$D$1048576,'Pivot 01 (.)'!$A15,'Salary detail'!$O$3:$O$1048576)</f>
        <v>0</v>
      </c>
      <c r="I15" s="134">
        <f>+SUMIF('Salary detail'!$D$3:$D$1048576,'Pivot 01 (.)'!$A15,'Salary detail'!$CJ$3:$CJ$1048576)</f>
        <v>0</v>
      </c>
      <c r="J15" s="134">
        <f>+SUMIF('Salary detail'!$D$3:$D$1048576,'Pivot 01 (.)'!$A15,'Salary detail'!$DI$3:$DI$1048576)</f>
        <v>0</v>
      </c>
      <c r="K15" s="134">
        <f>+SUMIF('Salary detail'!$D$3:$D$1048576,'Pivot 01 (.)'!$A15,'Salary detail'!$DJ$3:$DJ$1048576)</f>
        <v>0</v>
      </c>
      <c r="L15" s="134">
        <f>+SUMIF('Salary detail'!$D$3:$D$1048576,'Pivot 01 (.)'!$A15,'Salary detail'!$DK$3:$DK$1048576)</f>
        <v>0</v>
      </c>
      <c r="M15" s="134">
        <f>+SUMIF('Salary detail'!$D$3:$D$1048576,'Pivot 01 (.)'!$A15,'Salary detail'!$DL$3:$DL$1048576)+SUMIF('Salary detail'!$D$3:$D$1048576,'Pivot 01 (.)'!$A15,'Salary detail'!$DM$3:$DM$1048576)</f>
        <v>0</v>
      </c>
      <c r="N15" s="134">
        <f>+SUMIF('Salary detail'!$D$3:$D$1048576,'Pivot 01 (.)'!$A15,'Salary detail'!$DN$3:$DN$1048576)</f>
        <v>0</v>
      </c>
      <c r="O15" s="134">
        <f>+SUMIF('Salary detail'!$D$3:$D$1048576,'Pivot 01 (.)'!$A15,'Salary detail'!$DO$3:$DO$1048576)</f>
        <v>0</v>
      </c>
      <c r="P15" s="134">
        <f>+SUMIF('Salary detail'!$D$3:$D$1048576,'Pivot 01 (.)'!$A15,'Salary detail'!$DP$3:$DP$1048576)</f>
        <v>0</v>
      </c>
      <c r="Q15" s="134">
        <f>+SUMIF('Salary detail'!$D$3:$D$1048576,'Pivot 01 (.)'!$A15,'Salary detail'!$DQ$3:$DQ$1048576)</f>
        <v>0</v>
      </c>
      <c r="R15" s="134">
        <f>+SUMIF('Salary detail'!$D$3:$D$1048576,'Pivot 01 (.)'!$A15,'Salary detail'!$CV$3:$CV$1048576)</f>
        <v>0</v>
      </c>
      <c r="S15" s="134">
        <f>+SUMIF('Salary detail'!$D$3:$D$1048576,'Pivot 01 (.)'!$A15,'Salary detail'!$DS$3:$DS$1048576)</f>
        <v>0</v>
      </c>
      <c r="T15" s="134">
        <v>0</v>
      </c>
      <c r="U15" s="116">
        <f t="shared" si="0"/>
        <v>0</v>
      </c>
      <c r="V15" s="116"/>
    </row>
    <row r="16" spans="1:22" s="117" customFormat="1" ht="21" customHeight="1">
      <c r="A16" s="105" t="s">
        <v>204</v>
      </c>
      <c r="B16" s="114" t="s">
        <v>205</v>
      </c>
      <c r="C16" s="115">
        <f>+COUNTIF('Salary detail'!$D$3:$D$1048576,'Pivot 01 (.)'!$A16)</f>
        <v>0</v>
      </c>
      <c r="D16" s="133">
        <f>+SUMIF('Salary detail'!$D$3:$D$1048576,'Pivot 01 (.)'!$A16,'Salary detail'!$J$3:$J$1048576)</f>
        <v>0</v>
      </c>
      <c r="E16" s="133">
        <f>+SUMIF('Salary detail'!$D$3:$D$1048576,'Pivot 01 (.)'!$A16,'Salary detail'!$K$3:$K$1048576)</f>
        <v>0</v>
      </c>
      <c r="F16" s="133">
        <f>+SUMIF('Salary detail'!$D$3:$D$1048576,'Pivot 01 (.)'!$A16,'Salary detail'!$L$3:$L$1048576)</f>
        <v>0</v>
      </c>
      <c r="G16" s="133">
        <f>+SUMIF('Salary detail'!$D$3:$D$1048576,'Pivot 01 (.)'!$A16,'Salary detail'!$N$3:$N$1048576)</f>
        <v>0</v>
      </c>
      <c r="H16" s="133">
        <f>+SUMIF('Salary detail'!$D$3:$D$1048576,'Pivot 01 (.)'!$A16,'Salary detail'!$O$3:$O$1048576)</f>
        <v>0</v>
      </c>
      <c r="I16" s="134">
        <f>+SUMIF('Salary detail'!$D$3:$D$1048576,'Pivot 01 (.)'!$A16,'Salary detail'!$CJ$3:$CJ$1048576)</f>
        <v>0</v>
      </c>
      <c r="J16" s="134">
        <f>+SUMIF('Salary detail'!$D$3:$D$1048576,'Pivot 01 (.)'!$A16,'Salary detail'!$DI$3:$DI$1048576)</f>
        <v>0</v>
      </c>
      <c r="K16" s="134">
        <f>+SUMIF('Salary detail'!$D$3:$D$1048576,'Pivot 01 (.)'!$A16,'Salary detail'!$DJ$3:$DJ$1048576)</f>
        <v>0</v>
      </c>
      <c r="L16" s="134">
        <f>+SUMIF('Salary detail'!$D$3:$D$1048576,'Pivot 01 (.)'!$A16,'Salary detail'!$DK$3:$DK$1048576)</f>
        <v>0</v>
      </c>
      <c r="M16" s="134">
        <f>+SUMIF('Salary detail'!$D$3:$D$1048576,'Pivot 01 (.)'!$A16,'Salary detail'!$DL$3:$DL$1048576)+SUMIF('Salary detail'!$D$3:$D$1048576,'Pivot 01 (.)'!$A16,'Salary detail'!$DM$3:$DM$1048576)</f>
        <v>0</v>
      </c>
      <c r="N16" s="134">
        <f>+SUMIF('Salary detail'!$D$3:$D$1048576,'Pivot 01 (.)'!$A16,'Salary detail'!$DN$3:$DN$1048576)</f>
        <v>0</v>
      </c>
      <c r="O16" s="134">
        <f>+SUMIF('Salary detail'!$D$3:$D$1048576,'Pivot 01 (.)'!$A16,'Salary detail'!$DO$3:$DO$1048576)</f>
        <v>0</v>
      </c>
      <c r="P16" s="134">
        <f>+SUMIF('Salary detail'!$D$3:$D$1048576,'Pivot 01 (.)'!$A16,'Salary detail'!$DP$3:$DP$1048576)</f>
        <v>0</v>
      </c>
      <c r="Q16" s="134">
        <f>+SUMIF('Salary detail'!$D$3:$D$1048576,'Pivot 01 (.)'!$A16,'Salary detail'!$DQ$3:$DQ$1048576)</f>
        <v>0</v>
      </c>
      <c r="R16" s="134">
        <f>+SUMIF('Salary detail'!$D$3:$D$1048576,'Pivot 01 (.)'!$A16,'Salary detail'!$CV$3:$CV$1048576)</f>
        <v>0</v>
      </c>
      <c r="S16" s="134">
        <f>+SUMIF('Salary detail'!$D$3:$D$1048576,'Pivot 01 (.)'!$A16,'Salary detail'!$DS$3:$DS$1048576)</f>
        <v>0</v>
      </c>
      <c r="T16" s="134">
        <v>0</v>
      </c>
      <c r="U16" s="116">
        <f t="shared" si="0"/>
        <v>0</v>
      </c>
      <c r="V16" s="116"/>
    </row>
    <row r="17" spans="1:22" s="117" customFormat="1" ht="21" customHeight="1">
      <c r="A17" s="105" t="s">
        <v>206</v>
      </c>
      <c r="B17" s="114" t="s">
        <v>207</v>
      </c>
      <c r="C17" s="115">
        <f>+COUNTIF('Salary detail'!$D$3:$D$1048576,'Pivot 01 (.)'!$A17)</f>
        <v>0</v>
      </c>
      <c r="D17" s="133">
        <f>+SUMIF('Salary detail'!$D$3:$D$1048576,'Pivot 01 (.)'!$A17,'Salary detail'!$J$3:$J$1048576)</f>
        <v>0</v>
      </c>
      <c r="E17" s="133">
        <f>+SUMIF('Salary detail'!$D$3:$D$1048576,'Pivot 01 (.)'!$A17,'Salary detail'!$K$3:$K$1048576)</f>
        <v>0</v>
      </c>
      <c r="F17" s="133">
        <f>+SUMIF('Salary detail'!$D$3:$D$1048576,'Pivot 01 (.)'!$A17,'Salary detail'!$L$3:$L$1048576)</f>
        <v>0</v>
      </c>
      <c r="G17" s="133">
        <f>+SUMIF('Salary detail'!$D$3:$D$1048576,'Pivot 01 (.)'!$A17,'Salary detail'!$N$3:$N$1048576)</f>
        <v>0</v>
      </c>
      <c r="H17" s="133">
        <f>+SUMIF('Salary detail'!$D$3:$D$1048576,'Pivot 01 (.)'!$A17,'Salary detail'!$O$3:$O$1048576)</f>
        <v>0</v>
      </c>
      <c r="I17" s="134">
        <f>+SUMIF('Salary detail'!$D$3:$D$1048576,'Pivot 01 (.)'!$A17,'Salary detail'!$CJ$3:$CJ$1048576)</f>
        <v>0</v>
      </c>
      <c r="J17" s="134">
        <f>+SUMIF('Salary detail'!$D$3:$D$1048576,'Pivot 01 (.)'!$A17,'Salary detail'!$DI$3:$DI$1048576)</f>
        <v>0</v>
      </c>
      <c r="K17" s="134">
        <f>+SUMIF('Salary detail'!$D$3:$D$1048576,'Pivot 01 (.)'!$A17,'Salary detail'!$DJ$3:$DJ$1048576)</f>
        <v>0</v>
      </c>
      <c r="L17" s="134">
        <f>+SUMIF('Salary detail'!$D$3:$D$1048576,'Pivot 01 (.)'!$A17,'Salary detail'!$DK$3:$DK$1048576)</f>
        <v>0</v>
      </c>
      <c r="M17" s="134">
        <f>+SUMIF('Salary detail'!$D$3:$D$1048576,'Pivot 01 (.)'!$A17,'Salary detail'!$DL$3:$DL$1048576)+SUMIF('Salary detail'!$D$3:$D$1048576,'Pivot 01 (.)'!$A17,'Salary detail'!$DM$3:$DM$1048576)</f>
        <v>0</v>
      </c>
      <c r="N17" s="134">
        <f>+SUMIF('Salary detail'!$D$3:$D$1048576,'Pivot 01 (.)'!$A17,'Salary detail'!$DN$3:$DN$1048576)</f>
        <v>0</v>
      </c>
      <c r="O17" s="134">
        <f>+SUMIF('Salary detail'!$D$3:$D$1048576,'Pivot 01 (.)'!$A17,'Salary detail'!$DO$3:$DO$1048576)</f>
        <v>0</v>
      </c>
      <c r="P17" s="134">
        <f>+SUMIF('Salary detail'!$D$3:$D$1048576,'Pivot 01 (.)'!$A17,'Salary detail'!$DP$3:$DP$1048576)</f>
        <v>0</v>
      </c>
      <c r="Q17" s="134">
        <f>+SUMIF('Salary detail'!$D$3:$D$1048576,'Pivot 01 (.)'!$A17,'Salary detail'!$DQ$3:$DQ$1048576)</f>
        <v>0</v>
      </c>
      <c r="R17" s="134">
        <f>+SUMIF('Salary detail'!$D$3:$D$1048576,'Pivot 01 (.)'!$A17,'Salary detail'!$CV$3:$CV$1048576)</f>
        <v>0</v>
      </c>
      <c r="S17" s="134">
        <f>+SUMIF('Salary detail'!$D$3:$D$1048576,'Pivot 01 (.)'!$A17,'Salary detail'!$DS$3:$DS$1048576)</f>
        <v>0</v>
      </c>
      <c r="T17" s="134">
        <v>0</v>
      </c>
      <c r="U17" s="116">
        <f t="shared" si="0"/>
        <v>0</v>
      </c>
      <c r="V17" s="116"/>
    </row>
    <row r="18" spans="1:22" s="117" customFormat="1" ht="21" customHeight="1">
      <c r="A18" s="105" t="s">
        <v>208</v>
      </c>
      <c r="B18" s="114" t="s">
        <v>209</v>
      </c>
      <c r="C18" s="115">
        <f>+COUNTIF('Salary detail'!$D$3:$D$1048576,'Pivot 01 (.)'!$A18)</f>
        <v>0</v>
      </c>
      <c r="D18" s="133">
        <f>+SUMIF('Salary detail'!$D$3:$D$1048576,'Pivot 01 (.)'!$A18,'Salary detail'!$J$3:$J$1048576)</f>
        <v>0</v>
      </c>
      <c r="E18" s="133">
        <f>+SUMIF('Salary detail'!$D$3:$D$1048576,'Pivot 01 (.)'!$A18,'Salary detail'!$K$3:$K$1048576)</f>
        <v>0</v>
      </c>
      <c r="F18" s="133">
        <f>+SUMIF('Salary detail'!$D$3:$D$1048576,'Pivot 01 (.)'!$A18,'Salary detail'!$L$3:$L$1048576)</f>
        <v>0</v>
      </c>
      <c r="G18" s="133">
        <f>+SUMIF('Salary detail'!$D$3:$D$1048576,'Pivot 01 (.)'!$A18,'Salary detail'!$N$3:$N$1048576)</f>
        <v>0</v>
      </c>
      <c r="H18" s="133">
        <f>+SUMIF('Salary detail'!$D$3:$D$1048576,'Pivot 01 (.)'!$A18,'Salary detail'!$O$3:$O$1048576)</f>
        <v>0</v>
      </c>
      <c r="I18" s="134">
        <f>+SUMIF('Salary detail'!$D$3:$D$1048576,'Pivot 01 (.)'!$A18,'Salary detail'!$CJ$3:$CJ$1048576)</f>
        <v>0</v>
      </c>
      <c r="J18" s="134">
        <f>+SUMIF('Salary detail'!$D$3:$D$1048576,'Pivot 01 (.)'!$A18,'Salary detail'!$DI$3:$DI$1048576)</f>
        <v>0</v>
      </c>
      <c r="K18" s="134">
        <f>+SUMIF('Salary detail'!$D$3:$D$1048576,'Pivot 01 (.)'!$A18,'Salary detail'!$DJ$3:$DJ$1048576)</f>
        <v>0</v>
      </c>
      <c r="L18" s="134">
        <f>+SUMIF('Salary detail'!$D$3:$D$1048576,'Pivot 01 (.)'!$A18,'Salary detail'!$DK$3:$DK$1048576)</f>
        <v>0</v>
      </c>
      <c r="M18" s="134">
        <f>+SUMIF('Salary detail'!$D$3:$D$1048576,'Pivot 01 (.)'!$A18,'Salary detail'!$DL$3:$DL$1048576)+SUMIF('Salary detail'!$D$3:$D$1048576,'Pivot 01 (.)'!$A18,'Salary detail'!$DM$3:$DM$1048576)</f>
        <v>0</v>
      </c>
      <c r="N18" s="134">
        <f>+SUMIF('Salary detail'!$D$3:$D$1048576,'Pivot 01 (.)'!$A18,'Salary detail'!$DN$3:$DN$1048576)</f>
        <v>0</v>
      </c>
      <c r="O18" s="134">
        <f>+SUMIF('Salary detail'!$D$3:$D$1048576,'Pivot 01 (.)'!$A18,'Salary detail'!$DO$3:$DO$1048576)</f>
        <v>0</v>
      </c>
      <c r="P18" s="134">
        <f>+SUMIF('Salary detail'!$D$3:$D$1048576,'Pivot 01 (.)'!$A18,'Salary detail'!$DP$3:$DP$1048576)</f>
        <v>0</v>
      </c>
      <c r="Q18" s="134">
        <f>+SUMIF('Salary detail'!$D$3:$D$1048576,'Pivot 01 (.)'!$A18,'Salary detail'!$DQ$3:$DQ$1048576)</f>
        <v>0</v>
      </c>
      <c r="R18" s="134">
        <f>+SUMIF('Salary detail'!$D$3:$D$1048576,'Pivot 01 (.)'!$A18,'Salary detail'!$CV$3:$CV$1048576)</f>
        <v>0</v>
      </c>
      <c r="S18" s="134">
        <f>+SUMIF('Salary detail'!$D$3:$D$1048576,'Pivot 01 (.)'!$A18,'Salary detail'!$DS$3:$DS$1048576)</f>
        <v>0</v>
      </c>
      <c r="T18" s="134">
        <v>0</v>
      </c>
      <c r="U18" s="116">
        <f t="shared" si="0"/>
        <v>0</v>
      </c>
      <c r="V18" s="116"/>
    </row>
    <row r="19" spans="1:22" s="117" customFormat="1" ht="21" customHeight="1">
      <c r="A19" s="105" t="s">
        <v>210</v>
      </c>
      <c r="B19" s="114" t="s">
        <v>211</v>
      </c>
      <c r="C19" s="115">
        <f>+COUNTIF('Salary detail'!$D$3:$D$1048576,'Pivot 01 (.)'!$A19)</f>
        <v>0</v>
      </c>
      <c r="D19" s="133">
        <f>+SUMIF('Salary detail'!$D$3:$D$1048576,'Pivot 01 (.)'!$A19,'Salary detail'!$J$3:$J$1048576)</f>
        <v>0</v>
      </c>
      <c r="E19" s="133">
        <f>+SUMIF('Salary detail'!$D$3:$D$1048576,'Pivot 01 (.)'!$A19,'Salary detail'!$K$3:$K$1048576)</f>
        <v>0</v>
      </c>
      <c r="F19" s="133">
        <f>+SUMIF('Salary detail'!$D$3:$D$1048576,'Pivot 01 (.)'!$A19,'Salary detail'!$L$3:$L$1048576)</f>
        <v>0</v>
      </c>
      <c r="G19" s="133">
        <f>+SUMIF('Salary detail'!$D$3:$D$1048576,'Pivot 01 (.)'!$A19,'Salary detail'!$N$3:$N$1048576)</f>
        <v>0</v>
      </c>
      <c r="H19" s="133">
        <f>+SUMIF('Salary detail'!$D$3:$D$1048576,'Pivot 01 (.)'!$A19,'Salary detail'!$O$3:$O$1048576)</f>
        <v>0</v>
      </c>
      <c r="I19" s="134">
        <f>+SUMIF('Salary detail'!$D$3:$D$1048576,'Pivot 01 (.)'!$A19,'Salary detail'!$CJ$3:$CJ$1048576)</f>
        <v>0</v>
      </c>
      <c r="J19" s="134">
        <f>+SUMIF('Salary detail'!$D$3:$D$1048576,'Pivot 01 (.)'!$A19,'Salary detail'!$DI$3:$DI$1048576)</f>
        <v>0</v>
      </c>
      <c r="K19" s="134">
        <f>+SUMIF('Salary detail'!$D$3:$D$1048576,'Pivot 01 (.)'!$A19,'Salary detail'!$DJ$3:$DJ$1048576)</f>
        <v>0</v>
      </c>
      <c r="L19" s="134">
        <f>+SUMIF('Salary detail'!$D$3:$D$1048576,'Pivot 01 (.)'!$A19,'Salary detail'!$DK$3:$DK$1048576)</f>
        <v>0</v>
      </c>
      <c r="M19" s="134">
        <f>+SUMIF('Salary detail'!$D$3:$D$1048576,'Pivot 01 (.)'!$A19,'Salary detail'!$DL$3:$DL$1048576)+SUMIF('Salary detail'!$D$3:$D$1048576,'Pivot 01 (.)'!$A19,'Salary detail'!$DM$3:$DM$1048576)</f>
        <v>0</v>
      </c>
      <c r="N19" s="134">
        <f>+SUMIF('Salary detail'!$D$3:$D$1048576,'Pivot 01 (.)'!$A19,'Salary detail'!$DN$3:$DN$1048576)</f>
        <v>0</v>
      </c>
      <c r="O19" s="134">
        <f>+SUMIF('Salary detail'!$D$3:$D$1048576,'Pivot 01 (.)'!$A19,'Salary detail'!$DO$3:$DO$1048576)</f>
        <v>0</v>
      </c>
      <c r="P19" s="134">
        <f>+SUMIF('Salary detail'!$D$3:$D$1048576,'Pivot 01 (.)'!$A19,'Salary detail'!$DP$3:$DP$1048576)</f>
        <v>0</v>
      </c>
      <c r="Q19" s="134">
        <f>+SUMIF('Salary detail'!$D$3:$D$1048576,'Pivot 01 (.)'!$A19,'Salary detail'!$DQ$3:$DQ$1048576)</f>
        <v>0</v>
      </c>
      <c r="R19" s="134">
        <f>+SUMIF('Salary detail'!$D$3:$D$1048576,'Pivot 01 (.)'!$A19,'Salary detail'!$CV$3:$CV$1048576)</f>
        <v>0</v>
      </c>
      <c r="S19" s="134">
        <f>+SUMIF('Salary detail'!$D$3:$D$1048576,'Pivot 01 (.)'!$A19,'Salary detail'!$DS$3:$DS$1048576)</f>
        <v>0</v>
      </c>
      <c r="T19" s="134">
        <v>0</v>
      </c>
      <c r="U19" s="116">
        <f t="shared" si="0"/>
        <v>0</v>
      </c>
      <c r="V19" s="116"/>
    </row>
    <row r="20" spans="1:22" s="118" customFormat="1" ht="21" customHeight="1">
      <c r="A20" s="105" t="s">
        <v>212</v>
      </c>
      <c r="B20" s="114" t="s">
        <v>213</v>
      </c>
      <c r="C20" s="115">
        <f>+COUNTIF('Salary detail'!$D$3:$D$1048576,'Pivot 01 (.)'!$A20)</f>
        <v>0</v>
      </c>
      <c r="D20" s="133">
        <f>+SUMIF('Salary detail'!$D$3:$D$1048576,'Pivot 01 (.)'!$A20,'Salary detail'!$J$3:$J$1048576)</f>
        <v>0</v>
      </c>
      <c r="E20" s="133">
        <f>+SUMIF('Salary detail'!$D$3:$D$1048576,'Pivot 01 (.)'!$A20,'Salary detail'!$K$3:$K$1048576)</f>
        <v>0</v>
      </c>
      <c r="F20" s="133">
        <f>+SUMIF('Salary detail'!$D$3:$D$1048576,'Pivot 01 (.)'!$A20,'Salary detail'!$L$3:$L$1048576)</f>
        <v>0</v>
      </c>
      <c r="G20" s="133">
        <f>+SUMIF('Salary detail'!$D$3:$D$1048576,'Pivot 01 (.)'!$A20,'Salary detail'!$N$3:$N$1048576)</f>
        <v>0</v>
      </c>
      <c r="H20" s="133">
        <f>+SUMIF('Salary detail'!$D$3:$D$1048576,'Pivot 01 (.)'!$A20,'Salary detail'!$O$3:$O$1048576)</f>
        <v>0</v>
      </c>
      <c r="I20" s="134">
        <f>+SUMIF('Salary detail'!$D$3:$D$1048576,'Pivot 01 (.)'!$A20,'Salary detail'!$CJ$3:$CJ$1048576)</f>
        <v>0</v>
      </c>
      <c r="J20" s="134">
        <f>+SUMIF('Salary detail'!$D$3:$D$1048576,'Pivot 01 (.)'!$A20,'Salary detail'!$DI$3:$DI$1048576)</f>
        <v>0</v>
      </c>
      <c r="K20" s="134">
        <f>+SUMIF('Salary detail'!$D$3:$D$1048576,'Pivot 01 (.)'!$A20,'Salary detail'!$DJ$3:$DJ$1048576)</f>
        <v>0</v>
      </c>
      <c r="L20" s="134">
        <f>+SUMIF('Salary detail'!$D$3:$D$1048576,'Pivot 01 (.)'!$A20,'Salary detail'!$DK$3:$DK$1048576)</f>
        <v>0</v>
      </c>
      <c r="M20" s="134">
        <f>+SUMIF('Salary detail'!$D$3:$D$1048576,'Pivot 01 (.)'!$A20,'Salary detail'!$DL$3:$DL$1048576)+SUMIF('Salary detail'!$D$3:$D$1048576,'Pivot 01 (.)'!$A20,'Salary detail'!$DM$3:$DM$1048576)</f>
        <v>0</v>
      </c>
      <c r="N20" s="134">
        <f>+SUMIF('Salary detail'!$D$3:$D$1048576,'Pivot 01 (.)'!$A20,'Salary detail'!$DN$3:$DN$1048576)</f>
        <v>0</v>
      </c>
      <c r="O20" s="134">
        <f>+SUMIF('Salary detail'!$D$3:$D$1048576,'Pivot 01 (.)'!$A20,'Salary detail'!$DO$3:$DO$1048576)</f>
        <v>0</v>
      </c>
      <c r="P20" s="134">
        <f>+SUMIF('Salary detail'!$D$3:$D$1048576,'Pivot 01 (.)'!$A20,'Salary detail'!$DP$3:$DP$1048576)</f>
        <v>0</v>
      </c>
      <c r="Q20" s="134">
        <f>+SUMIF('Salary detail'!$D$3:$D$1048576,'Pivot 01 (.)'!$A20,'Salary detail'!$DQ$3:$DQ$1048576)</f>
        <v>0</v>
      </c>
      <c r="R20" s="134">
        <f>+SUMIF('Salary detail'!$D$3:$D$1048576,'Pivot 01 (.)'!$A20,'Salary detail'!$CV$3:$CV$1048576)</f>
        <v>0</v>
      </c>
      <c r="S20" s="134">
        <f>+SUMIF('Salary detail'!$D$3:$D$1048576,'Pivot 01 (.)'!$A20,'Salary detail'!$DS$3:$DS$1048576)</f>
        <v>0</v>
      </c>
      <c r="T20" s="134">
        <v>0</v>
      </c>
      <c r="U20" s="116">
        <f t="shared" si="0"/>
        <v>0</v>
      </c>
      <c r="V20" s="116"/>
    </row>
    <row r="21" spans="1:22" s="118" customFormat="1" ht="21" customHeight="1">
      <c r="A21" s="105">
        <v>202007</v>
      </c>
      <c r="B21" s="114" t="s">
        <v>214</v>
      </c>
      <c r="C21" s="115">
        <f>+COUNTIF('Salary detail'!$D$3:$D$1048576,'Pivot 01 (.)'!$A21)</f>
        <v>0</v>
      </c>
      <c r="D21" s="133">
        <f>+SUMIF('Salary detail'!$D$3:$D$1048576,'Pivot 01 (.)'!$A21,'Salary detail'!$J$3:$J$1048576)</f>
        <v>0</v>
      </c>
      <c r="E21" s="133">
        <f>+SUMIF('Salary detail'!$D$3:$D$1048576,'Pivot 01 (.)'!$A21,'Salary detail'!$K$3:$K$1048576)</f>
        <v>0</v>
      </c>
      <c r="F21" s="133">
        <f>+SUMIF('Salary detail'!$D$3:$D$1048576,'Pivot 01 (.)'!$A21,'Salary detail'!$L$3:$L$1048576)</f>
        <v>0</v>
      </c>
      <c r="G21" s="133">
        <f>+SUMIF('Salary detail'!$D$3:$D$1048576,'Pivot 01 (.)'!$A21,'Salary detail'!$N$3:$N$1048576)</f>
        <v>0</v>
      </c>
      <c r="H21" s="133">
        <f>+SUMIF('Salary detail'!$D$3:$D$1048576,'Pivot 01 (.)'!$A21,'Salary detail'!$O$3:$O$1048576)</f>
        <v>0</v>
      </c>
      <c r="I21" s="134">
        <f>+SUMIF('Salary detail'!$D$3:$D$1048576,'Pivot 01 (.)'!$A21,'Salary detail'!$CJ$3:$CJ$1048576)</f>
        <v>0</v>
      </c>
      <c r="J21" s="134">
        <f>+SUMIF('Salary detail'!$D$3:$D$1048576,'Pivot 01 (.)'!$A21,'Salary detail'!$DI$3:$DI$1048576)</f>
        <v>0</v>
      </c>
      <c r="K21" s="134">
        <f>+SUMIF('Salary detail'!$D$3:$D$1048576,'Pivot 01 (.)'!$A21,'Salary detail'!$DJ$3:$DJ$1048576)</f>
        <v>0</v>
      </c>
      <c r="L21" s="134">
        <f>+SUMIF('Salary detail'!$D$3:$D$1048576,'Pivot 01 (.)'!$A21,'Salary detail'!$DK$3:$DK$1048576)</f>
        <v>0</v>
      </c>
      <c r="M21" s="134">
        <f>+SUMIF('Salary detail'!$D$3:$D$1048576,'Pivot 01 (.)'!$A21,'Salary detail'!$DL$3:$DL$1048576)+SUMIF('Salary detail'!$D$3:$D$1048576,'Pivot 01 (.)'!$A21,'Salary detail'!$DM$3:$DM$1048576)</f>
        <v>0</v>
      </c>
      <c r="N21" s="134">
        <f>+SUMIF('Salary detail'!$D$3:$D$1048576,'Pivot 01 (.)'!$A21,'Salary detail'!$DN$3:$DN$1048576)</f>
        <v>0</v>
      </c>
      <c r="O21" s="134">
        <f>+SUMIF('Salary detail'!$D$3:$D$1048576,'Pivot 01 (.)'!$A21,'Salary detail'!$DO$3:$DO$1048576)</f>
        <v>0</v>
      </c>
      <c r="P21" s="134">
        <f>+SUMIF('Salary detail'!$D$3:$D$1048576,'Pivot 01 (.)'!$A21,'Salary detail'!$DP$3:$DP$1048576)</f>
        <v>0</v>
      </c>
      <c r="Q21" s="134">
        <f>+SUMIF('Salary detail'!$D$3:$D$1048576,'Pivot 01 (.)'!$A21,'Salary detail'!$DQ$3:$DQ$1048576)</f>
        <v>0</v>
      </c>
      <c r="R21" s="134">
        <f>+SUMIF('Salary detail'!$D$3:$D$1048576,'Pivot 01 (.)'!$A21,'Salary detail'!$CV$3:$CV$1048576)</f>
        <v>0</v>
      </c>
      <c r="S21" s="134">
        <f>+SUMIF('Salary detail'!$D$3:$D$1048576,'Pivot 01 (.)'!$A21,'Salary detail'!$DS$3:$DS$1048576)</f>
        <v>0</v>
      </c>
      <c r="T21" s="134">
        <v>0</v>
      </c>
      <c r="U21" s="116">
        <f t="shared" si="0"/>
        <v>0</v>
      </c>
      <c r="V21" s="116"/>
    </row>
    <row r="22" spans="1:22" s="118" customFormat="1" ht="21" customHeight="1">
      <c r="A22" s="105">
        <v>202008</v>
      </c>
      <c r="B22" s="114" t="s">
        <v>215</v>
      </c>
      <c r="C22" s="115">
        <f>+COUNTIF('Salary detail'!$D$3:$D$1048576,'Pivot 01 (.)'!$A22)</f>
        <v>0</v>
      </c>
      <c r="D22" s="133">
        <f>+SUMIF('Salary detail'!$D$3:$D$1048576,'Pivot 01 (.)'!$A22,'Salary detail'!$J$3:$J$1048576)</f>
        <v>0</v>
      </c>
      <c r="E22" s="133">
        <f>+SUMIF('Salary detail'!$D$3:$D$1048576,'Pivot 01 (.)'!$A22,'Salary detail'!$K$3:$K$1048576)</f>
        <v>0</v>
      </c>
      <c r="F22" s="133">
        <f>+SUMIF('Salary detail'!$D$3:$D$1048576,'Pivot 01 (.)'!$A22,'Salary detail'!$L$3:$L$1048576)</f>
        <v>0</v>
      </c>
      <c r="G22" s="133">
        <f>+SUMIF('Salary detail'!$D$3:$D$1048576,'Pivot 01 (.)'!$A22,'Salary detail'!$N$3:$N$1048576)</f>
        <v>0</v>
      </c>
      <c r="H22" s="133">
        <f>+SUMIF('Salary detail'!$D$3:$D$1048576,'Pivot 01 (.)'!$A22,'Salary detail'!$O$3:$O$1048576)</f>
        <v>0</v>
      </c>
      <c r="I22" s="134">
        <f>+SUMIF('Salary detail'!$D$3:$D$1048576,'Pivot 01 (.)'!$A22,'Salary detail'!$CJ$3:$CJ$1048576)</f>
        <v>0</v>
      </c>
      <c r="J22" s="134">
        <f>+SUMIF('Salary detail'!$D$3:$D$1048576,'Pivot 01 (.)'!$A22,'Salary detail'!$DI$3:$DI$1048576)</f>
        <v>0</v>
      </c>
      <c r="K22" s="134">
        <f>+SUMIF('Salary detail'!$D$3:$D$1048576,'Pivot 01 (.)'!$A22,'Salary detail'!$DJ$3:$DJ$1048576)</f>
        <v>0</v>
      </c>
      <c r="L22" s="134">
        <f>+SUMIF('Salary detail'!$D$3:$D$1048576,'Pivot 01 (.)'!$A22,'Salary detail'!$DK$3:$DK$1048576)</f>
        <v>0</v>
      </c>
      <c r="M22" s="134">
        <f>+SUMIF('Salary detail'!$D$3:$D$1048576,'Pivot 01 (.)'!$A22,'Salary detail'!$DL$3:$DL$1048576)+SUMIF('Salary detail'!$D$3:$D$1048576,'Pivot 01 (.)'!$A22,'Salary detail'!$DM$3:$DM$1048576)</f>
        <v>0</v>
      </c>
      <c r="N22" s="134">
        <f>+SUMIF('Salary detail'!$D$3:$D$1048576,'Pivot 01 (.)'!$A22,'Salary detail'!$DN$3:$DN$1048576)</f>
        <v>0</v>
      </c>
      <c r="O22" s="134">
        <f>+SUMIF('Salary detail'!$D$3:$D$1048576,'Pivot 01 (.)'!$A22,'Salary detail'!$DO$3:$DO$1048576)</f>
        <v>0</v>
      </c>
      <c r="P22" s="134">
        <f>+SUMIF('Salary detail'!$D$3:$D$1048576,'Pivot 01 (.)'!$A22,'Salary detail'!$DP$3:$DP$1048576)</f>
        <v>0</v>
      </c>
      <c r="Q22" s="134">
        <f>+SUMIF('Salary detail'!$D$3:$D$1048576,'Pivot 01 (.)'!$A22,'Salary detail'!$DQ$3:$DQ$1048576)</f>
        <v>0</v>
      </c>
      <c r="R22" s="134">
        <f>+SUMIF('Salary detail'!$D$3:$D$1048576,'Pivot 01 (.)'!$A22,'Salary detail'!$CV$3:$CV$1048576)</f>
        <v>0</v>
      </c>
      <c r="S22" s="134">
        <f>+SUMIF('Salary detail'!$D$3:$D$1048576,'Pivot 01 (.)'!$A22,'Salary detail'!$DS$3:$DS$1048576)</f>
        <v>0</v>
      </c>
      <c r="T22" s="134">
        <v>0</v>
      </c>
      <c r="U22" s="116">
        <f t="shared" si="0"/>
        <v>0</v>
      </c>
      <c r="V22" s="116"/>
    </row>
    <row r="23" spans="1:22" s="117" customFormat="1" ht="21" customHeight="1">
      <c r="A23" s="105" t="s">
        <v>216</v>
      </c>
      <c r="B23" s="114" t="s">
        <v>217</v>
      </c>
      <c r="C23" s="115">
        <f>+COUNTIF('Salary detail'!$D$3:$D$1048576,'Pivot 01 (.)'!$A23)</f>
        <v>0</v>
      </c>
      <c r="D23" s="133">
        <f>+SUMIF('Salary detail'!$D$3:$D$1048576,'Pivot 01 (.)'!$A23,'Salary detail'!$J$3:$J$1048576)</f>
        <v>0</v>
      </c>
      <c r="E23" s="133">
        <f>+SUMIF('Salary detail'!$D$3:$D$1048576,'Pivot 01 (.)'!$A23,'Salary detail'!$K$3:$K$1048576)</f>
        <v>0</v>
      </c>
      <c r="F23" s="133">
        <f>+SUMIF('Salary detail'!$D$3:$D$1048576,'Pivot 01 (.)'!$A23,'Salary detail'!$L$3:$L$1048576)</f>
        <v>0</v>
      </c>
      <c r="G23" s="133">
        <f>+SUMIF('Salary detail'!$D$3:$D$1048576,'Pivot 01 (.)'!$A23,'Salary detail'!$N$3:$N$1048576)</f>
        <v>0</v>
      </c>
      <c r="H23" s="133">
        <f>+SUMIF('Salary detail'!$D$3:$D$1048576,'Pivot 01 (.)'!$A23,'Salary detail'!$O$3:$O$1048576)</f>
        <v>0</v>
      </c>
      <c r="I23" s="134">
        <f>+SUMIF('Salary detail'!$D$3:$D$1048576,'Pivot 01 (.)'!$A23,'Salary detail'!$CJ$3:$CJ$1048576)</f>
        <v>0</v>
      </c>
      <c r="J23" s="134">
        <f>+SUMIF('Salary detail'!$D$3:$D$1048576,'Pivot 01 (.)'!$A23,'Salary detail'!$DI$3:$DI$1048576)</f>
        <v>0</v>
      </c>
      <c r="K23" s="134">
        <f>+SUMIF('Salary detail'!$D$3:$D$1048576,'Pivot 01 (.)'!$A23,'Salary detail'!$DJ$3:$DJ$1048576)</f>
        <v>0</v>
      </c>
      <c r="L23" s="134">
        <f>+SUMIF('Salary detail'!$D$3:$D$1048576,'Pivot 01 (.)'!$A23,'Salary detail'!$DK$3:$DK$1048576)</f>
        <v>0</v>
      </c>
      <c r="M23" s="134">
        <f>+SUMIF('Salary detail'!$D$3:$D$1048576,'Pivot 01 (.)'!$A23,'Salary detail'!$DL$3:$DL$1048576)+SUMIF('Salary detail'!$D$3:$D$1048576,'Pivot 01 (.)'!$A23,'Salary detail'!$DM$3:$DM$1048576)</f>
        <v>0</v>
      </c>
      <c r="N23" s="134">
        <f>+SUMIF('Salary detail'!$D$3:$D$1048576,'Pivot 01 (.)'!$A23,'Salary detail'!$DN$3:$DN$1048576)</f>
        <v>0</v>
      </c>
      <c r="O23" s="134">
        <f>+SUMIF('Salary detail'!$D$3:$D$1048576,'Pivot 01 (.)'!$A23,'Salary detail'!$DO$3:$DO$1048576)</f>
        <v>0</v>
      </c>
      <c r="P23" s="134">
        <f>+SUMIF('Salary detail'!$D$3:$D$1048576,'Pivot 01 (.)'!$A23,'Salary detail'!$DP$3:$DP$1048576)</f>
        <v>0</v>
      </c>
      <c r="Q23" s="134">
        <f>+SUMIF('Salary detail'!$D$3:$D$1048576,'Pivot 01 (.)'!$A23,'Salary detail'!$DQ$3:$DQ$1048576)</f>
        <v>0</v>
      </c>
      <c r="R23" s="134">
        <f>+SUMIF('Salary detail'!$D$3:$D$1048576,'Pivot 01 (.)'!$A23,'Salary detail'!$CV$3:$CV$1048576)</f>
        <v>0</v>
      </c>
      <c r="S23" s="134">
        <f>+SUMIF('Salary detail'!$D$3:$D$1048576,'Pivot 01 (.)'!$A23,'Salary detail'!$DS$3:$DS$1048576)</f>
        <v>0</v>
      </c>
      <c r="T23" s="134">
        <v>0</v>
      </c>
      <c r="U23" s="116">
        <f t="shared" si="0"/>
        <v>0</v>
      </c>
      <c r="V23" s="116"/>
    </row>
    <row r="24" spans="1:22" s="117" customFormat="1" ht="21" customHeight="1">
      <c r="A24" s="105" t="s">
        <v>218</v>
      </c>
      <c r="B24" s="114" t="s">
        <v>219</v>
      </c>
      <c r="C24" s="115">
        <f>+COUNTIF('Salary detail'!$D$3:$D$1048576,'Pivot 01 (.)'!$A24)</f>
        <v>0</v>
      </c>
      <c r="D24" s="133">
        <f>+SUMIF('Salary detail'!$D$3:$D$1048576,'Pivot 01 (.)'!$A24,'Salary detail'!$J$3:$J$1048576)</f>
        <v>0</v>
      </c>
      <c r="E24" s="133">
        <f>+SUMIF('Salary detail'!$D$3:$D$1048576,'Pivot 01 (.)'!$A24,'Salary detail'!$K$3:$K$1048576)</f>
        <v>0</v>
      </c>
      <c r="F24" s="133">
        <f>+SUMIF('Salary detail'!$D$3:$D$1048576,'Pivot 01 (.)'!$A24,'Salary detail'!$L$3:$L$1048576)</f>
        <v>0</v>
      </c>
      <c r="G24" s="133">
        <f>+SUMIF('Salary detail'!$D$3:$D$1048576,'Pivot 01 (.)'!$A24,'Salary detail'!$N$3:$N$1048576)</f>
        <v>0</v>
      </c>
      <c r="H24" s="133">
        <f>+SUMIF('Salary detail'!$D$3:$D$1048576,'Pivot 01 (.)'!$A24,'Salary detail'!$O$3:$O$1048576)</f>
        <v>0</v>
      </c>
      <c r="I24" s="134">
        <f>+SUMIF('Salary detail'!$D$3:$D$1048576,'Pivot 01 (.)'!$A24,'Salary detail'!$CJ$3:$CJ$1048576)</f>
        <v>0</v>
      </c>
      <c r="J24" s="134">
        <f>+SUMIF('Salary detail'!$D$3:$D$1048576,'Pivot 01 (.)'!$A24,'Salary detail'!$DI$3:$DI$1048576)</f>
        <v>0</v>
      </c>
      <c r="K24" s="134">
        <f>+SUMIF('Salary detail'!$D$3:$D$1048576,'Pivot 01 (.)'!$A24,'Salary detail'!$DJ$3:$DJ$1048576)</f>
        <v>0</v>
      </c>
      <c r="L24" s="134">
        <f>+SUMIF('Salary detail'!$D$3:$D$1048576,'Pivot 01 (.)'!$A24,'Salary detail'!$DK$3:$DK$1048576)</f>
        <v>0</v>
      </c>
      <c r="M24" s="134">
        <f>+SUMIF('Salary detail'!$D$3:$D$1048576,'Pivot 01 (.)'!$A24,'Salary detail'!$DL$3:$DL$1048576)+SUMIF('Salary detail'!$D$3:$D$1048576,'Pivot 01 (.)'!$A24,'Salary detail'!$DM$3:$DM$1048576)</f>
        <v>0</v>
      </c>
      <c r="N24" s="134">
        <f>+SUMIF('Salary detail'!$D$3:$D$1048576,'Pivot 01 (.)'!$A24,'Salary detail'!$DN$3:$DN$1048576)</f>
        <v>0</v>
      </c>
      <c r="O24" s="134">
        <f>+SUMIF('Salary detail'!$D$3:$D$1048576,'Pivot 01 (.)'!$A24,'Salary detail'!$DO$3:$DO$1048576)</f>
        <v>0</v>
      </c>
      <c r="P24" s="134">
        <f>+SUMIF('Salary detail'!$D$3:$D$1048576,'Pivot 01 (.)'!$A24,'Salary detail'!$DP$3:$DP$1048576)</f>
        <v>0</v>
      </c>
      <c r="Q24" s="134">
        <f>+SUMIF('Salary detail'!$D$3:$D$1048576,'Pivot 01 (.)'!$A24,'Salary detail'!$DQ$3:$DQ$1048576)</f>
        <v>0</v>
      </c>
      <c r="R24" s="134">
        <f>+SUMIF('Salary detail'!$D$3:$D$1048576,'Pivot 01 (.)'!$A24,'Salary detail'!$CV$3:$CV$1048576)</f>
        <v>0</v>
      </c>
      <c r="S24" s="134">
        <f>+SUMIF('Salary detail'!$D$3:$D$1048576,'Pivot 01 (.)'!$A24,'Salary detail'!$DS$3:$DS$1048576)</f>
        <v>0</v>
      </c>
      <c r="T24" s="134">
        <v>0</v>
      </c>
      <c r="U24" s="116">
        <f t="shared" si="0"/>
        <v>0</v>
      </c>
      <c r="V24" s="116"/>
    </row>
    <row r="25" spans="1:22" s="117" customFormat="1" ht="21" customHeight="1">
      <c r="A25" s="105" t="s">
        <v>220</v>
      </c>
      <c r="B25" s="114" t="s">
        <v>221</v>
      </c>
      <c r="C25" s="115">
        <f>+COUNTIF('Salary detail'!$D$3:$D$1048576,'Pivot 01 (.)'!$A25)</f>
        <v>0</v>
      </c>
      <c r="D25" s="133">
        <f>+SUMIF('Salary detail'!$D$3:$D$1048576,'Pivot 01 (.)'!$A25,'Salary detail'!$J$3:$J$1048576)</f>
        <v>0</v>
      </c>
      <c r="E25" s="133">
        <f>+SUMIF('Salary detail'!$D$3:$D$1048576,'Pivot 01 (.)'!$A25,'Salary detail'!$K$3:$K$1048576)</f>
        <v>0</v>
      </c>
      <c r="F25" s="133">
        <f>+SUMIF('Salary detail'!$D$3:$D$1048576,'Pivot 01 (.)'!$A25,'Salary detail'!$L$3:$L$1048576)</f>
        <v>0</v>
      </c>
      <c r="G25" s="133">
        <f>+SUMIF('Salary detail'!$D$3:$D$1048576,'Pivot 01 (.)'!$A25,'Salary detail'!$N$3:$N$1048576)</f>
        <v>0</v>
      </c>
      <c r="H25" s="133">
        <f>+SUMIF('Salary detail'!$D$3:$D$1048576,'Pivot 01 (.)'!$A25,'Salary detail'!$O$3:$O$1048576)</f>
        <v>0</v>
      </c>
      <c r="I25" s="134">
        <f>+SUMIF('Salary detail'!$D$3:$D$1048576,'Pivot 01 (.)'!$A25,'Salary detail'!$CJ$3:$CJ$1048576)</f>
        <v>0</v>
      </c>
      <c r="J25" s="134">
        <f>+SUMIF('Salary detail'!$D$3:$D$1048576,'Pivot 01 (.)'!$A25,'Salary detail'!$DI$3:$DI$1048576)</f>
        <v>0</v>
      </c>
      <c r="K25" s="134">
        <f>+SUMIF('Salary detail'!$D$3:$D$1048576,'Pivot 01 (.)'!$A25,'Salary detail'!$DJ$3:$DJ$1048576)</f>
        <v>0</v>
      </c>
      <c r="L25" s="134">
        <f>+SUMIF('Salary detail'!$D$3:$D$1048576,'Pivot 01 (.)'!$A25,'Salary detail'!$DK$3:$DK$1048576)</f>
        <v>0</v>
      </c>
      <c r="M25" s="134">
        <f>+SUMIF('Salary detail'!$D$3:$D$1048576,'Pivot 01 (.)'!$A25,'Salary detail'!$DL$3:$DL$1048576)+SUMIF('Salary detail'!$D$3:$D$1048576,'Pivot 01 (.)'!$A25,'Salary detail'!$DM$3:$DM$1048576)</f>
        <v>0</v>
      </c>
      <c r="N25" s="134">
        <f>+SUMIF('Salary detail'!$D$3:$D$1048576,'Pivot 01 (.)'!$A25,'Salary detail'!$DN$3:$DN$1048576)</f>
        <v>0</v>
      </c>
      <c r="O25" s="134">
        <f>+SUMIF('Salary detail'!$D$3:$D$1048576,'Pivot 01 (.)'!$A25,'Salary detail'!$DO$3:$DO$1048576)</f>
        <v>0</v>
      </c>
      <c r="P25" s="134">
        <f>+SUMIF('Salary detail'!$D$3:$D$1048576,'Pivot 01 (.)'!$A25,'Salary detail'!$DP$3:$DP$1048576)</f>
        <v>0</v>
      </c>
      <c r="Q25" s="134">
        <f>+SUMIF('Salary detail'!$D$3:$D$1048576,'Pivot 01 (.)'!$A25,'Salary detail'!$DQ$3:$DQ$1048576)</f>
        <v>0</v>
      </c>
      <c r="R25" s="134">
        <f>+SUMIF('Salary detail'!$D$3:$D$1048576,'Pivot 01 (.)'!$A25,'Salary detail'!$CV$3:$CV$1048576)</f>
        <v>0</v>
      </c>
      <c r="S25" s="134">
        <f>+SUMIF('Salary detail'!$D$3:$D$1048576,'Pivot 01 (.)'!$A25,'Salary detail'!$DS$3:$DS$1048576)</f>
        <v>0</v>
      </c>
      <c r="T25" s="134">
        <v>0</v>
      </c>
      <c r="U25" s="116">
        <f t="shared" si="0"/>
        <v>0</v>
      </c>
      <c r="V25" s="116"/>
    </row>
    <row r="26" spans="1:22" s="117" customFormat="1" ht="21" customHeight="1">
      <c r="A26" s="105" t="s">
        <v>222</v>
      </c>
      <c r="B26" s="114" t="s">
        <v>223</v>
      </c>
      <c r="C26" s="115">
        <f>+COUNTIF('Salary detail'!$D$3:$D$1048576,'Pivot 01 (.)'!$A26)</f>
        <v>0</v>
      </c>
      <c r="D26" s="133">
        <f>+SUMIF('Salary detail'!$D$3:$D$1048576,'Pivot 01 (.)'!$A26,'Salary detail'!$J$3:$J$1048576)</f>
        <v>0</v>
      </c>
      <c r="E26" s="133">
        <f>+SUMIF('Salary detail'!$D$3:$D$1048576,'Pivot 01 (.)'!$A26,'Salary detail'!$K$3:$K$1048576)</f>
        <v>0</v>
      </c>
      <c r="F26" s="133">
        <f>+SUMIF('Salary detail'!$D$3:$D$1048576,'Pivot 01 (.)'!$A26,'Salary detail'!$L$3:$L$1048576)</f>
        <v>0</v>
      </c>
      <c r="G26" s="133">
        <f>+SUMIF('Salary detail'!$D$3:$D$1048576,'Pivot 01 (.)'!$A26,'Salary detail'!$N$3:$N$1048576)</f>
        <v>0</v>
      </c>
      <c r="H26" s="133">
        <f>+SUMIF('Salary detail'!$D$3:$D$1048576,'Pivot 01 (.)'!$A26,'Salary detail'!$O$3:$O$1048576)</f>
        <v>0</v>
      </c>
      <c r="I26" s="134">
        <f>+SUMIF('Salary detail'!$D$3:$D$1048576,'Pivot 01 (.)'!$A26,'Salary detail'!$CJ$3:$CJ$1048576)</f>
        <v>0</v>
      </c>
      <c r="J26" s="134">
        <f>+SUMIF('Salary detail'!$D$3:$D$1048576,'Pivot 01 (.)'!$A26,'Salary detail'!$DI$3:$DI$1048576)</f>
        <v>0</v>
      </c>
      <c r="K26" s="134">
        <f>+SUMIF('Salary detail'!$D$3:$D$1048576,'Pivot 01 (.)'!$A26,'Salary detail'!$DJ$3:$DJ$1048576)</f>
        <v>0</v>
      </c>
      <c r="L26" s="134">
        <f>+SUMIF('Salary detail'!$D$3:$D$1048576,'Pivot 01 (.)'!$A26,'Salary detail'!$DK$3:$DK$1048576)</f>
        <v>0</v>
      </c>
      <c r="M26" s="134">
        <f>+SUMIF('Salary detail'!$D$3:$D$1048576,'Pivot 01 (.)'!$A26,'Salary detail'!$DL$3:$DL$1048576)+SUMIF('Salary detail'!$D$3:$D$1048576,'Pivot 01 (.)'!$A26,'Salary detail'!$DM$3:$DM$1048576)</f>
        <v>0</v>
      </c>
      <c r="N26" s="134">
        <f>+SUMIF('Salary detail'!$D$3:$D$1048576,'Pivot 01 (.)'!$A26,'Salary detail'!$DN$3:$DN$1048576)</f>
        <v>0</v>
      </c>
      <c r="O26" s="134">
        <f>+SUMIF('Salary detail'!$D$3:$D$1048576,'Pivot 01 (.)'!$A26,'Salary detail'!$DO$3:$DO$1048576)</f>
        <v>0</v>
      </c>
      <c r="P26" s="134">
        <f>+SUMIF('Salary detail'!$D$3:$D$1048576,'Pivot 01 (.)'!$A26,'Salary detail'!$DP$3:$DP$1048576)</f>
        <v>0</v>
      </c>
      <c r="Q26" s="134">
        <f>+SUMIF('Salary detail'!$D$3:$D$1048576,'Pivot 01 (.)'!$A26,'Salary detail'!$DQ$3:$DQ$1048576)</f>
        <v>0</v>
      </c>
      <c r="R26" s="134">
        <f>+SUMIF('Salary detail'!$D$3:$D$1048576,'Pivot 01 (.)'!$A26,'Salary detail'!$CV$3:$CV$1048576)</f>
        <v>0</v>
      </c>
      <c r="S26" s="134">
        <f>+SUMIF('Salary detail'!$D$3:$D$1048576,'Pivot 01 (.)'!$A26,'Salary detail'!$DS$3:$DS$1048576)</f>
        <v>0</v>
      </c>
      <c r="T26" s="134">
        <v>0</v>
      </c>
      <c r="U26" s="116">
        <f t="shared" si="0"/>
        <v>0</v>
      </c>
      <c r="V26" s="116"/>
    </row>
    <row r="27" spans="1:22" s="117" customFormat="1" ht="21" customHeight="1">
      <c r="A27" s="119" t="s">
        <v>224</v>
      </c>
      <c r="B27" s="114" t="s">
        <v>225</v>
      </c>
      <c r="C27" s="115">
        <f>+COUNTIF('Salary detail'!$D$3:$D$1048576,'Pivot 01 (.)'!$A27)</f>
        <v>0</v>
      </c>
      <c r="D27" s="133">
        <f>+SUMIF('Salary detail'!$D$3:$D$1048576,'Pivot 01 (.)'!$A27,'Salary detail'!$J$3:$J$1048576)</f>
        <v>0</v>
      </c>
      <c r="E27" s="133">
        <f>+SUMIF('Salary detail'!$D$3:$D$1048576,'Pivot 01 (.)'!$A27,'Salary detail'!$K$3:$K$1048576)</f>
        <v>0</v>
      </c>
      <c r="F27" s="133">
        <f>+SUMIF('Salary detail'!$D$3:$D$1048576,'Pivot 01 (.)'!$A27,'Salary detail'!$L$3:$L$1048576)</f>
        <v>0</v>
      </c>
      <c r="G27" s="133">
        <f>+SUMIF('Salary detail'!$D$3:$D$1048576,'Pivot 01 (.)'!$A27,'Salary detail'!$N$3:$N$1048576)</f>
        <v>0</v>
      </c>
      <c r="H27" s="133">
        <f>+SUMIF('Salary detail'!$D$3:$D$1048576,'Pivot 01 (.)'!$A27,'Salary detail'!$O$3:$O$1048576)</f>
        <v>0</v>
      </c>
      <c r="I27" s="134">
        <f>+SUMIF('Salary detail'!$D$3:$D$1048576,'Pivot 01 (.)'!$A27,'Salary detail'!$CJ$3:$CJ$1048576)</f>
        <v>0</v>
      </c>
      <c r="J27" s="134">
        <f>+SUMIF('Salary detail'!$D$3:$D$1048576,'Pivot 01 (.)'!$A27,'Salary detail'!$DI$3:$DI$1048576)</f>
        <v>0</v>
      </c>
      <c r="K27" s="134">
        <f>+SUMIF('Salary detail'!$D$3:$D$1048576,'Pivot 01 (.)'!$A27,'Salary detail'!$DJ$3:$DJ$1048576)</f>
        <v>0</v>
      </c>
      <c r="L27" s="134">
        <f>+SUMIF('Salary detail'!$D$3:$D$1048576,'Pivot 01 (.)'!$A27,'Salary detail'!$DK$3:$DK$1048576)</f>
        <v>0</v>
      </c>
      <c r="M27" s="134">
        <f>+SUMIF('Salary detail'!$D$3:$D$1048576,'Pivot 01 (.)'!$A27,'Salary detail'!$DL$3:$DL$1048576)+SUMIF('Salary detail'!$D$3:$D$1048576,'Pivot 01 (.)'!$A27,'Salary detail'!$DM$3:$DM$1048576)</f>
        <v>0</v>
      </c>
      <c r="N27" s="134">
        <f>+SUMIF('Salary detail'!$D$3:$D$1048576,'Pivot 01 (.)'!$A27,'Salary detail'!$DN$3:$DN$1048576)</f>
        <v>0</v>
      </c>
      <c r="O27" s="134">
        <f>+SUMIF('Salary detail'!$D$3:$D$1048576,'Pivot 01 (.)'!$A27,'Salary detail'!$DO$3:$DO$1048576)</f>
        <v>0</v>
      </c>
      <c r="P27" s="134">
        <f>+SUMIF('Salary detail'!$D$3:$D$1048576,'Pivot 01 (.)'!$A27,'Salary detail'!$DP$3:$DP$1048576)</f>
        <v>0</v>
      </c>
      <c r="Q27" s="134">
        <f>+SUMIF('Salary detail'!$D$3:$D$1048576,'Pivot 01 (.)'!$A27,'Salary detail'!$DQ$3:$DQ$1048576)</f>
        <v>0</v>
      </c>
      <c r="R27" s="134">
        <f>+SUMIF('Salary detail'!$D$3:$D$1048576,'Pivot 01 (.)'!$A27,'Salary detail'!$CV$3:$CV$1048576)</f>
        <v>0</v>
      </c>
      <c r="S27" s="134">
        <f>+SUMIF('Salary detail'!$D$3:$D$1048576,'Pivot 01 (.)'!$A27,'Salary detail'!$DS$3:$DS$1048576)</f>
        <v>0</v>
      </c>
      <c r="T27" s="134">
        <v>0</v>
      </c>
      <c r="U27" s="116">
        <f t="shared" si="0"/>
        <v>0</v>
      </c>
      <c r="V27" s="116"/>
    </row>
    <row r="28" spans="1:22" s="117" customFormat="1" ht="21" customHeight="1">
      <c r="A28" s="105" t="s">
        <v>226</v>
      </c>
      <c r="B28" s="114" t="s">
        <v>227</v>
      </c>
      <c r="C28" s="115">
        <f>+COUNTIF('Salary detail'!$D$3:$D$1048576,'Pivot 01 (.)'!$A28)</f>
        <v>0</v>
      </c>
      <c r="D28" s="133">
        <f>+SUMIF('Salary detail'!$D$3:$D$1048576,'Pivot 01 (.)'!$A28,'Salary detail'!$J$3:$J$1048576)</f>
        <v>0</v>
      </c>
      <c r="E28" s="133">
        <f>+SUMIF('Salary detail'!$D$3:$D$1048576,'Pivot 01 (.)'!$A28,'Salary detail'!$K$3:$K$1048576)</f>
        <v>0</v>
      </c>
      <c r="F28" s="133">
        <f>+SUMIF('Salary detail'!$D$3:$D$1048576,'Pivot 01 (.)'!$A28,'Salary detail'!$L$3:$L$1048576)</f>
        <v>0</v>
      </c>
      <c r="G28" s="133">
        <f>+SUMIF('Salary detail'!$D$3:$D$1048576,'Pivot 01 (.)'!$A28,'Salary detail'!$N$3:$N$1048576)</f>
        <v>0</v>
      </c>
      <c r="H28" s="133">
        <f>+SUMIF('Salary detail'!$D$3:$D$1048576,'Pivot 01 (.)'!$A28,'Salary detail'!$O$3:$O$1048576)</f>
        <v>0</v>
      </c>
      <c r="I28" s="134">
        <f>+SUMIF('Salary detail'!$D$3:$D$1048576,'Pivot 01 (.)'!$A28,'Salary detail'!$CJ$3:$CJ$1048576)</f>
        <v>0</v>
      </c>
      <c r="J28" s="134">
        <f>+SUMIF('Salary detail'!$D$3:$D$1048576,'Pivot 01 (.)'!$A28,'Salary detail'!$DI$3:$DI$1048576)</f>
        <v>0</v>
      </c>
      <c r="K28" s="134">
        <f>+SUMIF('Salary detail'!$D$3:$D$1048576,'Pivot 01 (.)'!$A28,'Salary detail'!$DJ$3:$DJ$1048576)</f>
        <v>0</v>
      </c>
      <c r="L28" s="134">
        <f>+SUMIF('Salary detail'!$D$3:$D$1048576,'Pivot 01 (.)'!$A28,'Salary detail'!$DK$3:$DK$1048576)</f>
        <v>0</v>
      </c>
      <c r="M28" s="134">
        <f>+SUMIF('Salary detail'!$D$3:$D$1048576,'Pivot 01 (.)'!$A28,'Salary detail'!$DL$3:$DL$1048576)+SUMIF('Salary detail'!$D$3:$D$1048576,'Pivot 01 (.)'!$A28,'Salary detail'!$DM$3:$DM$1048576)</f>
        <v>0</v>
      </c>
      <c r="N28" s="134">
        <f>+SUMIF('Salary detail'!$D$3:$D$1048576,'Pivot 01 (.)'!$A28,'Salary detail'!$DN$3:$DN$1048576)</f>
        <v>0</v>
      </c>
      <c r="O28" s="134">
        <f>+SUMIF('Salary detail'!$D$3:$D$1048576,'Pivot 01 (.)'!$A28,'Salary detail'!$DO$3:$DO$1048576)</f>
        <v>0</v>
      </c>
      <c r="P28" s="134">
        <f>+SUMIF('Salary detail'!$D$3:$D$1048576,'Pivot 01 (.)'!$A28,'Salary detail'!$DP$3:$DP$1048576)</f>
        <v>0</v>
      </c>
      <c r="Q28" s="134">
        <f>+SUMIF('Salary detail'!$D$3:$D$1048576,'Pivot 01 (.)'!$A28,'Salary detail'!$DQ$3:$DQ$1048576)</f>
        <v>0</v>
      </c>
      <c r="R28" s="134">
        <f>+SUMIF('Salary detail'!$D$3:$D$1048576,'Pivot 01 (.)'!$A28,'Salary detail'!$CV$3:$CV$1048576)</f>
        <v>0</v>
      </c>
      <c r="S28" s="134">
        <f>+SUMIF('Salary detail'!$D$3:$D$1048576,'Pivot 01 (.)'!$A28,'Salary detail'!$DS$3:$DS$1048576)</f>
        <v>0</v>
      </c>
      <c r="T28" s="134">
        <v>0</v>
      </c>
      <c r="U28" s="116">
        <f t="shared" si="0"/>
        <v>0</v>
      </c>
      <c r="V28" s="116"/>
    </row>
    <row r="29" spans="1:22" s="117" customFormat="1" ht="21" customHeight="1">
      <c r="A29" s="105" t="s">
        <v>228</v>
      </c>
      <c r="B29" s="114" t="s">
        <v>229</v>
      </c>
      <c r="C29" s="115">
        <f>+COUNTIF('Salary detail'!$D$3:$D$1048576,'Pivot 01 (.)'!$A29)</f>
        <v>0</v>
      </c>
      <c r="D29" s="133">
        <f>+SUMIF('Salary detail'!$D$3:$D$1048576,'Pivot 01 (.)'!$A29,'Salary detail'!$J$3:$J$1048576)</f>
        <v>0</v>
      </c>
      <c r="E29" s="133">
        <f>+SUMIF('Salary detail'!$D$3:$D$1048576,'Pivot 01 (.)'!$A29,'Salary detail'!$K$3:$K$1048576)</f>
        <v>0</v>
      </c>
      <c r="F29" s="133">
        <f>+SUMIF('Salary detail'!$D$3:$D$1048576,'Pivot 01 (.)'!$A29,'Salary detail'!$L$3:$L$1048576)</f>
        <v>0</v>
      </c>
      <c r="G29" s="133">
        <f>+SUMIF('Salary detail'!$D$3:$D$1048576,'Pivot 01 (.)'!$A29,'Salary detail'!$N$3:$N$1048576)</f>
        <v>0</v>
      </c>
      <c r="H29" s="133">
        <f>+SUMIF('Salary detail'!$D$3:$D$1048576,'Pivot 01 (.)'!$A29,'Salary detail'!$O$3:$O$1048576)</f>
        <v>0</v>
      </c>
      <c r="I29" s="134">
        <f>+SUMIF('Salary detail'!$D$3:$D$1048576,'Pivot 01 (.)'!$A29,'Salary detail'!$CJ$3:$CJ$1048576)</f>
        <v>0</v>
      </c>
      <c r="J29" s="134">
        <f>+SUMIF('Salary detail'!$D$3:$D$1048576,'Pivot 01 (.)'!$A29,'Salary detail'!$DI$3:$DI$1048576)</f>
        <v>0</v>
      </c>
      <c r="K29" s="134">
        <f>+SUMIF('Salary detail'!$D$3:$D$1048576,'Pivot 01 (.)'!$A29,'Salary detail'!$DJ$3:$DJ$1048576)</f>
        <v>0</v>
      </c>
      <c r="L29" s="134">
        <f>+SUMIF('Salary detail'!$D$3:$D$1048576,'Pivot 01 (.)'!$A29,'Salary detail'!$DK$3:$DK$1048576)</f>
        <v>0</v>
      </c>
      <c r="M29" s="134">
        <f>+SUMIF('Salary detail'!$D$3:$D$1048576,'Pivot 01 (.)'!$A29,'Salary detail'!$DL$3:$DL$1048576)+SUMIF('Salary detail'!$D$3:$D$1048576,'Pivot 01 (.)'!$A29,'Salary detail'!$DM$3:$DM$1048576)</f>
        <v>0</v>
      </c>
      <c r="N29" s="134">
        <f>+SUMIF('Salary detail'!$D$3:$D$1048576,'Pivot 01 (.)'!$A29,'Salary detail'!$DN$3:$DN$1048576)</f>
        <v>0</v>
      </c>
      <c r="O29" s="134">
        <f>+SUMIF('Salary detail'!$D$3:$D$1048576,'Pivot 01 (.)'!$A29,'Salary detail'!$DO$3:$DO$1048576)</f>
        <v>0</v>
      </c>
      <c r="P29" s="134">
        <f>+SUMIF('Salary detail'!$D$3:$D$1048576,'Pivot 01 (.)'!$A29,'Salary detail'!$DP$3:$DP$1048576)</f>
        <v>0</v>
      </c>
      <c r="Q29" s="134">
        <f>+SUMIF('Salary detail'!$D$3:$D$1048576,'Pivot 01 (.)'!$A29,'Salary detail'!$DQ$3:$DQ$1048576)</f>
        <v>0</v>
      </c>
      <c r="R29" s="134">
        <f>+SUMIF('Salary detail'!$D$3:$D$1048576,'Pivot 01 (.)'!$A29,'Salary detail'!$CV$3:$CV$1048576)</f>
        <v>0</v>
      </c>
      <c r="S29" s="134">
        <f>+SUMIF('Salary detail'!$D$3:$D$1048576,'Pivot 01 (.)'!$A29,'Salary detail'!$DS$3:$DS$1048576)</f>
        <v>0</v>
      </c>
      <c r="T29" s="134">
        <v>0</v>
      </c>
      <c r="U29" s="116">
        <f t="shared" si="0"/>
        <v>0</v>
      </c>
      <c r="V29" s="116"/>
    </row>
    <row r="30" spans="1:22" s="117" customFormat="1" ht="21" customHeight="1">
      <c r="A30" s="105" t="s">
        <v>230</v>
      </c>
      <c r="B30" s="114" t="s">
        <v>231</v>
      </c>
      <c r="C30" s="115">
        <f>+COUNTIF('Salary detail'!$D$3:$D$1048576,'Pivot 01 (.)'!$A30)</f>
        <v>0</v>
      </c>
      <c r="D30" s="133">
        <f>+SUMIF('Salary detail'!$D$3:$D$1048576,'Pivot 01 (.)'!$A30,'Salary detail'!$J$3:$J$1048576)</f>
        <v>0</v>
      </c>
      <c r="E30" s="133">
        <f>+SUMIF('Salary detail'!$D$3:$D$1048576,'Pivot 01 (.)'!$A30,'Salary detail'!$K$3:$K$1048576)</f>
        <v>0</v>
      </c>
      <c r="F30" s="133">
        <f>+SUMIF('Salary detail'!$D$3:$D$1048576,'Pivot 01 (.)'!$A30,'Salary detail'!$L$3:$L$1048576)</f>
        <v>0</v>
      </c>
      <c r="G30" s="133">
        <f>+SUMIF('Salary detail'!$D$3:$D$1048576,'Pivot 01 (.)'!$A30,'Salary detail'!$N$3:$N$1048576)</f>
        <v>0</v>
      </c>
      <c r="H30" s="133">
        <f>+SUMIF('Salary detail'!$D$3:$D$1048576,'Pivot 01 (.)'!$A30,'Salary detail'!$O$3:$O$1048576)</f>
        <v>0</v>
      </c>
      <c r="I30" s="134">
        <f>+SUMIF('Salary detail'!$D$3:$D$1048576,'Pivot 01 (.)'!$A30,'Salary detail'!$CJ$3:$CJ$1048576)</f>
        <v>0</v>
      </c>
      <c r="J30" s="134">
        <f>+SUMIF('Salary detail'!$D$3:$D$1048576,'Pivot 01 (.)'!$A30,'Salary detail'!$DI$3:$DI$1048576)</f>
        <v>0</v>
      </c>
      <c r="K30" s="134">
        <f>+SUMIF('Salary detail'!$D$3:$D$1048576,'Pivot 01 (.)'!$A30,'Salary detail'!$DJ$3:$DJ$1048576)</f>
        <v>0</v>
      </c>
      <c r="L30" s="134">
        <f>+SUMIF('Salary detail'!$D$3:$D$1048576,'Pivot 01 (.)'!$A30,'Salary detail'!$DK$3:$DK$1048576)</f>
        <v>0</v>
      </c>
      <c r="M30" s="134">
        <f>+SUMIF('Salary detail'!$D$3:$D$1048576,'Pivot 01 (.)'!$A30,'Salary detail'!$DL$3:$DL$1048576)+SUMIF('Salary detail'!$D$3:$D$1048576,'Pivot 01 (.)'!$A30,'Salary detail'!$DM$3:$DM$1048576)</f>
        <v>0</v>
      </c>
      <c r="N30" s="134">
        <f>+SUMIF('Salary detail'!$D$3:$D$1048576,'Pivot 01 (.)'!$A30,'Salary detail'!$DN$3:$DN$1048576)</f>
        <v>0</v>
      </c>
      <c r="O30" s="134">
        <f>+SUMIF('Salary detail'!$D$3:$D$1048576,'Pivot 01 (.)'!$A30,'Salary detail'!$DO$3:$DO$1048576)</f>
        <v>0</v>
      </c>
      <c r="P30" s="134">
        <f>+SUMIF('Salary detail'!$D$3:$D$1048576,'Pivot 01 (.)'!$A30,'Salary detail'!$DP$3:$DP$1048576)</f>
        <v>0</v>
      </c>
      <c r="Q30" s="134">
        <f>+SUMIF('Salary detail'!$D$3:$D$1048576,'Pivot 01 (.)'!$A30,'Salary detail'!$DQ$3:$DQ$1048576)</f>
        <v>0</v>
      </c>
      <c r="R30" s="134">
        <f>+SUMIF('Salary detail'!$D$3:$D$1048576,'Pivot 01 (.)'!$A30,'Salary detail'!$CV$3:$CV$1048576)</f>
        <v>0</v>
      </c>
      <c r="S30" s="134">
        <f>+SUMIF('Salary detail'!$D$3:$D$1048576,'Pivot 01 (.)'!$A30,'Salary detail'!$DS$3:$DS$1048576)</f>
        <v>0</v>
      </c>
      <c r="T30" s="134">
        <v>0</v>
      </c>
      <c r="U30" s="116">
        <f t="shared" si="0"/>
        <v>0</v>
      </c>
      <c r="V30" s="116"/>
    </row>
    <row r="31" spans="1:22" s="117" customFormat="1" ht="21" customHeight="1">
      <c r="A31" s="105" t="s">
        <v>232</v>
      </c>
      <c r="B31" s="114" t="s">
        <v>233</v>
      </c>
      <c r="C31" s="115">
        <f>+COUNTIF('Salary detail'!$D$3:$D$1048576,'Pivot 01 (.)'!$A31)</f>
        <v>0</v>
      </c>
      <c r="D31" s="133">
        <f>+SUMIF('Salary detail'!$D$3:$D$1048576,'Pivot 01 (.)'!$A31,'Salary detail'!$J$3:$J$1048576)</f>
        <v>0</v>
      </c>
      <c r="E31" s="133">
        <f>+SUMIF('Salary detail'!$D$3:$D$1048576,'Pivot 01 (.)'!$A31,'Salary detail'!$K$3:$K$1048576)</f>
        <v>0</v>
      </c>
      <c r="F31" s="133">
        <f>+SUMIF('Salary detail'!$D$3:$D$1048576,'Pivot 01 (.)'!$A31,'Salary detail'!$L$3:$L$1048576)</f>
        <v>0</v>
      </c>
      <c r="G31" s="133">
        <f>+SUMIF('Salary detail'!$D$3:$D$1048576,'Pivot 01 (.)'!$A31,'Salary detail'!$N$3:$N$1048576)</f>
        <v>0</v>
      </c>
      <c r="H31" s="133">
        <f>+SUMIF('Salary detail'!$D$3:$D$1048576,'Pivot 01 (.)'!$A31,'Salary detail'!$O$3:$O$1048576)</f>
        <v>0</v>
      </c>
      <c r="I31" s="134">
        <f>+SUMIF('Salary detail'!$D$3:$D$1048576,'Pivot 01 (.)'!$A31,'Salary detail'!$CJ$3:$CJ$1048576)</f>
        <v>0</v>
      </c>
      <c r="J31" s="134">
        <f>+SUMIF('Salary detail'!$D$3:$D$1048576,'Pivot 01 (.)'!$A31,'Salary detail'!$DI$3:$DI$1048576)</f>
        <v>0</v>
      </c>
      <c r="K31" s="134">
        <f>+SUMIF('Salary detail'!$D$3:$D$1048576,'Pivot 01 (.)'!$A31,'Salary detail'!$DJ$3:$DJ$1048576)</f>
        <v>0</v>
      </c>
      <c r="L31" s="134">
        <f>+SUMIF('Salary detail'!$D$3:$D$1048576,'Pivot 01 (.)'!$A31,'Salary detail'!$DK$3:$DK$1048576)</f>
        <v>0</v>
      </c>
      <c r="M31" s="134">
        <f>+SUMIF('Salary detail'!$D$3:$D$1048576,'Pivot 01 (.)'!$A31,'Salary detail'!$DL$3:$DL$1048576)+SUMIF('Salary detail'!$D$3:$D$1048576,'Pivot 01 (.)'!$A31,'Salary detail'!$DM$3:$DM$1048576)</f>
        <v>0</v>
      </c>
      <c r="N31" s="134">
        <f>+SUMIF('Salary detail'!$D$3:$D$1048576,'Pivot 01 (.)'!$A31,'Salary detail'!$DN$3:$DN$1048576)</f>
        <v>0</v>
      </c>
      <c r="O31" s="134">
        <f>+SUMIF('Salary detail'!$D$3:$D$1048576,'Pivot 01 (.)'!$A31,'Salary detail'!$DO$3:$DO$1048576)</f>
        <v>0</v>
      </c>
      <c r="P31" s="134">
        <f>+SUMIF('Salary detail'!$D$3:$D$1048576,'Pivot 01 (.)'!$A31,'Salary detail'!$DP$3:$DP$1048576)</f>
        <v>0</v>
      </c>
      <c r="Q31" s="134">
        <f>+SUMIF('Salary detail'!$D$3:$D$1048576,'Pivot 01 (.)'!$A31,'Salary detail'!$DQ$3:$DQ$1048576)</f>
        <v>0</v>
      </c>
      <c r="R31" s="134">
        <f>+SUMIF('Salary detail'!$D$3:$D$1048576,'Pivot 01 (.)'!$A31,'Salary detail'!$CV$3:$CV$1048576)</f>
        <v>0</v>
      </c>
      <c r="S31" s="134">
        <f>+SUMIF('Salary detail'!$D$3:$D$1048576,'Pivot 01 (.)'!$A31,'Salary detail'!$DS$3:$DS$1048576)</f>
        <v>0</v>
      </c>
      <c r="T31" s="134">
        <v>0</v>
      </c>
      <c r="U31" s="116">
        <f t="shared" si="0"/>
        <v>0</v>
      </c>
      <c r="V31" s="116"/>
    </row>
    <row r="32" spans="1:22" s="117" customFormat="1" ht="21" customHeight="1">
      <c r="A32" s="105">
        <v>252001</v>
      </c>
      <c r="B32" s="114" t="s">
        <v>234</v>
      </c>
      <c r="C32" s="115">
        <f>+COUNTIF('Salary detail'!$D$3:$D$1048576,'Pivot 01 (.)'!$A32)</f>
        <v>0</v>
      </c>
      <c r="D32" s="133">
        <f>+SUMIF('Salary detail'!$D$3:$D$1048576,'Pivot 01 (.)'!$A32,'Salary detail'!$J$3:$J$1048576)</f>
        <v>0</v>
      </c>
      <c r="E32" s="133">
        <f>+SUMIF('Salary detail'!$D$3:$D$1048576,'Pivot 01 (.)'!$A32,'Salary detail'!$K$3:$K$1048576)</f>
        <v>0</v>
      </c>
      <c r="F32" s="133">
        <f>+SUMIF('Salary detail'!$D$3:$D$1048576,'Pivot 01 (.)'!$A32,'Salary detail'!$L$3:$L$1048576)</f>
        <v>0</v>
      </c>
      <c r="G32" s="133">
        <f>+SUMIF('Salary detail'!$D$3:$D$1048576,'Pivot 01 (.)'!$A32,'Salary detail'!$N$3:$N$1048576)</f>
        <v>0</v>
      </c>
      <c r="H32" s="133">
        <f>+SUMIF('Salary detail'!$D$3:$D$1048576,'Pivot 01 (.)'!$A32,'Salary detail'!$O$3:$O$1048576)</f>
        <v>0</v>
      </c>
      <c r="I32" s="134">
        <f>+SUMIF('Salary detail'!$D$3:$D$1048576,'Pivot 01 (.)'!$A32,'Salary detail'!$CJ$3:$CJ$1048576)</f>
        <v>0</v>
      </c>
      <c r="J32" s="134">
        <f>+SUMIF('Salary detail'!$D$3:$D$1048576,'Pivot 01 (.)'!$A32,'Salary detail'!$DI$3:$DI$1048576)</f>
        <v>0</v>
      </c>
      <c r="K32" s="134">
        <f>+SUMIF('Salary detail'!$D$3:$D$1048576,'Pivot 01 (.)'!$A32,'Salary detail'!$DJ$3:$DJ$1048576)</f>
        <v>0</v>
      </c>
      <c r="L32" s="134">
        <f>+SUMIF('Salary detail'!$D$3:$D$1048576,'Pivot 01 (.)'!$A32,'Salary detail'!$DK$3:$DK$1048576)</f>
        <v>0</v>
      </c>
      <c r="M32" s="134">
        <f>+SUMIF('Salary detail'!$D$3:$D$1048576,'Pivot 01 (.)'!$A32,'Salary detail'!$DL$3:$DL$1048576)+SUMIF('Salary detail'!$D$3:$D$1048576,'Pivot 01 (.)'!$A32,'Salary detail'!$DM$3:$DM$1048576)</f>
        <v>0</v>
      </c>
      <c r="N32" s="134">
        <f>+SUMIF('Salary detail'!$D$3:$D$1048576,'Pivot 01 (.)'!$A32,'Salary detail'!$DN$3:$DN$1048576)</f>
        <v>0</v>
      </c>
      <c r="O32" s="134">
        <f>+SUMIF('Salary detail'!$D$3:$D$1048576,'Pivot 01 (.)'!$A32,'Salary detail'!$DO$3:$DO$1048576)</f>
        <v>0</v>
      </c>
      <c r="P32" s="134">
        <f>+SUMIF('Salary detail'!$D$3:$D$1048576,'Pivot 01 (.)'!$A32,'Salary detail'!$DP$3:$DP$1048576)</f>
        <v>0</v>
      </c>
      <c r="Q32" s="134">
        <f>+SUMIF('Salary detail'!$D$3:$D$1048576,'Pivot 01 (.)'!$A32,'Salary detail'!$DQ$3:$DQ$1048576)</f>
        <v>0</v>
      </c>
      <c r="R32" s="134">
        <f>+SUMIF('Salary detail'!$D$3:$D$1048576,'Pivot 01 (.)'!$A32,'Salary detail'!$CV$3:$CV$1048576)</f>
        <v>0</v>
      </c>
      <c r="S32" s="134">
        <f>+SUMIF('Salary detail'!$D$3:$D$1048576,'Pivot 01 (.)'!$A32,'Salary detail'!$DS$3:$DS$1048576)</f>
        <v>0</v>
      </c>
      <c r="T32" s="134">
        <v>0</v>
      </c>
      <c r="U32" s="116">
        <f t="shared" si="0"/>
        <v>0</v>
      </c>
      <c r="V32" s="120"/>
    </row>
    <row r="33" spans="1:22" s="117" customFormat="1" ht="21" customHeight="1">
      <c r="A33" s="105">
        <v>251001</v>
      </c>
      <c r="B33" s="114" t="s">
        <v>235</v>
      </c>
      <c r="C33" s="115">
        <f>+COUNTIF('Salary detail'!$D$3:$D$1048576,'Pivot 01 (.)'!$A33)</f>
        <v>0</v>
      </c>
      <c r="D33" s="133">
        <f>+SUMIF('Salary detail'!$D$3:$D$1048576,'Pivot 01 (.)'!$A33,'Salary detail'!$J$3:$J$1048576)</f>
        <v>0</v>
      </c>
      <c r="E33" s="133">
        <f>+SUMIF('Salary detail'!$D$3:$D$1048576,'Pivot 01 (.)'!$A33,'Salary detail'!$K$3:$K$1048576)</f>
        <v>0</v>
      </c>
      <c r="F33" s="133">
        <f>+SUMIF('Salary detail'!$D$3:$D$1048576,'Pivot 01 (.)'!$A33,'Salary detail'!$L$3:$L$1048576)</f>
        <v>0</v>
      </c>
      <c r="G33" s="133">
        <f>+SUMIF('Salary detail'!$D$3:$D$1048576,'Pivot 01 (.)'!$A33,'Salary detail'!$N$3:$N$1048576)</f>
        <v>0</v>
      </c>
      <c r="H33" s="133">
        <f>+SUMIF('Salary detail'!$D$3:$D$1048576,'Pivot 01 (.)'!$A33,'Salary detail'!$O$3:$O$1048576)</f>
        <v>0</v>
      </c>
      <c r="I33" s="134">
        <f>+SUMIF('Salary detail'!$D$3:$D$1048576,'Pivot 01 (.)'!$A33,'Salary detail'!$CJ$3:$CJ$1048576)</f>
        <v>0</v>
      </c>
      <c r="J33" s="134">
        <f>+SUMIF('Salary detail'!$D$3:$D$1048576,'Pivot 01 (.)'!$A33,'Salary detail'!$DI$3:$DI$1048576)</f>
        <v>0</v>
      </c>
      <c r="K33" s="134">
        <f>+SUMIF('Salary detail'!$D$3:$D$1048576,'Pivot 01 (.)'!$A33,'Salary detail'!$DJ$3:$DJ$1048576)</f>
        <v>0</v>
      </c>
      <c r="L33" s="134">
        <f>+SUMIF('Salary detail'!$D$3:$D$1048576,'Pivot 01 (.)'!$A33,'Salary detail'!$DK$3:$DK$1048576)</f>
        <v>0</v>
      </c>
      <c r="M33" s="134">
        <f>+SUMIF('Salary detail'!$D$3:$D$1048576,'Pivot 01 (.)'!$A33,'Salary detail'!$DL$3:$DL$1048576)+SUMIF('Salary detail'!$D$3:$D$1048576,'Pivot 01 (.)'!$A33,'Salary detail'!$DM$3:$DM$1048576)</f>
        <v>0</v>
      </c>
      <c r="N33" s="134">
        <f>+SUMIF('Salary detail'!$D$3:$D$1048576,'Pivot 01 (.)'!$A33,'Salary detail'!$DN$3:$DN$1048576)</f>
        <v>0</v>
      </c>
      <c r="O33" s="134">
        <f>+SUMIF('Salary detail'!$D$3:$D$1048576,'Pivot 01 (.)'!$A33,'Salary detail'!$DO$3:$DO$1048576)</f>
        <v>0</v>
      </c>
      <c r="P33" s="134">
        <f>+SUMIF('Salary detail'!$D$3:$D$1048576,'Pivot 01 (.)'!$A33,'Salary detail'!$DP$3:$DP$1048576)</f>
        <v>0</v>
      </c>
      <c r="Q33" s="134">
        <f>+SUMIF('Salary detail'!$D$3:$D$1048576,'Pivot 01 (.)'!$A33,'Salary detail'!$DQ$3:$DQ$1048576)</f>
        <v>0</v>
      </c>
      <c r="R33" s="134">
        <f>+SUMIF('Salary detail'!$D$3:$D$1048576,'Pivot 01 (.)'!$A33,'Salary detail'!$CV$3:$CV$1048576)</f>
        <v>0</v>
      </c>
      <c r="S33" s="134">
        <f>+SUMIF('Salary detail'!$D$3:$D$1048576,'Pivot 01 (.)'!$A33,'Salary detail'!$DS$3:$DS$1048576)</f>
        <v>0</v>
      </c>
      <c r="T33" s="134">
        <v>0</v>
      </c>
      <c r="U33" s="116">
        <f t="shared" si="0"/>
        <v>0</v>
      </c>
      <c r="V33" s="120"/>
    </row>
    <row r="34" spans="1:22" s="117" customFormat="1" ht="21" customHeight="1">
      <c r="A34" s="105">
        <v>262001</v>
      </c>
      <c r="B34" s="114" t="s">
        <v>236</v>
      </c>
      <c r="C34" s="115">
        <f>+COUNTIF('Salary detail'!$D$3:$D$1048576,'Pivot 01 (.)'!$A34)</f>
        <v>0</v>
      </c>
      <c r="D34" s="133">
        <f>+SUMIF('Salary detail'!$D$3:$D$1048576,'Pivot 01 (.)'!$A34,'Salary detail'!$J$3:$J$1048576)</f>
        <v>0</v>
      </c>
      <c r="E34" s="133">
        <f>+SUMIF('Salary detail'!$D$3:$D$1048576,'Pivot 01 (.)'!$A34,'Salary detail'!$K$3:$K$1048576)</f>
        <v>0</v>
      </c>
      <c r="F34" s="133">
        <f>+SUMIF('Salary detail'!$D$3:$D$1048576,'Pivot 01 (.)'!$A34,'Salary detail'!$L$3:$L$1048576)</f>
        <v>0</v>
      </c>
      <c r="G34" s="133">
        <f>+SUMIF('Salary detail'!$D$3:$D$1048576,'Pivot 01 (.)'!$A34,'Salary detail'!$N$3:$N$1048576)</f>
        <v>0</v>
      </c>
      <c r="H34" s="133">
        <f>+SUMIF('Salary detail'!$D$3:$D$1048576,'Pivot 01 (.)'!$A34,'Salary detail'!$O$3:$O$1048576)</f>
        <v>0</v>
      </c>
      <c r="I34" s="134">
        <f>+SUMIF('Salary detail'!$D$3:$D$1048576,'Pivot 01 (.)'!$A34,'Salary detail'!$CJ$3:$CJ$1048576)</f>
        <v>0</v>
      </c>
      <c r="J34" s="134">
        <f>+SUMIF('Salary detail'!$D$3:$D$1048576,'Pivot 01 (.)'!$A34,'Salary detail'!$DI$3:$DI$1048576)</f>
        <v>0</v>
      </c>
      <c r="K34" s="134">
        <f>+SUMIF('Salary detail'!$D$3:$D$1048576,'Pivot 01 (.)'!$A34,'Salary detail'!$DJ$3:$DJ$1048576)</f>
        <v>0</v>
      </c>
      <c r="L34" s="134">
        <f>+SUMIF('Salary detail'!$D$3:$D$1048576,'Pivot 01 (.)'!$A34,'Salary detail'!$DK$3:$DK$1048576)</f>
        <v>0</v>
      </c>
      <c r="M34" s="134">
        <f>+SUMIF('Salary detail'!$D$3:$D$1048576,'Pivot 01 (.)'!$A34,'Salary detail'!$DL$3:$DL$1048576)+SUMIF('Salary detail'!$D$3:$D$1048576,'Pivot 01 (.)'!$A34,'Salary detail'!$DM$3:$DM$1048576)</f>
        <v>0</v>
      </c>
      <c r="N34" s="134">
        <f>+SUMIF('Salary detail'!$D$3:$D$1048576,'Pivot 01 (.)'!$A34,'Salary detail'!$DN$3:$DN$1048576)</f>
        <v>0</v>
      </c>
      <c r="O34" s="134">
        <f>+SUMIF('Salary detail'!$D$3:$D$1048576,'Pivot 01 (.)'!$A34,'Salary detail'!$DO$3:$DO$1048576)</f>
        <v>0</v>
      </c>
      <c r="P34" s="134">
        <f>+SUMIF('Salary detail'!$D$3:$D$1048576,'Pivot 01 (.)'!$A34,'Salary detail'!$DP$3:$DP$1048576)</f>
        <v>0</v>
      </c>
      <c r="Q34" s="134">
        <f>+SUMIF('Salary detail'!$D$3:$D$1048576,'Pivot 01 (.)'!$A34,'Salary detail'!$DQ$3:$DQ$1048576)</f>
        <v>0</v>
      </c>
      <c r="R34" s="134">
        <f>+SUMIF('Salary detail'!$D$3:$D$1048576,'Pivot 01 (.)'!$A34,'Salary detail'!$CV$3:$CV$1048576)</f>
        <v>0</v>
      </c>
      <c r="S34" s="134">
        <f>+SUMIF('Salary detail'!$D$3:$D$1048576,'Pivot 01 (.)'!$A34,'Salary detail'!$DS$3:$DS$1048576)</f>
        <v>0</v>
      </c>
      <c r="T34" s="134">
        <v>0</v>
      </c>
      <c r="U34" s="116">
        <f t="shared" si="0"/>
        <v>0</v>
      </c>
      <c r="V34" s="120"/>
    </row>
    <row r="35" spans="1:22" s="117" customFormat="1" ht="21" customHeight="1">
      <c r="A35" s="105">
        <v>261001</v>
      </c>
      <c r="B35" s="114" t="s">
        <v>237</v>
      </c>
      <c r="C35" s="115">
        <f>+COUNTIF('Salary detail'!$D$3:$D$1048576,'Pivot 01 (.)'!$A35)</f>
        <v>0</v>
      </c>
      <c r="D35" s="133">
        <f>+SUMIF('Salary detail'!$D$3:$D$1048576,'Pivot 01 (.)'!$A35,'Salary detail'!$J$3:$J$1048576)</f>
        <v>0</v>
      </c>
      <c r="E35" s="133">
        <f>+SUMIF('Salary detail'!$D$3:$D$1048576,'Pivot 01 (.)'!$A35,'Salary detail'!$K$3:$K$1048576)</f>
        <v>0</v>
      </c>
      <c r="F35" s="133">
        <f>+SUMIF('Salary detail'!$D$3:$D$1048576,'Pivot 01 (.)'!$A35,'Salary detail'!$L$3:$L$1048576)</f>
        <v>0</v>
      </c>
      <c r="G35" s="133">
        <f>+SUMIF('Salary detail'!$D$3:$D$1048576,'Pivot 01 (.)'!$A35,'Salary detail'!$N$3:$N$1048576)</f>
        <v>0</v>
      </c>
      <c r="H35" s="133">
        <f>+SUMIF('Salary detail'!$D$3:$D$1048576,'Pivot 01 (.)'!$A35,'Salary detail'!$O$3:$O$1048576)</f>
        <v>0</v>
      </c>
      <c r="I35" s="134">
        <f>+SUMIF('Salary detail'!$D$3:$D$1048576,'Pivot 01 (.)'!$A35,'Salary detail'!$CJ$3:$CJ$1048576)</f>
        <v>0</v>
      </c>
      <c r="J35" s="134">
        <f>+SUMIF('Salary detail'!$D$3:$D$1048576,'Pivot 01 (.)'!$A35,'Salary detail'!$DI$3:$DI$1048576)</f>
        <v>0</v>
      </c>
      <c r="K35" s="134">
        <f>+SUMIF('Salary detail'!$D$3:$D$1048576,'Pivot 01 (.)'!$A35,'Salary detail'!$DJ$3:$DJ$1048576)</f>
        <v>0</v>
      </c>
      <c r="L35" s="134">
        <f>+SUMIF('Salary detail'!$D$3:$D$1048576,'Pivot 01 (.)'!$A35,'Salary detail'!$DK$3:$DK$1048576)</f>
        <v>0</v>
      </c>
      <c r="M35" s="134">
        <f>+SUMIF('Salary detail'!$D$3:$D$1048576,'Pivot 01 (.)'!$A35,'Salary detail'!$DL$3:$DL$1048576)+SUMIF('Salary detail'!$D$3:$D$1048576,'Pivot 01 (.)'!$A35,'Salary detail'!$DM$3:$DM$1048576)</f>
        <v>0</v>
      </c>
      <c r="N35" s="134">
        <f>+SUMIF('Salary detail'!$D$3:$D$1048576,'Pivot 01 (.)'!$A35,'Salary detail'!$DN$3:$DN$1048576)</f>
        <v>0</v>
      </c>
      <c r="O35" s="134">
        <f>+SUMIF('Salary detail'!$D$3:$D$1048576,'Pivot 01 (.)'!$A35,'Salary detail'!$DO$3:$DO$1048576)</f>
        <v>0</v>
      </c>
      <c r="P35" s="134">
        <f>+SUMIF('Salary detail'!$D$3:$D$1048576,'Pivot 01 (.)'!$A35,'Salary detail'!$DP$3:$DP$1048576)</f>
        <v>0</v>
      </c>
      <c r="Q35" s="134">
        <f>+SUMIF('Salary detail'!$D$3:$D$1048576,'Pivot 01 (.)'!$A35,'Salary detail'!$DQ$3:$DQ$1048576)</f>
        <v>0</v>
      </c>
      <c r="R35" s="134">
        <f>+SUMIF('Salary detail'!$D$3:$D$1048576,'Pivot 01 (.)'!$A35,'Salary detail'!$CV$3:$CV$1048576)</f>
        <v>0</v>
      </c>
      <c r="S35" s="134">
        <f>+SUMIF('Salary detail'!$D$3:$D$1048576,'Pivot 01 (.)'!$A35,'Salary detail'!$DS$3:$DS$1048576)</f>
        <v>0</v>
      </c>
      <c r="T35" s="134">
        <v>0</v>
      </c>
      <c r="U35" s="116">
        <f t="shared" si="0"/>
        <v>0</v>
      </c>
      <c r="V35" s="120"/>
    </row>
    <row r="36" spans="1:22" s="113" customFormat="1" ht="21" customHeight="1">
      <c r="A36" s="121" t="s">
        <v>238</v>
      </c>
      <c r="B36" s="122" t="s">
        <v>239</v>
      </c>
      <c r="C36" s="123">
        <f>SUM(C4:C35)</f>
        <v>1</v>
      </c>
      <c r="D36" s="123">
        <f t="shared" ref="D36:T36" si="1">SUM(D4:D35)</f>
        <v>4800000</v>
      </c>
      <c r="E36" s="123">
        <f t="shared" si="1"/>
        <v>350000</v>
      </c>
      <c r="F36" s="123">
        <f t="shared" si="1"/>
        <v>2000000</v>
      </c>
      <c r="G36" s="123">
        <f t="shared" si="1"/>
        <v>0</v>
      </c>
      <c r="H36" s="123">
        <f t="shared" si="1"/>
        <v>0</v>
      </c>
      <c r="I36" s="123">
        <f t="shared" si="1"/>
        <v>0</v>
      </c>
      <c r="J36" s="123">
        <f t="shared" si="1"/>
        <v>0</v>
      </c>
      <c r="K36" s="123">
        <f t="shared" si="1"/>
        <v>0</v>
      </c>
      <c r="L36" s="123">
        <f t="shared" si="1"/>
        <v>0</v>
      </c>
      <c r="M36" s="123">
        <f t="shared" si="1"/>
        <v>0</v>
      </c>
      <c r="N36" s="123">
        <f t="shared" si="1"/>
        <v>0</v>
      </c>
      <c r="O36" s="123">
        <f t="shared" si="1"/>
        <v>0</v>
      </c>
      <c r="P36" s="123">
        <f t="shared" si="1"/>
        <v>0</v>
      </c>
      <c r="Q36" s="123">
        <f t="shared" si="1"/>
        <v>0</v>
      </c>
      <c r="R36" s="123">
        <f>SUM(R4:R35)</f>
        <v>0</v>
      </c>
      <c r="S36" s="123">
        <f t="shared" si="1"/>
        <v>321750</v>
      </c>
      <c r="T36" s="123">
        <f t="shared" si="1"/>
        <v>0</v>
      </c>
      <c r="U36" s="123">
        <f>SUM(U4:U35)</f>
        <v>-321750</v>
      </c>
      <c r="V36" s="123"/>
    </row>
    <row r="37" spans="1:22" s="113" customFormat="1">
      <c r="A37" s="124"/>
      <c r="B37" s="125"/>
      <c r="C37" s="126"/>
      <c r="D37" s="126"/>
      <c r="E37" s="126"/>
      <c r="F37" s="126"/>
      <c r="G37" s="126"/>
      <c r="H37" s="126"/>
      <c r="I37" s="127"/>
      <c r="J37" s="126"/>
      <c r="K37" s="126"/>
      <c r="L37" s="126"/>
      <c r="M37" s="126"/>
      <c r="N37" s="126"/>
      <c r="O37" s="126"/>
      <c r="P37" s="126"/>
      <c r="Q37" s="126"/>
      <c r="R37" s="126"/>
      <c r="S37" s="126"/>
      <c r="T37" s="126"/>
      <c r="U37" s="128"/>
    </row>
    <row r="38" spans="1:22" s="113" customFormat="1">
      <c r="A38" s="105" t="s">
        <v>216</v>
      </c>
      <c r="B38" s="125"/>
      <c r="C38" s="126"/>
      <c r="D38" s="127"/>
      <c r="E38" s="127"/>
      <c r="F38" s="127"/>
      <c r="G38" s="127"/>
      <c r="H38" s="127"/>
      <c r="I38" s="127"/>
      <c r="J38" s="127"/>
      <c r="K38" s="127"/>
      <c r="L38" s="127"/>
      <c r="M38" s="127"/>
      <c r="N38" s="127"/>
      <c r="O38" s="127"/>
      <c r="P38" s="127"/>
      <c r="Q38" s="127"/>
      <c r="R38" s="127"/>
      <c r="S38" s="127"/>
      <c r="T38" s="127"/>
      <c r="U38" s="127"/>
    </row>
    <row r="39" spans="1:22">
      <c r="D39" s="129"/>
      <c r="E39" s="129"/>
      <c r="F39" s="129"/>
      <c r="G39" s="129"/>
      <c r="H39" s="129"/>
      <c r="I39" s="129"/>
      <c r="J39" s="129"/>
      <c r="K39" s="129"/>
      <c r="L39" s="129"/>
      <c r="M39" s="129"/>
      <c r="N39" s="129"/>
      <c r="O39" s="129"/>
      <c r="P39" s="129"/>
      <c r="Q39" s="129"/>
      <c r="R39" s="129"/>
      <c r="S39" s="129"/>
      <c r="T39" s="129"/>
    </row>
    <row r="40" spans="1:22">
      <c r="J40" s="130"/>
      <c r="K40" s="131"/>
      <c r="U40" s="132"/>
    </row>
    <row r="41" spans="1:22">
      <c r="J41" s="130"/>
      <c r="K41" s="130"/>
      <c r="L41" s="130"/>
      <c r="M41" s="130"/>
      <c r="N41" s="130"/>
      <c r="O41" s="130"/>
    </row>
    <row r="42" spans="1:22">
      <c r="J42" s="130"/>
      <c r="U42" s="132"/>
    </row>
    <row r="43" spans="1:22">
      <c r="J43" s="130"/>
      <c r="K43" s="130"/>
      <c r="L43" s="130"/>
      <c r="M43" s="130"/>
      <c r="N43" s="130"/>
      <c r="O43" s="130"/>
      <c r="P43" s="130"/>
      <c r="Q43" s="130"/>
    </row>
    <row r="44" spans="1:22">
      <c r="M44" s="126"/>
    </row>
    <row r="45" spans="1:22">
      <c r="J45" s="129"/>
      <c r="M45" s="129"/>
      <c r="N45" s="129"/>
    </row>
    <row r="46" spans="1:22">
      <c r="J46" s="129"/>
      <c r="M46" s="129"/>
    </row>
    <row r="47" spans="1:22">
      <c r="J47" s="129"/>
    </row>
  </sheetData>
  <autoFilter ref="A3:U3">
    <filterColumn colId="0" showButton="0"/>
  </autoFilter>
  <mergeCells count="1">
    <mergeCell ref="A3:B3"/>
  </mergeCells>
  <pageMargins left="0" right="0" top="0" bottom="0" header="0" footer="0"/>
  <pageSetup paperSize="9" scale="60" orientation="landscape"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7" sqref="H37"/>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Salary detail</vt:lpstr>
      <vt:lpstr>TH</vt:lpstr>
      <vt:lpstr>Pivot 01 (.)</vt:lpstr>
      <vt:lpstr>signal</vt:lpstr>
      <vt:lpstr>TH!Print_Area</vt:lpstr>
      <vt:lpstr>'Salary detail'!Print_Titles</vt:lpstr>
      <vt:lpstr>TH!Print_Titles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dcterms:created xsi:type="dcterms:W3CDTF">2023-03-03T07:17:24Z</dcterms:created>
  <dcterms:modified xsi:type="dcterms:W3CDTF">2023-10-30T05:08:54Z</dcterms:modified>
</cp:coreProperties>
</file>