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10.70.21.236\Support Team\Human Resources Group\Utility\5.Điện(전기), nước(물), GAS(식당) tai lieu\"/>
    </mc:Choice>
  </mc:AlternateContent>
  <xr:revisionPtr revIDLastSave="0" documentId="13_ncr:1_{AA964DB0-EAEE-4273-80DB-5D7ED7428C2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입고현황정리 2020" sheetId="3" r:id="rId1"/>
    <sheet name="종합자료" sheetId="1" r:id="rId2"/>
    <sheet name="입고현황정리 2021" sheetId="2" r:id="rId3"/>
    <sheet name="종합자료 2022" sheetId="5" r:id="rId4"/>
    <sheet name="입고현황정리 202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5" l="1"/>
  <c r="O32" i="5"/>
  <c r="N32" i="5"/>
  <c r="M33" i="5"/>
  <c r="L33" i="5"/>
  <c r="K33" i="5"/>
  <c r="J33" i="5"/>
  <c r="M32" i="5"/>
  <c r="L32" i="5"/>
  <c r="K32" i="5"/>
  <c r="J32" i="5"/>
  <c r="I32" i="5"/>
  <c r="H32" i="5"/>
  <c r="G32" i="5"/>
  <c r="F32" i="5"/>
  <c r="E32" i="5"/>
  <c r="D32" i="5"/>
  <c r="M36" i="5"/>
  <c r="L36" i="5"/>
  <c r="J36" i="5"/>
  <c r="L34" i="5"/>
  <c r="K34" i="5"/>
  <c r="J34" i="5"/>
  <c r="Q32" i="5" l="1"/>
  <c r="P32" i="5"/>
  <c r="F36" i="5"/>
  <c r="G36" i="5"/>
  <c r="AI27" i="4"/>
  <c r="AJ27" i="4" s="1"/>
  <c r="AH26" i="4"/>
  <c r="AI26" i="4" s="1"/>
  <c r="AI25" i="4"/>
  <c r="AJ25" i="4" s="1"/>
  <c r="AH24" i="4"/>
  <c r="AI24" i="4" s="1"/>
  <c r="AI23" i="4"/>
  <c r="AJ23" i="4" s="1"/>
  <c r="AH22" i="4"/>
  <c r="AI22" i="4" s="1"/>
  <c r="AI21" i="4"/>
  <c r="AJ21" i="4" s="1"/>
  <c r="AH20" i="4"/>
  <c r="AI20" i="4" s="1"/>
  <c r="AI19" i="4"/>
  <c r="AJ19" i="4" s="1"/>
  <c r="AH18" i="4"/>
  <c r="AI18" i="4" s="1"/>
  <c r="AI17" i="4"/>
  <c r="AJ17" i="4" s="1"/>
  <c r="AH16" i="4"/>
  <c r="AI16" i="4" s="1"/>
  <c r="AH17" i="4" s="1"/>
  <c r="AI15" i="4"/>
  <c r="AJ15" i="4" s="1"/>
  <c r="AH14" i="4"/>
  <c r="AI14" i="4" s="1"/>
  <c r="AI13" i="4"/>
  <c r="AJ13" i="4" s="1"/>
  <c r="AH12" i="4"/>
  <c r="AI12" i="4" s="1"/>
  <c r="AI11" i="4"/>
  <c r="AJ11" i="4" s="1"/>
  <c r="AH10" i="4"/>
  <c r="AI10" i="4" s="1"/>
  <c r="AI9" i="4"/>
  <c r="AJ9" i="4" s="1"/>
  <c r="AH8" i="4"/>
  <c r="AI8" i="4" s="1"/>
  <c r="AH9" i="4" s="1"/>
  <c r="AI7" i="4"/>
  <c r="AJ7" i="4" s="1"/>
  <c r="AH6" i="4"/>
  <c r="AI6" i="4" s="1"/>
  <c r="AI5" i="4"/>
  <c r="AJ5" i="4" s="1"/>
  <c r="AH4" i="4"/>
  <c r="AI4" i="4" s="1"/>
  <c r="AH25" i="4" l="1"/>
  <c r="AJ4" i="4"/>
  <c r="AK4" i="4" s="1"/>
  <c r="AH5" i="4"/>
  <c r="D27" i="5" s="1"/>
  <c r="D26" i="5" s="1"/>
  <c r="AJ14" i="4"/>
  <c r="AK14" i="4" s="1"/>
  <c r="AH15" i="4"/>
  <c r="AJ20" i="4"/>
  <c r="AK20" i="4" s="1"/>
  <c r="AH21" i="4"/>
  <c r="AH19" i="4"/>
  <c r="AJ18" i="4"/>
  <c r="AK18" i="4" s="1"/>
  <c r="AJ6" i="4"/>
  <c r="AK6" i="4" s="1"/>
  <c r="AH7" i="4"/>
  <c r="AJ12" i="4"/>
  <c r="AK12" i="4" s="1"/>
  <c r="AH13" i="4"/>
  <c r="AH23" i="4"/>
  <c r="AJ22" i="4"/>
  <c r="AK22" i="4" s="1"/>
  <c r="AJ10" i="4"/>
  <c r="AK10" i="4" s="1"/>
  <c r="AH11" i="4"/>
  <c r="AH27" i="4"/>
  <c r="AI29" i="4"/>
  <c r="AJ26" i="4"/>
  <c r="AK26" i="4" s="1"/>
  <c r="AJ8" i="4"/>
  <c r="AK8" i="4" s="1"/>
  <c r="AJ16" i="4"/>
  <c r="AK16" i="4" s="1"/>
  <c r="AJ24" i="4"/>
  <c r="AK24" i="4" s="1"/>
  <c r="M29" i="1"/>
  <c r="O28" i="1"/>
  <c r="N28" i="1"/>
  <c r="AH26" i="2"/>
  <c r="M28" i="1"/>
  <c r="D29" i="5" l="1"/>
  <c r="L29" i="1"/>
  <c r="L28" i="1"/>
  <c r="K29" i="1" l="1"/>
  <c r="K28" i="1"/>
  <c r="J29" i="1" l="1"/>
  <c r="J28" i="1"/>
  <c r="I28" i="1" l="1"/>
  <c r="H28" i="1"/>
  <c r="G28" i="1" l="1"/>
  <c r="F28" i="1" l="1"/>
  <c r="E28" i="1" l="1"/>
  <c r="AI7" i="2"/>
  <c r="D28" i="1" l="1"/>
  <c r="AI27" i="3" l="1"/>
  <c r="AJ27" i="3" s="1"/>
  <c r="AH26" i="3"/>
  <c r="AI26" i="3" s="1"/>
  <c r="AI25" i="3"/>
  <c r="AJ25" i="3" s="1"/>
  <c r="AH24" i="3"/>
  <c r="AI24" i="3" s="1"/>
  <c r="AI23" i="3"/>
  <c r="AJ23" i="3" s="1"/>
  <c r="AH22" i="3"/>
  <c r="AI22" i="3" s="1"/>
  <c r="AI21" i="3"/>
  <c r="AJ21" i="3" s="1"/>
  <c r="AH20" i="3"/>
  <c r="AI20" i="3" s="1"/>
  <c r="AI19" i="3"/>
  <c r="AJ19" i="3" s="1"/>
  <c r="AH18" i="3"/>
  <c r="AI18" i="3" s="1"/>
  <c r="AI17" i="3"/>
  <c r="AJ17" i="3" s="1"/>
  <c r="AH16" i="3"/>
  <c r="AI16" i="3" s="1"/>
  <c r="AI15" i="3"/>
  <c r="AJ15" i="3" s="1"/>
  <c r="AH14" i="3"/>
  <c r="AI14" i="3" s="1"/>
  <c r="AI13" i="3"/>
  <c r="AJ13" i="3" s="1"/>
  <c r="AH12" i="3"/>
  <c r="AI12" i="3" s="1"/>
  <c r="AI11" i="3"/>
  <c r="AJ11" i="3" s="1"/>
  <c r="AH10" i="3"/>
  <c r="AI10" i="3" s="1"/>
  <c r="AI9" i="3"/>
  <c r="AM8" i="3"/>
  <c r="AL8" i="3" s="1"/>
  <c r="AH8" i="3"/>
  <c r="AI8" i="3" s="1"/>
  <c r="AI7" i="3"/>
  <c r="AJ7" i="3" s="1"/>
  <c r="AH6" i="3"/>
  <c r="AI6" i="3" s="1"/>
  <c r="AJ5" i="3"/>
  <c r="AJ4" i="3"/>
  <c r="AH4" i="3"/>
  <c r="AH11" i="3" l="1"/>
  <c r="AH19" i="3"/>
  <c r="AH27" i="3"/>
  <c r="AH21" i="3"/>
  <c r="AJ20" i="3"/>
  <c r="AK20" i="3" s="1"/>
  <c r="AJ6" i="3"/>
  <c r="AK6" i="3" s="1"/>
  <c r="AH7" i="3"/>
  <c r="AJ14" i="3"/>
  <c r="AK14" i="3" s="1"/>
  <c r="AH15" i="3"/>
  <c r="AJ24" i="3"/>
  <c r="AK24" i="3" s="1"/>
  <c r="AH25" i="3"/>
  <c r="AH13" i="3"/>
  <c r="AJ12" i="3"/>
  <c r="AK12" i="3" s="1"/>
  <c r="AH9" i="3"/>
  <c r="AM9" i="3" s="1"/>
  <c r="AJ8" i="3"/>
  <c r="AJ16" i="3"/>
  <c r="AK16" i="3" s="1"/>
  <c r="AH17" i="3"/>
  <c r="AJ22" i="3"/>
  <c r="AK22" i="3" s="1"/>
  <c r="AH23" i="3"/>
  <c r="AL9" i="3"/>
  <c r="AJ9" i="3" s="1"/>
  <c r="AJ10" i="3"/>
  <c r="AK10" i="3" s="1"/>
  <c r="AJ18" i="3"/>
  <c r="AK18" i="3" s="1"/>
  <c r="AJ26" i="3"/>
  <c r="AK26" i="3" s="1"/>
  <c r="AK8" i="3" l="1"/>
  <c r="AH4" i="2" l="1"/>
  <c r="AI5" i="2" l="1"/>
  <c r="AJ5" i="2" s="1"/>
  <c r="AI4" i="2"/>
  <c r="AH5" i="2" l="1"/>
  <c r="D27" i="1" s="1"/>
  <c r="D26" i="1" s="1"/>
  <c r="AJ4" i="2"/>
  <c r="AK4" i="2" s="1"/>
  <c r="Q30" i="1"/>
  <c r="Q31" i="1"/>
  <c r="Q32" i="1"/>
  <c r="Q33" i="1"/>
  <c r="P30" i="1"/>
  <c r="P31" i="1"/>
  <c r="P32" i="1"/>
  <c r="P33" i="1"/>
  <c r="AI21" i="2" l="1"/>
  <c r="AJ21" i="2" s="1"/>
  <c r="AH20" i="2"/>
  <c r="AI20" i="2" s="1"/>
  <c r="AI19" i="2"/>
  <c r="AJ19" i="2" s="1"/>
  <c r="AH18" i="2"/>
  <c r="AI18" i="2" s="1"/>
  <c r="AH19" i="2" l="1"/>
  <c r="AH21" i="2"/>
  <c r="AJ20" i="2"/>
  <c r="AK20" i="2" s="1"/>
  <c r="AJ18" i="2"/>
  <c r="K27" i="1" l="1"/>
  <c r="I31" i="5"/>
  <c r="I30" i="5" s="1"/>
  <c r="L27" i="1"/>
  <c r="J31" i="5"/>
  <c r="K34" i="1"/>
  <c r="AK18" i="2"/>
  <c r="L36" i="1"/>
  <c r="L34" i="1"/>
  <c r="I33" i="5" l="1"/>
  <c r="I34" i="5"/>
  <c r="D29" i="1"/>
  <c r="D34" i="1"/>
  <c r="AI11" i="2" l="1"/>
  <c r="AJ11" i="2" s="1"/>
  <c r="AI13" i="2"/>
  <c r="AJ13" i="2" s="1"/>
  <c r="AI15" i="2"/>
  <c r="AJ15" i="2" s="1"/>
  <c r="AI17" i="2"/>
  <c r="AJ17" i="2" s="1"/>
  <c r="AI23" i="2"/>
  <c r="AJ23" i="2" s="1"/>
  <c r="AI25" i="2"/>
  <c r="AJ25" i="2" s="1"/>
  <c r="AI27" i="2"/>
  <c r="AJ27" i="2" s="1"/>
  <c r="AJ7" i="2"/>
  <c r="AI9" i="2"/>
  <c r="AJ9" i="2" s="1"/>
  <c r="AH10" i="2"/>
  <c r="AH12" i="2"/>
  <c r="AI12" i="2" s="1"/>
  <c r="AH14" i="2"/>
  <c r="AH16" i="2"/>
  <c r="AH22" i="2"/>
  <c r="AH24" i="2"/>
  <c r="AH8" i="2"/>
  <c r="AI8" i="2" s="1"/>
  <c r="AH6" i="2"/>
  <c r="AI6" i="2" s="1"/>
  <c r="AH7" i="2" l="1"/>
  <c r="E27" i="1" s="1"/>
  <c r="AI24" i="2"/>
  <c r="AH25" i="2" s="1"/>
  <c r="AJ8" i="2"/>
  <c r="AK8" i="2" s="1"/>
  <c r="AH9" i="2"/>
  <c r="AI26" i="2"/>
  <c r="AI22" i="2"/>
  <c r="AI16" i="2"/>
  <c r="AH17" i="2" s="1"/>
  <c r="AI14" i="2"/>
  <c r="AH15" i="2" s="1"/>
  <c r="AJ12" i="2"/>
  <c r="AK12" i="2" s="1"/>
  <c r="AH13" i="2"/>
  <c r="AI10" i="2"/>
  <c r="AH11" i="2" s="1"/>
  <c r="AJ6" i="2"/>
  <c r="AK6" i="2" s="1"/>
  <c r="E26" i="1" s="1"/>
  <c r="J27" i="1" l="1"/>
  <c r="H31" i="5"/>
  <c r="H30" i="5" s="1"/>
  <c r="H27" i="1"/>
  <c r="H26" i="1" s="1"/>
  <c r="F31" i="5"/>
  <c r="F30" i="5" s="1"/>
  <c r="F27" i="1"/>
  <c r="F26" i="1" s="1"/>
  <c r="D31" i="5"/>
  <c r="G27" i="1"/>
  <c r="G26" i="1" s="1"/>
  <c r="G34" i="1" s="1"/>
  <c r="E31" i="5"/>
  <c r="I27" i="1"/>
  <c r="I26" i="1" s="1"/>
  <c r="I29" i="1" s="1"/>
  <c r="G31" i="5"/>
  <c r="G30" i="5" s="1"/>
  <c r="N27" i="1"/>
  <c r="N26" i="1" s="1"/>
  <c r="N29" i="1" s="1"/>
  <c r="L31" i="5"/>
  <c r="N31" i="5"/>
  <c r="N30" i="5" s="1"/>
  <c r="N33" i="5" s="1"/>
  <c r="AH27" i="2"/>
  <c r="AI29" i="2"/>
  <c r="H34" i="1"/>
  <c r="H29" i="1"/>
  <c r="G29" i="1"/>
  <c r="F36" i="1"/>
  <c r="F29" i="1"/>
  <c r="E29" i="1"/>
  <c r="E34" i="1"/>
  <c r="F34" i="1"/>
  <c r="AH23" i="2"/>
  <c r="AJ22" i="2"/>
  <c r="AK22" i="2" s="1"/>
  <c r="AJ26" i="2"/>
  <c r="AK26" i="2" s="1"/>
  <c r="AJ24" i="2"/>
  <c r="AK24" i="2" s="1"/>
  <c r="AJ16" i="2"/>
  <c r="AK16" i="2" s="1"/>
  <c r="AJ14" i="2"/>
  <c r="AK14" i="2" s="1"/>
  <c r="AJ10" i="2"/>
  <c r="AK10" i="2" s="1"/>
  <c r="E30" i="5" s="1"/>
  <c r="G36" i="1" l="1"/>
  <c r="G33" i="5"/>
  <c r="G34" i="5"/>
  <c r="F33" i="5"/>
  <c r="F34" i="5"/>
  <c r="D30" i="5"/>
  <c r="E33" i="5"/>
  <c r="E34" i="5"/>
  <c r="M27" i="1"/>
  <c r="K31" i="5"/>
  <c r="P31" i="5" s="1"/>
  <c r="M31" i="5"/>
  <c r="O31" i="5"/>
  <c r="O30" i="5" s="1"/>
  <c r="O33" i="5" s="1"/>
  <c r="H33" i="5"/>
  <c r="H34" i="5"/>
  <c r="AH29" i="2"/>
  <c r="O27" i="1"/>
  <c r="O26" i="1" s="1"/>
  <c r="O29" i="1" s="1"/>
  <c r="P29" i="1" s="1"/>
  <c r="Q28" i="1"/>
  <c r="P28" i="1"/>
  <c r="M36" i="1"/>
  <c r="J34" i="1"/>
  <c r="J36" i="1"/>
  <c r="I34" i="1"/>
  <c r="D33" i="5" l="1"/>
  <c r="P33" i="5" s="1"/>
  <c r="Q30" i="5"/>
  <c r="P30" i="5"/>
  <c r="D34" i="5"/>
  <c r="P27" i="1"/>
  <c r="Q27" i="1"/>
  <c r="Q26" i="1"/>
  <c r="Q31" i="5"/>
  <c r="P26" i="1"/>
  <c r="Q29" i="1"/>
  <c r="Q33" i="5" l="1"/>
</calcChain>
</file>

<file path=xl/sharedStrings.xml><?xml version="1.0" encoding="utf-8"?>
<sst xmlns="http://schemas.openxmlformats.org/spreadsheetml/2006/main" count="286" uniqueCount="88">
  <si>
    <t>구분</t>
    <phoneticPr fontId="1" type="noConversion"/>
  </si>
  <si>
    <t>금액(VND)</t>
    <phoneticPr fontId="1" type="noConversion"/>
  </si>
  <si>
    <t>특이사항</t>
    <phoneticPr fontId="1" type="noConversion"/>
  </si>
  <si>
    <t>2019년12월대비
KG금액 1.34%상승</t>
    <phoneticPr fontId="1" type="noConversion"/>
  </si>
  <si>
    <t>total  (ea)</t>
  </si>
  <si>
    <t>주방(nha bep)LPG GAS 월/일 입고 현황</t>
  </si>
  <si>
    <t>VND:</t>
  </si>
  <si>
    <t xml:space="preserve">VND </t>
  </si>
  <si>
    <t>무개(KG)</t>
  </si>
  <si>
    <t>KG단가</t>
  </si>
  <si>
    <t>total gas (kg)</t>
  </si>
  <si>
    <t>금액(VND)</t>
  </si>
  <si>
    <t>wisol Ha noi식당 LPG사용내역 2020</t>
  </si>
  <si>
    <t>금액(KRW)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</si>
  <si>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</si>
  <si>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</si>
  <si>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</si>
  <si>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</si>
  <si>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</si>
  <si>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</si>
  <si>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</si>
  <si>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</si>
  <si>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</si>
  <si>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</si>
  <si>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</si>
  <si>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</si>
  <si>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1일</t>
    <phoneticPr fontId="1" type="noConversion"/>
  </si>
  <si>
    <t>2일</t>
    <phoneticPr fontId="1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</si>
  <si>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</si>
  <si>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</si>
  <si>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</si>
  <si>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</si>
  <si>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</si>
  <si>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</si>
  <si>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</si>
  <si>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</si>
  <si>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</si>
  <si>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</si>
  <si>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</si>
  <si>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</si>
  <si>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</si>
  <si>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</si>
  <si>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</si>
  <si>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</si>
  <si>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</si>
  <si>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</si>
  <si>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</si>
  <si>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</si>
  <si>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</si>
  <si>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</si>
  <si>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</si>
  <si>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</si>
  <si>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</si>
  <si>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</si>
  <si>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</si>
  <si>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</si>
  <si>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</si>
  <si>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Gas dư
보관용</t>
    <phoneticPr fontId="1" type="noConversion"/>
  </si>
  <si>
    <t>Money VND</t>
  </si>
  <si>
    <t>Bình
병</t>
  </si>
  <si>
    <t>월/thang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</si>
  <si>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</si>
  <si>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</si>
  <si>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</si>
  <si>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</si>
  <si>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</si>
  <si>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</si>
  <si>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</si>
  <si>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</si>
  <si>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</si>
  <si>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</si>
  <si>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</si>
  <si>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</si>
  <si>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  (VND)</t>
  </si>
  <si>
    <t>누계</t>
  </si>
  <si>
    <t>월평균</t>
  </si>
  <si>
    <t>Gas dư
보관용</t>
    <phoneticPr fontId="1" type="noConversion"/>
  </si>
  <si>
    <t>2021  (VND)</t>
  </si>
  <si>
    <t>Bình gas 12 Kg ( sửa chữa thiết bị utility</t>
  </si>
  <si>
    <t>Kg</t>
  </si>
  <si>
    <t>VND/KG</t>
  </si>
  <si>
    <t>Tổng tiền</t>
  </si>
  <si>
    <t>Lý do</t>
  </si>
  <si>
    <t xml:space="preserve">Total VND </t>
  </si>
  <si>
    <t>Đơn giá</t>
  </si>
  <si>
    <t>.</t>
  </si>
  <si>
    <t>wisol Ha noi식당 LPG사용내역 2021</t>
  </si>
  <si>
    <t>2022  (VND)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</si>
</sst>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[$VND]\ * #,##0_);_([$VND]\ * \(#,##0\);_([$VND]\ * &quot;-&quot;_);_(@_)"/>
  </numFmts>
  <fonts count="2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26"/>
      <color theme="1"/>
      <name val="Calibri"/>
      <family val="2"/>
      <charset val="129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b/>
      <sz val="9"/>
      <name val="Calibri"/>
      <family val="2"/>
      <charset val="129"/>
      <scheme val="minor"/>
    </font>
    <font>
      <b/>
      <sz val="11"/>
      <name val="Calibri"/>
      <family val="2"/>
      <charset val="129"/>
      <scheme val="minor"/>
    </font>
    <font>
      <b/>
      <sz val="1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theme="0" tint="-0.34998626667073579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b/>
      <sz val="12"/>
      <name val="Calibri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7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7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2" borderId="20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Border="1" applyAlignment="1">
      <alignment horizontal="right" vertical="center"/>
    </xf>
    <xf numFmtId="3" fontId="11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right" vertical="center"/>
    </xf>
    <xf numFmtId="164" fontId="10" fillId="2" borderId="1" xfId="0" applyNumberFormat="1" applyFont="1" applyFill="1" applyBorder="1">
      <alignment vertical="center"/>
    </xf>
    <xf numFmtId="164" fontId="10" fillId="2" borderId="5" xfId="0" applyNumberFormat="1" applyFont="1" applyFill="1" applyBorder="1">
      <alignment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7" fillId="4" borderId="7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9" fontId="0" fillId="0" borderId="23" xfId="3" applyFont="1" applyBorder="1" applyAlignment="1">
      <alignment vertical="center"/>
    </xf>
    <xf numFmtId="9" fontId="0" fillId="0" borderId="0" xfId="3" applyFont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5" borderId="2" xfId="0" applyFont="1" applyFill="1" applyBorder="1">
      <alignment vertical="center"/>
    </xf>
    <xf numFmtId="164" fontId="0" fillId="0" borderId="0" xfId="1" applyNumberFormat="1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34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14" fillId="0" borderId="3" xfId="2" applyFont="1" applyFill="1" applyBorder="1" applyAlignment="1">
      <alignment horizontal="right" vertical="center"/>
    </xf>
    <xf numFmtId="3" fontId="8" fillId="6" borderId="3" xfId="0" applyNumberFormat="1" applyFont="1" applyFill="1" applyBorder="1" applyAlignment="1">
      <alignment horizontal="right" vertical="center"/>
    </xf>
    <xf numFmtId="3" fontId="8" fillId="0" borderId="3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41" fontId="14" fillId="0" borderId="1" xfId="2" applyFont="1" applyFill="1" applyBorder="1" applyAlignment="1">
      <alignment horizontal="right" vertical="center"/>
    </xf>
    <xf numFmtId="164" fontId="14" fillId="0" borderId="1" xfId="1" applyNumberFormat="1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3" fontId="8" fillId="0" borderId="18" xfId="0" applyNumberFormat="1" applyFont="1" applyFill="1" applyBorder="1" applyAlignment="1">
      <alignment horizontal="right" vertical="center"/>
    </xf>
    <xf numFmtId="3" fontId="8" fillId="0" borderId="5" xfId="0" applyNumberFormat="1" applyFont="1" applyFill="1" applyBorder="1" applyAlignment="1">
      <alignment horizontal="right" vertical="center"/>
    </xf>
    <xf numFmtId="0" fontId="0" fillId="0" borderId="23" xfId="0" applyFont="1" applyBorder="1">
      <alignment vertical="center"/>
    </xf>
    <xf numFmtId="3" fontId="8" fillId="6" borderId="1" xfId="0" applyNumberFormat="1" applyFont="1" applyFill="1" applyBorder="1" applyAlignment="1">
      <alignment horizontal="right" vertical="center"/>
    </xf>
    <xf numFmtId="41" fontId="0" fillId="0" borderId="3" xfId="0" applyNumberFormat="1" applyFont="1" applyFill="1" applyBorder="1" applyAlignment="1">
      <alignment horizontal="center" vertical="center"/>
    </xf>
    <xf numFmtId="41" fontId="0" fillId="0" borderId="22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64" fontId="10" fillId="2" borderId="23" xfId="0" applyNumberFormat="1" applyFont="1" applyFill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3" fontId="18" fillId="0" borderId="0" xfId="0" applyNumberFormat="1" applyFont="1" applyBorder="1" applyAlignment="1">
      <alignment horizontal="right" vertical="center"/>
    </xf>
    <xf numFmtId="164" fontId="8" fillId="0" borderId="18" xfId="1" applyNumberFormat="1" applyFont="1" applyFill="1" applyBorder="1" applyAlignment="1">
      <alignment horizontal="right" vertical="center"/>
    </xf>
    <xf numFmtId="164" fontId="14" fillId="0" borderId="3" xfId="1" applyNumberFormat="1" applyFont="1" applyFill="1" applyBorder="1" applyAlignment="1">
      <alignment horizontal="right" vertical="center"/>
    </xf>
    <xf numFmtId="165" fontId="18" fillId="0" borderId="0" xfId="0" applyNumberFormat="1" applyFont="1" applyBorder="1" applyAlignment="1">
      <alignment horizontal="right" vertical="center"/>
    </xf>
    <xf numFmtId="43" fontId="0" fillId="0" borderId="0" xfId="1" applyFont="1" applyAlignment="1">
      <alignment vertical="center"/>
    </xf>
    <xf numFmtId="165" fontId="19" fillId="0" borderId="1" xfId="0" applyNumberFormat="1" applyFont="1" applyBorder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165" fontId="19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166" fontId="8" fillId="5" borderId="1" xfId="1" applyNumberFormat="1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164" fontId="10" fillId="2" borderId="19" xfId="0" applyNumberFormat="1" applyFont="1" applyFill="1" applyBorder="1" applyAlignment="1">
      <alignment vertical="center"/>
    </xf>
    <xf numFmtId="164" fontId="10" fillId="2" borderId="40" xfId="0" applyNumberFormat="1" applyFont="1" applyFill="1" applyBorder="1" applyAlignment="1">
      <alignment vertical="center"/>
    </xf>
    <xf numFmtId="165" fontId="19" fillId="5" borderId="15" xfId="0" applyNumberFormat="1" applyFont="1" applyFill="1" applyBorder="1" applyAlignment="1">
      <alignment horizontal="center" vertical="center"/>
    </xf>
    <xf numFmtId="3" fontId="19" fillId="5" borderId="15" xfId="0" applyNumberFormat="1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165" fontId="19" fillId="0" borderId="18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5" fillId="3" borderId="40" xfId="0" applyFont="1" applyFill="1" applyBorder="1">
      <alignment vertical="center"/>
    </xf>
    <xf numFmtId="3" fontId="19" fillId="0" borderId="23" xfId="0" applyNumberFormat="1" applyFont="1" applyBorder="1" applyAlignment="1">
      <alignment horizontal="right" vertical="center"/>
    </xf>
    <xf numFmtId="0" fontId="5" fillId="3" borderId="18" xfId="0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43" fontId="10" fillId="2" borderId="23" xfId="0" applyNumberFormat="1" applyFont="1" applyFill="1" applyBorder="1">
      <alignment vertical="center"/>
    </xf>
    <xf numFmtId="43" fontId="10" fillId="2" borderId="18" xfId="0" applyNumberFormat="1" applyFont="1" applyFill="1" applyBorder="1" applyAlignment="1">
      <alignment vertical="center"/>
    </xf>
    <xf numFmtId="3" fontId="18" fillId="0" borderId="19" xfId="0" applyNumberFormat="1" applyFont="1" applyBorder="1" applyAlignment="1">
      <alignment horizontal="right" vertical="center"/>
    </xf>
    <xf numFmtId="43" fontId="10" fillId="2" borderId="23" xfId="0" applyNumberFormat="1" applyFont="1" applyFill="1" applyBorder="1" applyAlignment="1">
      <alignment vertical="center"/>
    </xf>
    <xf numFmtId="43" fontId="10" fillId="2" borderId="1" xfId="0" applyNumberFormat="1" applyFont="1" applyFill="1" applyBorder="1">
      <alignment vertical="center"/>
    </xf>
    <xf numFmtId="0" fontId="5" fillId="5" borderId="18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1" fontId="0" fillId="0" borderId="46" xfId="0" applyNumberFormat="1" applyFont="1" applyFill="1" applyBorder="1" applyAlignment="1">
      <alignment horizontal="center" vertical="center"/>
    </xf>
    <xf numFmtId="41" fontId="0" fillId="0" borderId="47" xfId="0" applyNumberFormat="1" applyFont="1" applyBorder="1" applyAlignment="1">
      <alignment horizontal="center" vertical="center"/>
    </xf>
    <xf numFmtId="41" fontId="0" fillId="0" borderId="23" xfId="0" applyNumberFormat="1" applyFont="1" applyFill="1" applyBorder="1" applyAlignment="1">
      <alignment horizontal="center" vertical="center"/>
    </xf>
    <xf numFmtId="41" fontId="0" fillId="0" borderId="24" xfId="0" applyNumberFormat="1" applyFont="1" applyBorder="1" applyAlignment="1">
      <alignment horizontal="center" vertical="center"/>
    </xf>
    <xf numFmtId="41" fontId="0" fillId="0" borderId="1" xfId="0" applyNumberFormat="1" applyFont="1" applyFill="1" applyBorder="1" applyAlignment="1">
      <alignment horizontal="center" vertical="center"/>
    </xf>
    <xf numFmtId="41" fontId="0" fillId="0" borderId="1" xfId="0" applyNumberFormat="1" applyFont="1" applyBorder="1" applyAlignment="1">
      <alignment horizontal="center" vertical="center"/>
    </xf>
    <xf numFmtId="41" fontId="14" fillId="5" borderId="3" xfId="2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164" fontId="10" fillId="2" borderId="21" xfId="0" applyNumberFormat="1" applyFont="1" applyFill="1" applyBorder="1" applyAlignment="1">
      <alignment horizontal="center" vertical="center"/>
    </xf>
    <xf numFmtId="164" fontId="10" fillId="2" borderId="24" xfId="0" applyNumberFormat="1" applyFont="1" applyFill="1" applyBorder="1" applyAlignment="1">
      <alignment horizontal="center" vertical="center"/>
    </xf>
    <xf numFmtId="164" fontId="10" fillId="5" borderId="21" xfId="0" applyNumberFormat="1" applyFont="1" applyFill="1" applyBorder="1" applyAlignment="1">
      <alignment horizontal="center" vertical="center"/>
    </xf>
    <xf numFmtId="164" fontId="10" fillId="5" borderId="24" xfId="0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164" fontId="10" fillId="2" borderId="43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164" fontId="10" fillId="2" borderId="19" xfId="0" applyNumberFormat="1" applyFont="1" applyFill="1" applyBorder="1" applyAlignment="1">
      <alignment horizontal="center" vertical="center"/>
    </xf>
    <xf numFmtId="164" fontId="10" fillId="2" borderId="40" xfId="0" applyNumberFormat="1" applyFont="1" applyFill="1" applyBorder="1" applyAlignment="1">
      <alignment horizontal="center" vertical="center"/>
    </xf>
    <xf numFmtId="164" fontId="10" fillId="2" borderId="39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164" fontId="10" fillId="9" borderId="19" xfId="0" applyNumberFormat="1" applyFont="1" applyFill="1" applyBorder="1" applyAlignment="1">
      <alignment horizontal="center" vertical="center"/>
    </xf>
    <xf numFmtId="164" fontId="10" fillId="9" borderId="40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64" fontId="8" fillId="5" borderId="1" xfId="1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종합자료!$C$26</c:f>
              <c:strCache>
                <c:ptCount val="1"/>
                <c:pt idx="0">
                  <c:v>금액(VND)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종합자료!$D$25:$O$25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종합자료!$D$26:$O$26</c:f>
              <c:numCache>
                <c:formatCode>_(* #,##0_);_(* \(#,##0\);_(* "-"??_);_(@_)</c:formatCode>
                <c:ptCount val="12"/>
                <c:pt idx="0" formatCode="_(* #,##0_);_(* \(#,##0\);_(* &quot;-&quot;_);_(@_)">
                  <c:v>34353540</c:v>
                </c:pt>
                <c:pt idx="1">
                  <c:v>27272250</c:v>
                </c:pt>
                <c:pt idx="2" formatCode="#,##0">
                  <c:v>41211400</c:v>
                </c:pt>
                <c:pt idx="3" formatCode="#,##0">
                  <c:v>36684440</c:v>
                </c:pt>
                <c:pt idx="4" formatCode="#,##0">
                  <c:v>29481032</c:v>
                </c:pt>
                <c:pt idx="5" formatCode="#,##0">
                  <c:v>33192000</c:v>
                </c:pt>
                <c:pt idx="6" formatCode="#,##0">
                  <c:v>36766578</c:v>
                </c:pt>
                <c:pt idx="7" formatCode="#,##0">
                  <c:v>44706889</c:v>
                </c:pt>
                <c:pt idx="8" formatCode="#,##0">
                  <c:v>46658222</c:v>
                </c:pt>
                <c:pt idx="9" formatCode="#,##0">
                  <c:v>20945333</c:v>
                </c:pt>
                <c:pt idx="10" formatCode="#,##0">
                  <c:v>53440000</c:v>
                </c:pt>
                <c:pt idx="11" formatCode="#,##0">
                  <c:v>56850000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3-40ED-A3AD-32FF563C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05296"/>
        <c:axId val="453810192"/>
      </c:barChart>
      <c:lineChart>
        <c:grouping val="stacked"/>
        <c:varyColors val="0"/>
        <c:ser>
          <c:idx val="1"/>
          <c:order val="1"/>
          <c:tx>
            <c:strRef>
              <c:f>종합자료!$C$27</c:f>
              <c:strCache>
                <c:ptCount val="1"/>
                <c:pt idx="0">
                  <c:v>무개(KG)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종합자료!$D$25:$O$25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종합자료!$D$27:$O$27</c:f>
              <c:numCache>
                <c:formatCode>_(* #,##0_);_(* \(#,##0\);_(* "-"??_);_(@_)</c:formatCode>
                <c:ptCount val="12"/>
                <c:pt idx="0" formatCode="_(* #,##0_);_(* \(#,##0\);_(* &quot;-&quot;_);_(@_)">
                  <c:v>1378</c:v>
                </c:pt>
                <c:pt idx="1">
                  <c:v>1035</c:v>
                </c:pt>
                <c:pt idx="2" formatCode="#,##0">
                  <c:v>1564</c:v>
                </c:pt>
                <c:pt idx="3" formatCode="#,##0">
                  <c:v>1501</c:v>
                </c:pt>
                <c:pt idx="4" formatCode="#,##0">
                  <c:v>1288</c:v>
                </c:pt>
                <c:pt idx="5" formatCode="#,##0">
                  <c:v>1383</c:v>
                </c:pt>
                <c:pt idx="6" formatCode="#,##0">
                  <c:v>1388</c:v>
                </c:pt>
                <c:pt idx="7" formatCode="#,##0">
                  <c:v>1649</c:v>
                </c:pt>
                <c:pt idx="8" formatCode="#,##0">
                  <c:v>1721</c:v>
                </c:pt>
                <c:pt idx="9" formatCode="#,##0">
                  <c:v>683</c:v>
                </c:pt>
                <c:pt idx="10" formatCode="#,##0">
                  <c:v>1670</c:v>
                </c:pt>
                <c:pt idx="11" formatCode="#,##0">
                  <c:v>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3-40ED-A3AD-32FF563C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04752"/>
        <c:axId val="453811280"/>
      </c:lineChart>
      <c:catAx>
        <c:axId val="45380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0192"/>
        <c:crosses val="autoZero"/>
        <c:auto val="1"/>
        <c:lblAlgn val="ctr"/>
        <c:lblOffset val="100"/>
        <c:noMultiLvlLbl val="0"/>
      </c:catAx>
      <c:valAx>
        <c:axId val="4538101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5296"/>
        <c:crosses val="autoZero"/>
        <c:crossBetween val="between"/>
      </c:valAx>
      <c:valAx>
        <c:axId val="45381128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4752"/>
        <c:crosses val="max"/>
        <c:crossBetween val="between"/>
      </c:valAx>
      <c:catAx>
        <c:axId val="4538047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12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8959990383534"/>
          <c:y val="0.33933658471305583"/>
          <c:w val="0.11757153913124374"/>
          <c:h val="0.3520268525948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47848481710106E-3"/>
          <c:y val="0.17419226324508683"/>
          <c:w val="0.84514977881390141"/>
          <c:h val="0.62624764989482695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종합자료!$B$30</c:f>
              <c:strCache>
                <c:ptCount val="1"/>
                <c:pt idx="0">
                  <c:v>2020  (VND)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종합자료!$C$25:$O$25</c:f>
              <c:strCache>
                <c:ptCount val="13"/>
                <c:pt idx="0">
                  <c:v>구분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종합자료!$C$30:$O$30</c:f>
              <c:numCache>
                <c:formatCode>_(* #,##0_);_(* \(#,##0\);_(* "-"_);_(@_)</c:formatCode>
                <c:ptCount val="13"/>
                <c:pt idx="0" formatCode="General">
                  <c:v>0</c:v>
                </c:pt>
                <c:pt idx="1">
                  <c:v>28703880</c:v>
                </c:pt>
                <c:pt idx="2">
                  <c:v>28816137</c:v>
                </c:pt>
                <c:pt idx="3">
                  <c:v>30204639.300000004</c:v>
                </c:pt>
                <c:pt idx="4">
                  <c:v>20916000</c:v>
                </c:pt>
                <c:pt idx="5">
                  <c:v>19267902</c:v>
                </c:pt>
                <c:pt idx="6">
                  <c:v>20002517</c:v>
                </c:pt>
                <c:pt idx="7">
                  <c:v>20722560</c:v>
                </c:pt>
                <c:pt idx="8">
                  <c:v>23754640</c:v>
                </c:pt>
                <c:pt idx="9">
                  <c:v>23594000</c:v>
                </c:pt>
                <c:pt idx="10">
                  <c:v>24871338</c:v>
                </c:pt>
                <c:pt idx="11">
                  <c:v>27259220</c:v>
                </c:pt>
                <c:pt idx="12">
                  <c:v>30931020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4-42AB-A2D8-6F4FC66D5092}"/>
            </c:ext>
          </c:extLst>
        </c:ser>
        <c:ser>
          <c:idx val="0"/>
          <c:order val="1"/>
          <c:tx>
            <c:strRef>
              <c:f>종합자료!$B$26</c:f>
              <c:strCache>
                <c:ptCount val="1"/>
                <c:pt idx="0">
                  <c:v>2021  (VND)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종합자료!$C$25:$O$25</c:f>
              <c:strCache>
                <c:ptCount val="13"/>
                <c:pt idx="0">
                  <c:v>구분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종합자료!$C$26:$O$26</c:f>
              <c:numCache>
                <c:formatCode>_(* #,##0_);_(* \(#,##0\);_(* "-"_);_(@_)</c:formatCode>
                <c:ptCount val="13"/>
                <c:pt idx="0" formatCode="General">
                  <c:v>0</c:v>
                </c:pt>
                <c:pt idx="1">
                  <c:v>34353540</c:v>
                </c:pt>
                <c:pt idx="2" formatCode="_(* #,##0_);_(* \(#,##0\);_(* &quot;-&quot;??_);_(@_)">
                  <c:v>27272250</c:v>
                </c:pt>
                <c:pt idx="3" formatCode="#,##0">
                  <c:v>41211400</c:v>
                </c:pt>
                <c:pt idx="4" formatCode="#,##0">
                  <c:v>36684440</c:v>
                </c:pt>
                <c:pt idx="5" formatCode="#,##0">
                  <c:v>29481032</c:v>
                </c:pt>
                <c:pt idx="6" formatCode="#,##0">
                  <c:v>33192000</c:v>
                </c:pt>
                <c:pt idx="7" formatCode="#,##0">
                  <c:v>36766578</c:v>
                </c:pt>
                <c:pt idx="8" formatCode="#,##0">
                  <c:v>44706889</c:v>
                </c:pt>
                <c:pt idx="9" formatCode="#,##0">
                  <c:v>46658222</c:v>
                </c:pt>
                <c:pt idx="10" formatCode="#,##0">
                  <c:v>20945333</c:v>
                </c:pt>
                <c:pt idx="11" formatCode="#,##0">
                  <c:v>53440000</c:v>
                </c:pt>
                <c:pt idx="12" formatCode="#,##0">
                  <c:v>56850000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4-42AB-A2D8-6F4FC66D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08560"/>
        <c:axId val="45380801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종합자료!$C$27:$O$27</c15:sqref>
                        </c15:formulaRef>
                      </c:ext>
                    </c:extLst>
                    <c:strCache>
                      <c:ptCount val="13"/>
                      <c:pt idx="0">
                        <c:v>무개(KG)</c:v>
                      </c:pt>
                      <c:pt idx="1">
                        <c:v> 1,378 </c:v>
                      </c:pt>
                      <c:pt idx="2">
                        <c:v> 1,035 </c:v>
                      </c:pt>
                      <c:pt idx="3">
                        <c:v>1,564</c:v>
                      </c:pt>
                      <c:pt idx="4">
                        <c:v>1,501</c:v>
                      </c:pt>
                      <c:pt idx="5">
                        <c:v>1,288</c:v>
                      </c:pt>
                      <c:pt idx="6">
                        <c:v>1,383</c:v>
                      </c:pt>
                      <c:pt idx="7">
                        <c:v>1,388</c:v>
                      </c:pt>
                      <c:pt idx="8">
                        <c:v>1,649</c:v>
                      </c:pt>
                      <c:pt idx="9">
                        <c:v>1,721</c:v>
                      </c:pt>
                      <c:pt idx="10">
                        <c:v>683</c:v>
                      </c:pt>
                      <c:pt idx="11">
                        <c:v>1,670</c:v>
                      </c:pt>
                      <c:pt idx="12">
                        <c:v>1,895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94F4-43A7-BD42-A0704104A6E7}"/>
                  </c:ext>
                </c:extLst>
              </c15:ser>
            </c15:filteredBarSeries>
          </c:ext>
        </c:extLst>
      </c:barChart>
      <c:valAx>
        <c:axId val="45380801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53808560"/>
        <c:crosses val="max"/>
        <c:crossBetween val="between"/>
      </c:valAx>
      <c:catAx>
        <c:axId val="45380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2505800235335"/>
          <c:y val="0.1973299884388596"/>
          <c:w val="0.12661873133930746"/>
          <c:h val="0.30848681096086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'종합자료 2022'!$C$26</c:f>
              <c:strCache>
                <c:ptCount val="1"/>
                <c:pt idx="0">
                  <c:v>금액(VND)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'종합자료 2022'!$D$25:$O$25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'종합자료 2022'!$D$26:$O$26</c:f>
              <c:numCache>
                <c:formatCode>_(* #,##0_);_(* \(#,##0\);_(* "-"??_);_(@_)</c:formatCode>
                <c:ptCount val="12"/>
                <c:pt idx="0" formatCode="_(* #,##0_);_(* \(#,##0\);_(* &quot;-&quot;_);_(@_)">
                  <c:v>52234010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2-431C-A5FF-85F86F57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391520"/>
        <c:axId val="464388800"/>
      </c:barChart>
      <c:lineChart>
        <c:grouping val="stacked"/>
        <c:varyColors val="0"/>
        <c:ser>
          <c:idx val="1"/>
          <c:order val="1"/>
          <c:tx>
            <c:strRef>
              <c:f>'종합자료 2022'!$C$27</c:f>
              <c:strCache>
                <c:ptCount val="1"/>
                <c:pt idx="0">
                  <c:v>무개(KG)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'종합자료 2022'!$D$25:$O$25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'종합자료 2022'!$D$27:$O$27</c:f>
              <c:numCache>
                <c:formatCode>_(* #,##0_);_(* \(#,##0\);_(* "-"??_);_(@_)</c:formatCode>
                <c:ptCount val="12"/>
                <c:pt idx="0" formatCode="_(* #,##0_);_(* \(#,##0\);_(* &quot;-&quot;_);_(@_)">
                  <c:v>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31C-A5FF-85F86F57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90976"/>
        <c:axId val="464389888"/>
      </c:lineChart>
      <c:catAx>
        <c:axId val="4643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8800"/>
        <c:crosses val="autoZero"/>
        <c:auto val="1"/>
        <c:lblAlgn val="ctr"/>
        <c:lblOffset val="100"/>
        <c:noMultiLvlLbl val="0"/>
      </c:catAx>
      <c:valAx>
        <c:axId val="4643888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91520"/>
        <c:crosses val="autoZero"/>
        <c:crossBetween val="between"/>
      </c:valAx>
      <c:valAx>
        <c:axId val="4643898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90976"/>
        <c:crosses val="max"/>
        <c:crossBetween val="between"/>
      </c:valAx>
      <c:catAx>
        <c:axId val="464390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98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8959990383534"/>
          <c:y val="0.33933658471305583"/>
          <c:w val="0.11757153913124374"/>
          <c:h val="0.3520268525948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47848481710106E-3"/>
          <c:y val="0.17419226324508683"/>
          <c:w val="0.84514977881390141"/>
          <c:h val="0.62624764989482695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'종합자료 2022'!$B$30</c:f>
              <c:strCache>
                <c:ptCount val="1"/>
                <c:pt idx="0">
                  <c:v>2021  (VND)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'종합자료 2022'!$C$25:$O$25</c:f>
              <c:strCache>
                <c:ptCount val="13"/>
                <c:pt idx="0">
                  <c:v>구분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'종합자료 2022'!$C$30:$O$30</c:f>
              <c:numCache>
                <c:formatCode>_(* #,##0_);_(* \(#,##0\);_(* "-"_);_(@_)</c:formatCode>
                <c:ptCount val="13"/>
                <c:pt idx="0" formatCode="General">
                  <c:v>0</c:v>
                </c:pt>
                <c:pt idx="1">
                  <c:v>41211400</c:v>
                </c:pt>
                <c:pt idx="2" formatCode="_(* #,##0_);_(* \(#,##0\);_(* &quot;-&quot;??_);_(@_)">
                  <c:v>36684440</c:v>
                </c:pt>
                <c:pt idx="3" formatCode="#,##0">
                  <c:v>29481032</c:v>
                </c:pt>
                <c:pt idx="4" formatCode="#,##0">
                  <c:v>33192000</c:v>
                </c:pt>
                <c:pt idx="5" formatCode="#,##0">
                  <c:v>36766593.200000003</c:v>
                </c:pt>
                <c:pt idx="6" formatCode="#,##0">
                  <c:v>44380870.699999996</c:v>
                </c:pt>
                <c:pt idx="7" formatCode="#,##0">
                  <c:v>36766578</c:v>
                </c:pt>
                <c:pt idx="8" formatCode="#,##0">
                  <c:v>44706889</c:v>
                </c:pt>
                <c:pt idx="9" formatCode="#,##0">
                  <c:v>46658222</c:v>
                </c:pt>
                <c:pt idx="10" formatCode="#,##0">
                  <c:v>20945333</c:v>
                </c:pt>
                <c:pt idx="11" formatCode="#,##0">
                  <c:v>53440000</c:v>
                </c:pt>
                <c:pt idx="12" formatCode="#,##0">
                  <c:v>56850000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DCE-AB86-7CDF9C64721A}"/>
            </c:ext>
          </c:extLst>
        </c:ser>
        <c:ser>
          <c:idx val="0"/>
          <c:order val="1"/>
          <c:tx>
            <c:strRef>
              <c:f>'종합자료 2022'!$B$26</c:f>
              <c:strCache>
                <c:ptCount val="1"/>
                <c:pt idx="0">
                  <c:v>2022  (VND)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'종합자료 2022'!$C$25:$O$25</c:f>
              <c:strCache>
                <c:ptCount val="13"/>
                <c:pt idx="0">
                  <c:v>구분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'종합자료 2022'!$C$26:$O$26</c:f>
              <c:numCache>
                <c:formatCode>_(* #,##0_);_(* \(#,##0\);_(* "-"_);_(@_)</c:formatCode>
                <c:ptCount val="13"/>
                <c:pt idx="0" formatCode="General">
                  <c:v>0</c:v>
                </c:pt>
                <c:pt idx="1">
                  <c:v>52234010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5-4DCE-AB86-7CDF9C64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35120"/>
        <c:axId val="33780472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'종합자료 2022'!$C$27:$O$27</c15:sqref>
                        </c15:formulaRef>
                      </c:ext>
                    </c:extLst>
                    <c:strCache>
                      <c:ptCount val="13"/>
                      <c:pt idx="0">
                        <c:v>무개(KG)</c:v>
                      </c:pt>
                      <c:pt idx="1">
                        <c:v> 1,787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B15-4DCE-AB86-7CDF9C64721A}"/>
                  </c:ext>
                </c:extLst>
              </c15:ser>
            </c15:filteredBarSeries>
          </c:ext>
        </c:extLst>
      </c:barChart>
      <c:valAx>
        <c:axId val="33780472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8335120"/>
        <c:crosses val="max"/>
        <c:crossBetween val="between"/>
      </c:valAx>
      <c:catAx>
        <c:axId val="38833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2505800235335"/>
          <c:y val="0.1973299884388596"/>
          <c:w val="0.12661873133930746"/>
          <c:h val="0.30848681096086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60464</xdr:colOff>
      <xdr:row>1</xdr:row>
      <xdr:rowOff>48039</xdr:rowOff>
    </xdr:from>
    <xdr:to>
      <xdr:col>16</xdr:col>
      <xdr:colOff>828261</xdr:colOff>
      <xdr:row>10</xdr:row>
      <xdr:rowOff>44823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54429</xdr:colOff>
      <xdr:row>10</xdr:row>
      <xdr:rowOff>112058</xdr:rowOff>
    </xdr:from>
    <xdr:to>
      <xdr:col>16</xdr:col>
      <xdr:colOff>797201</xdr:colOff>
      <xdr:row>23</xdr:row>
      <xdr:rowOff>119742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593912</xdr:colOff>
      <xdr:row>1</xdr:row>
      <xdr:rowOff>11205</xdr:rowOff>
    </xdr:from>
    <xdr:to>
      <xdr:col>17</xdr:col>
      <xdr:colOff>0</xdr:colOff>
      <xdr:row>33</xdr:row>
      <xdr:rowOff>257733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93912" y="526676"/>
          <a:ext cx="13659970" cy="7351057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6756</xdr:colOff>
      <xdr:row>24</xdr:row>
      <xdr:rowOff>6723</xdr:rowOff>
    </xdr:from>
    <xdr:to>
      <xdr:col>14</xdr:col>
      <xdr:colOff>871341</xdr:colOff>
      <xdr:row>33</xdr:row>
      <xdr:rowOff>253250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638462" y="5206252"/>
          <a:ext cx="864585" cy="26669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24</xdr:row>
      <xdr:rowOff>353763</xdr:rowOff>
    </xdr:from>
    <xdr:to>
      <xdr:col>38</xdr:col>
      <xdr:colOff>13607</xdr:colOff>
      <xdr:row>26</xdr:row>
      <xdr:rowOff>353764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7214" y="9266442"/>
          <a:ext cx="15865929" cy="73478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60464</xdr:colOff>
      <xdr:row>1</xdr:row>
      <xdr:rowOff>48039</xdr:rowOff>
    </xdr:from>
    <xdr:to>
      <xdr:col>16</xdr:col>
      <xdr:colOff>828261</xdr:colOff>
      <xdr:row>10</xdr:row>
      <xdr:rowOff>44823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A2D0EFFF-F90C-479F-A926-99BB4095F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54429</xdr:colOff>
      <xdr:row>10</xdr:row>
      <xdr:rowOff>112058</xdr:rowOff>
    </xdr:from>
    <xdr:to>
      <xdr:col>16</xdr:col>
      <xdr:colOff>797201</xdr:colOff>
      <xdr:row>23</xdr:row>
      <xdr:rowOff>119742</xdr:rowOff>
    </xdr:to>
    <xdr:graphicFrame macro="">
      <xdr:nvGraphicFramePr>
        <xdr:cNvPr id="3" name="차트 6">
          <a:extLst>
            <a:ext uri="{FF2B5EF4-FFF2-40B4-BE49-F238E27FC236}">
              <a16:creationId xmlns:a16="http://schemas.microsoft.com/office/drawing/2014/main" id="{2A8FF149-9FA9-4711-9E96-630BCDD22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593912</xdr:colOff>
      <xdr:row>1</xdr:row>
      <xdr:rowOff>11205</xdr:rowOff>
    </xdr:from>
    <xdr:to>
      <xdr:col>17</xdr:col>
      <xdr:colOff>0</xdr:colOff>
      <xdr:row>33</xdr:row>
      <xdr:rowOff>257733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026633-24D1-4093-B271-5E4AE2499A35}"/>
            </a:ext>
          </a:extLst>
        </xdr:cNvPr>
        <xdr:cNvSpPr/>
      </xdr:nvSpPr>
      <xdr:spPr>
        <a:xfrm>
          <a:off x="593912" y="525555"/>
          <a:ext cx="13693588" cy="7323603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723932</xdr:colOff>
      <xdr:row>24</xdr:row>
      <xdr:rowOff>6723</xdr:rowOff>
    </xdr:from>
    <xdr:to>
      <xdr:col>4</xdr:col>
      <xdr:colOff>19693</xdr:colOff>
      <xdr:row>33</xdr:row>
      <xdr:rowOff>253250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0A3307-6CDC-4CB7-9729-B4515BB4756A}"/>
            </a:ext>
          </a:extLst>
        </xdr:cNvPr>
        <xdr:cNvSpPr/>
      </xdr:nvSpPr>
      <xdr:spPr>
        <a:xfrm>
          <a:off x="2046226" y="5206252"/>
          <a:ext cx="864585" cy="26669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326549</xdr:rowOff>
    </xdr:from>
    <xdr:to>
      <xdr:col>37</xdr:col>
      <xdr:colOff>721179</xdr:colOff>
      <xdr:row>4</xdr:row>
      <xdr:rowOff>367371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197406"/>
          <a:ext cx="15879536" cy="73478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showGridLines="0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Z39" sqref="Z39"/>
    </sheetView>
  </sheetViews>
  <sheetFormatPr defaultRowHeight="15"/>
  <cols>
    <col min="1" max="1" width="9" style="7"/>
    <col min="2" max="2" width="13.140625" style="7" customWidth="1"/>
    <col min="3" max="33" width="4.7109375" customWidth="1"/>
    <col min="34" max="34" width="12.85546875" customWidth="1"/>
    <col min="35" max="35" width="0.140625" customWidth="1"/>
    <col min="36" max="36" width="15" style="18" customWidth="1"/>
    <col min="37" max="37" width="13.42578125" style="18" customWidth="1"/>
    <col min="39" max="39" width="14.85546875" bestFit="1" customWidth="1"/>
  </cols>
  <sheetData>
    <row r="1" spans="1:39" ht="48.75" customHeight="1">
      <c r="A1" s="138" t="s">
        <v>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71"/>
    </row>
    <row r="2" spans="1:39" ht="18.75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19" t="s">
        <v>6</v>
      </c>
      <c r="AJ2" s="20">
        <v>23600</v>
      </c>
      <c r="AK2" s="20"/>
    </row>
    <row r="3" spans="1:39" s="74" customFormat="1" ht="25.5" customHeight="1">
      <c r="A3" s="16" t="s">
        <v>60</v>
      </c>
      <c r="B3" s="17"/>
      <c r="C3" s="38" t="s">
        <v>26</v>
      </c>
      <c r="D3" s="38" t="s">
        <v>27</v>
      </c>
      <c r="E3" s="38" t="s">
        <v>28</v>
      </c>
      <c r="F3" s="38" t="s">
        <v>29</v>
      </c>
      <c r="G3" s="38" t="s">
        <v>30</v>
      </c>
      <c r="H3" s="38" t="s">
        <v>31</v>
      </c>
      <c r="I3" s="38" t="s">
        <v>32</v>
      </c>
      <c r="J3" s="38" t="s">
        <v>33</v>
      </c>
      <c r="K3" s="38" t="s">
        <v>34</v>
      </c>
      <c r="L3" s="38" t="s">
        <v>35</v>
      </c>
      <c r="M3" s="38" t="s">
        <v>36</v>
      </c>
      <c r="N3" s="38" t="s">
        <v>37</v>
      </c>
      <c r="O3" s="38" t="s">
        <v>38</v>
      </c>
      <c r="P3" s="38" t="s">
        <v>39</v>
      </c>
      <c r="Q3" s="38" t="s">
        <v>40</v>
      </c>
      <c r="R3" s="38" t="s">
        <v>41</v>
      </c>
      <c r="S3" s="38" t="s">
        <v>42</v>
      </c>
      <c r="T3" s="38" t="s">
        <v>43</v>
      </c>
      <c r="U3" s="38" t="s">
        <v>44</v>
      </c>
      <c r="V3" s="38" t="s">
        <v>45</v>
      </c>
      <c r="W3" s="38" t="s">
        <v>46</v>
      </c>
      <c r="X3" s="38" t="s">
        <v>47</v>
      </c>
      <c r="Y3" s="38" t="s">
        <v>48</v>
      </c>
      <c r="Z3" s="38" t="s">
        <v>49</v>
      </c>
      <c r="AA3" s="38" t="s">
        <v>50</v>
      </c>
      <c r="AB3" s="38" t="s">
        <v>51</v>
      </c>
      <c r="AC3" s="38" t="s">
        <v>52</v>
      </c>
      <c r="AD3" s="38" t="s">
        <v>53</v>
      </c>
      <c r="AE3" s="38" t="s">
        <v>54</v>
      </c>
      <c r="AF3" s="38" t="s">
        <v>55</v>
      </c>
      <c r="AG3" s="38" t="s">
        <v>56</v>
      </c>
      <c r="AH3" s="72" t="s">
        <v>4</v>
      </c>
      <c r="AI3" s="73" t="s">
        <v>10</v>
      </c>
      <c r="AJ3" s="24" t="s">
        <v>7</v>
      </c>
      <c r="AK3" s="25" t="s">
        <v>58</v>
      </c>
    </row>
    <row r="4" spans="1:39" ht="29.25" customHeight="1">
      <c r="A4" s="129" t="s">
        <v>61</v>
      </c>
      <c r="B4" s="33" t="s">
        <v>59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69"/>
      <c r="AH4" s="30">
        <f>SUM(C4:AG4)</f>
        <v>0</v>
      </c>
      <c r="AI4" s="27"/>
      <c r="AJ4" s="75">
        <f>AI4*AJ2</f>
        <v>0</v>
      </c>
      <c r="AK4" s="131"/>
      <c r="AL4" s="21">
        <v>24893</v>
      </c>
    </row>
    <row r="5" spans="1:39" ht="29.25" customHeight="1">
      <c r="A5" s="130"/>
      <c r="B5" s="33" t="s">
        <v>76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69"/>
      <c r="AH5" s="30"/>
      <c r="AI5" s="27"/>
      <c r="AJ5" s="22">
        <f>AI5*AJ2</f>
        <v>0</v>
      </c>
      <c r="AK5" s="132"/>
      <c r="AL5" s="21">
        <v>24893</v>
      </c>
    </row>
    <row r="6" spans="1:39" ht="29.25" customHeight="1">
      <c r="A6" s="129" t="s">
        <v>62</v>
      </c>
      <c r="B6" s="33" t="s">
        <v>59</v>
      </c>
      <c r="C6" s="10"/>
      <c r="D6" s="10">
        <v>4</v>
      </c>
      <c r="E6" s="10"/>
      <c r="F6" s="10">
        <v>4</v>
      </c>
      <c r="G6" s="10"/>
      <c r="H6" s="10">
        <v>4</v>
      </c>
      <c r="I6" s="10"/>
      <c r="J6" s="10"/>
      <c r="K6" s="10"/>
      <c r="L6" s="10">
        <v>4</v>
      </c>
      <c r="M6" s="10"/>
      <c r="N6" s="10"/>
      <c r="O6" s="10">
        <v>6</v>
      </c>
      <c r="P6" s="10"/>
      <c r="Q6" s="10"/>
      <c r="R6" s="10"/>
      <c r="S6" s="10">
        <v>4</v>
      </c>
      <c r="T6" s="10"/>
      <c r="U6" s="10"/>
      <c r="V6" s="10"/>
      <c r="W6" s="10"/>
      <c r="X6" s="10"/>
      <c r="Y6" s="10"/>
      <c r="Z6" s="10"/>
      <c r="AA6" s="10">
        <v>4</v>
      </c>
      <c r="AB6" s="10"/>
      <c r="AC6" s="10"/>
      <c r="AD6" s="10"/>
      <c r="AE6" s="10"/>
      <c r="AF6" s="10"/>
      <c r="AG6" s="69"/>
      <c r="AH6" s="30">
        <f t="shared" ref="AH6:AH26" si="0">SUM(C6:AG6)</f>
        <v>30</v>
      </c>
      <c r="AI6" s="27">
        <f>AH6*45</f>
        <v>1350</v>
      </c>
      <c r="AJ6" s="22">
        <f>(AI6*AL6)</f>
        <v>33605550</v>
      </c>
      <c r="AK6" s="131">
        <f>AJ6-AJ7</f>
        <v>28816136.800000001</v>
      </c>
      <c r="AL6" s="21">
        <v>24893</v>
      </c>
    </row>
    <row r="7" spans="1:39" ht="29.25" customHeight="1">
      <c r="A7" s="130"/>
      <c r="B7" s="33" t="s">
        <v>76</v>
      </c>
      <c r="C7" s="10"/>
      <c r="D7" s="10">
        <v>11</v>
      </c>
      <c r="E7" s="10"/>
      <c r="F7" s="10">
        <v>58.4</v>
      </c>
      <c r="G7" s="10"/>
      <c r="H7" s="10">
        <v>33</v>
      </c>
      <c r="I7" s="10"/>
      <c r="J7" s="10"/>
      <c r="K7" s="10"/>
      <c r="L7" s="10">
        <v>22</v>
      </c>
      <c r="M7" s="10"/>
      <c r="N7" s="10"/>
      <c r="O7" s="10">
        <v>43</v>
      </c>
      <c r="P7" s="10"/>
      <c r="Q7" s="10"/>
      <c r="R7" s="10"/>
      <c r="S7" s="10">
        <v>15</v>
      </c>
      <c r="T7" s="10"/>
      <c r="U7" s="10"/>
      <c r="V7" s="10"/>
      <c r="W7" s="10"/>
      <c r="X7" s="10"/>
      <c r="Y7" s="10"/>
      <c r="Z7" s="10"/>
      <c r="AA7" s="10">
        <v>10</v>
      </c>
      <c r="AB7" s="10"/>
      <c r="AC7" s="10"/>
      <c r="AD7" s="10"/>
      <c r="AE7" s="10"/>
      <c r="AF7" s="10"/>
      <c r="AG7" s="69"/>
      <c r="AH7" s="36">
        <f>AI6-AI7</f>
        <v>1157.5999999999999</v>
      </c>
      <c r="AI7" s="27">
        <f>SUM(C7:AG7)</f>
        <v>192.4</v>
      </c>
      <c r="AJ7" s="22">
        <f t="shared" ref="AJ7:AJ26" si="1">(AI7*AL7)</f>
        <v>4789413.2</v>
      </c>
      <c r="AK7" s="132"/>
      <c r="AL7" s="21">
        <v>24893</v>
      </c>
    </row>
    <row r="8" spans="1:39" ht="29.25" customHeight="1">
      <c r="A8" s="129" t="s">
        <v>63</v>
      </c>
      <c r="B8" s="33" t="s">
        <v>59</v>
      </c>
      <c r="C8" s="10">
        <v>6</v>
      </c>
      <c r="D8" s="10"/>
      <c r="E8" s="10"/>
      <c r="F8" s="10"/>
      <c r="G8" s="10"/>
      <c r="H8" s="10">
        <v>4</v>
      </c>
      <c r="I8" s="10"/>
      <c r="J8" s="10"/>
      <c r="K8" s="10"/>
      <c r="L8" s="10">
        <v>4</v>
      </c>
      <c r="M8" s="10"/>
      <c r="N8" s="10">
        <v>4</v>
      </c>
      <c r="O8" s="10"/>
      <c r="P8" s="10"/>
      <c r="Q8" s="10"/>
      <c r="R8" s="10"/>
      <c r="S8" s="10"/>
      <c r="T8" s="10">
        <v>6</v>
      </c>
      <c r="U8" s="10"/>
      <c r="V8" s="10"/>
      <c r="W8" s="10"/>
      <c r="X8" s="10"/>
      <c r="Y8" s="10">
        <v>4</v>
      </c>
      <c r="Z8" s="10"/>
      <c r="AA8" s="10"/>
      <c r="AB8" s="10">
        <v>4</v>
      </c>
      <c r="AC8" s="10"/>
      <c r="AD8" s="10"/>
      <c r="AE8" s="10"/>
      <c r="AF8" s="10"/>
      <c r="AG8" s="69"/>
      <c r="AH8" s="30">
        <f t="shared" si="0"/>
        <v>32</v>
      </c>
      <c r="AI8" s="27">
        <f>AH8*45</f>
        <v>1440</v>
      </c>
      <c r="AJ8" s="22">
        <f>(AI8*AL8)</f>
        <v>33278256.000000004</v>
      </c>
      <c r="AK8" s="131">
        <f t="shared" ref="AK8" si="2">AJ8-AJ9</f>
        <v>30204639.300000004</v>
      </c>
      <c r="AL8" s="21">
        <f>21009+AM8</f>
        <v>23109.9</v>
      </c>
      <c r="AM8" s="37">
        <f>21009*10%</f>
        <v>2100.9</v>
      </c>
    </row>
    <row r="9" spans="1:39" ht="29.25" customHeight="1">
      <c r="A9" s="130"/>
      <c r="B9" s="33" t="s">
        <v>76</v>
      </c>
      <c r="C9" s="10">
        <v>23</v>
      </c>
      <c r="D9" s="10"/>
      <c r="E9" s="10"/>
      <c r="F9" s="10"/>
      <c r="G9" s="10"/>
      <c r="H9" s="10">
        <v>12</v>
      </c>
      <c r="I9" s="10"/>
      <c r="J9" s="10"/>
      <c r="K9" s="10"/>
      <c r="L9" s="10">
        <v>12</v>
      </c>
      <c r="M9" s="10"/>
      <c r="N9" s="10">
        <v>34</v>
      </c>
      <c r="O9" s="10"/>
      <c r="P9" s="10"/>
      <c r="Q9" s="10"/>
      <c r="R9" s="10"/>
      <c r="S9" s="10"/>
      <c r="T9" s="10">
        <v>21</v>
      </c>
      <c r="U9" s="10"/>
      <c r="V9" s="10"/>
      <c r="W9" s="10"/>
      <c r="X9" s="10"/>
      <c r="Y9" s="10">
        <v>18</v>
      </c>
      <c r="Z9" s="10"/>
      <c r="AA9" s="10"/>
      <c r="AB9" s="10">
        <v>13</v>
      </c>
      <c r="AC9" s="10"/>
      <c r="AD9" s="10"/>
      <c r="AE9" s="10"/>
      <c r="AF9" s="10"/>
      <c r="AG9" s="69"/>
      <c r="AH9" s="36">
        <f>AI8-AI9</f>
        <v>1307</v>
      </c>
      <c r="AI9" s="27">
        <f>SUM(C9:AG9)</f>
        <v>133</v>
      </c>
      <c r="AJ9" s="22">
        <f t="shared" si="1"/>
        <v>3073616.7</v>
      </c>
      <c r="AK9" s="132"/>
      <c r="AL9" s="21">
        <f>AL8</f>
        <v>23109.9</v>
      </c>
      <c r="AM9" s="37">
        <f>AL8*AH9</f>
        <v>30204639.300000001</v>
      </c>
    </row>
    <row r="10" spans="1:39" ht="29.25" customHeight="1">
      <c r="A10" s="129" t="s">
        <v>64</v>
      </c>
      <c r="B10" s="33" t="s">
        <v>59</v>
      </c>
      <c r="C10" s="10">
        <v>4</v>
      </c>
      <c r="D10" s="10"/>
      <c r="E10" s="10"/>
      <c r="F10" s="10"/>
      <c r="G10" s="10">
        <v>4</v>
      </c>
      <c r="H10" s="10"/>
      <c r="I10" s="10"/>
      <c r="J10" s="10"/>
      <c r="K10" s="10"/>
      <c r="L10" s="10">
        <v>4</v>
      </c>
      <c r="M10" s="10"/>
      <c r="N10" s="10"/>
      <c r="O10" s="10"/>
      <c r="P10" s="10">
        <v>4</v>
      </c>
      <c r="Q10" s="10"/>
      <c r="R10" s="10">
        <v>4</v>
      </c>
      <c r="S10" s="10"/>
      <c r="T10" s="10"/>
      <c r="U10" s="10"/>
      <c r="V10" s="10"/>
      <c r="W10" s="10"/>
      <c r="X10" s="10">
        <v>4</v>
      </c>
      <c r="Y10" s="10"/>
      <c r="Z10" s="10"/>
      <c r="AA10" s="10"/>
      <c r="AB10" s="10"/>
      <c r="AC10" s="10">
        <v>4</v>
      </c>
      <c r="AD10" s="10"/>
      <c r="AE10" s="10"/>
      <c r="AF10" s="10"/>
      <c r="AG10" s="69"/>
      <c r="AH10" s="30">
        <f t="shared" si="0"/>
        <v>28</v>
      </c>
      <c r="AI10" s="27">
        <f>AH10*45</f>
        <v>1260</v>
      </c>
      <c r="AJ10" s="22">
        <f t="shared" si="1"/>
        <v>22680000</v>
      </c>
      <c r="AK10" s="131">
        <f>AJ10-AJ11</f>
        <v>21186000</v>
      </c>
      <c r="AL10" s="21">
        <v>18000</v>
      </c>
    </row>
    <row r="11" spans="1:39" ht="29.25" customHeight="1">
      <c r="A11" s="130"/>
      <c r="B11" s="33" t="s">
        <v>76</v>
      </c>
      <c r="C11" s="10">
        <v>15</v>
      </c>
      <c r="D11" s="10"/>
      <c r="E11" s="10"/>
      <c r="F11" s="10"/>
      <c r="G11" s="10">
        <v>16</v>
      </c>
      <c r="H11" s="10"/>
      <c r="I11" s="10"/>
      <c r="J11" s="10"/>
      <c r="K11" s="10"/>
      <c r="L11" s="10">
        <v>24</v>
      </c>
      <c r="M11" s="10"/>
      <c r="N11" s="10"/>
      <c r="O11" s="10"/>
      <c r="P11" s="10">
        <v>6</v>
      </c>
      <c r="Q11" s="10"/>
      <c r="R11" s="10">
        <v>14</v>
      </c>
      <c r="S11" s="10"/>
      <c r="T11" s="10"/>
      <c r="U11" s="10"/>
      <c r="V11" s="10"/>
      <c r="W11" s="10"/>
      <c r="X11" s="10">
        <v>8</v>
      </c>
      <c r="Y11" s="10"/>
      <c r="Z11" s="10"/>
      <c r="AA11" s="10"/>
      <c r="AB11" s="10"/>
      <c r="AC11" s="10"/>
      <c r="AD11" s="10"/>
      <c r="AE11" s="10"/>
      <c r="AF11" s="10"/>
      <c r="AG11" s="69"/>
      <c r="AH11" s="36">
        <f>AI10-AI11</f>
        <v>1177</v>
      </c>
      <c r="AI11" s="27">
        <f t="shared" ref="AI11" si="3">SUM(C11:AG11)</f>
        <v>83</v>
      </c>
      <c r="AJ11" s="22">
        <f t="shared" si="1"/>
        <v>1494000</v>
      </c>
      <c r="AK11" s="132"/>
      <c r="AL11" s="21">
        <v>18000</v>
      </c>
    </row>
    <row r="12" spans="1:39" ht="29.25" customHeight="1">
      <c r="A12" s="129" t="s">
        <v>65</v>
      </c>
      <c r="B12" s="33" t="s">
        <v>59</v>
      </c>
      <c r="C12" s="10"/>
      <c r="D12" s="10"/>
      <c r="E12" s="10"/>
      <c r="F12" s="10">
        <v>4</v>
      </c>
      <c r="G12" s="10"/>
      <c r="H12" s="10"/>
      <c r="I12" s="10"/>
      <c r="J12" s="10"/>
      <c r="K12" s="10"/>
      <c r="L12" s="10"/>
      <c r="M12" s="10">
        <v>6</v>
      </c>
      <c r="N12" s="10"/>
      <c r="O12" s="10"/>
      <c r="P12" s="10"/>
      <c r="Q12" s="10"/>
      <c r="R12" s="10"/>
      <c r="S12" s="10"/>
      <c r="T12" s="10">
        <v>4</v>
      </c>
      <c r="U12" s="10"/>
      <c r="V12" s="10"/>
      <c r="W12" s="10">
        <v>4</v>
      </c>
      <c r="X12" s="10"/>
      <c r="Y12" s="10"/>
      <c r="Z12" s="10"/>
      <c r="AA12" s="10"/>
      <c r="AB12" s="10"/>
      <c r="AC12" s="10"/>
      <c r="AD12" s="10">
        <v>4</v>
      </c>
      <c r="AE12" s="10"/>
      <c r="AF12" s="10"/>
      <c r="AG12" s="69"/>
      <c r="AH12" s="30">
        <f t="shared" si="0"/>
        <v>22</v>
      </c>
      <c r="AI12" s="27">
        <f>AH12*45</f>
        <v>990</v>
      </c>
      <c r="AJ12" s="22">
        <f t="shared" si="1"/>
        <v>17820000</v>
      </c>
      <c r="AK12" s="131">
        <f t="shared" ref="AK12" si="4">AJ12-AJ13</f>
        <v>16524000</v>
      </c>
      <c r="AL12" s="21">
        <v>18000</v>
      </c>
    </row>
    <row r="13" spans="1:39" ht="29.25" customHeight="1">
      <c r="A13" s="130"/>
      <c r="B13" s="33" t="s">
        <v>76</v>
      </c>
      <c r="C13" s="10"/>
      <c r="D13" s="10"/>
      <c r="E13" s="10"/>
      <c r="F13" s="10">
        <v>28</v>
      </c>
      <c r="G13" s="10"/>
      <c r="H13" s="10"/>
      <c r="I13" s="10"/>
      <c r="J13" s="10"/>
      <c r="K13" s="10"/>
      <c r="L13" s="10"/>
      <c r="M13" s="10">
        <v>16</v>
      </c>
      <c r="N13" s="10"/>
      <c r="O13" s="10"/>
      <c r="P13" s="10"/>
      <c r="Q13" s="10"/>
      <c r="R13" s="10"/>
      <c r="S13" s="10"/>
      <c r="T13" s="10">
        <v>8</v>
      </c>
      <c r="U13" s="10"/>
      <c r="V13" s="10"/>
      <c r="W13" s="10">
        <v>20</v>
      </c>
      <c r="X13" s="10"/>
      <c r="Y13" s="10"/>
      <c r="Z13" s="10"/>
      <c r="AA13" s="10"/>
      <c r="AB13" s="10"/>
      <c r="AC13" s="10"/>
      <c r="AD13" s="10">
        <v>0</v>
      </c>
      <c r="AE13" s="10"/>
      <c r="AF13" s="10"/>
      <c r="AG13" s="69"/>
      <c r="AH13" s="36">
        <f>AI12-AI13</f>
        <v>918</v>
      </c>
      <c r="AI13" s="27">
        <f t="shared" ref="AI13" si="5">SUM(C13:AG13)</f>
        <v>72</v>
      </c>
      <c r="AJ13" s="22">
        <f t="shared" si="1"/>
        <v>1296000</v>
      </c>
      <c r="AK13" s="132"/>
      <c r="AL13" s="21">
        <v>18000</v>
      </c>
    </row>
    <row r="14" spans="1:39" ht="29.25" customHeight="1">
      <c r="A14" s="129" t="s">
        <v>66</v>
      </c>
      <c r="B14" s="33" t="s">
        <v>59</v>
      </c>
      <c r="C14" s="10"/>
      <c r="D14" s="10"/>
      <c r="E14" s="10"/>
      <c r="F14" s="10">
        <v>4</v>
      </c>
      <c r="G14" s="10"/>
      <c r="H14" s="10"/>
      <c r="I14" s="10"/>
      <c r="J14" s="10"/>
      <c r="K14" s="10"/>
      <c r="L14" s="10"/>
      <c r="M14" s="10"/>
      <c r="N14" s="10">
        <v>6</v>
      </c>
      <c r="O14" s="10"/>
      <c r="P14" s="10"/>
      <c r="Q14" s="10"/>
      <c r="R14" s="10"/>
      <c r="S14" s="10"/>
      <c r="T14" s="10">
        <v>4</v>
      </c>
      <c r="U14" s="10"/>
      <c r="V14" s="10"/>
      <c r="W14" s="10"/>
      <c r="X14" s="10"/>
      <c r="Y14" s="10">
        <v>4</v>
      </c>
      <c r="Z14" s="10"/>
      <c r="AA14" s="10"/>
      <c r="AB14" s="10"/>
      <c r="AC14" s="10"/>
      <c r="AD14" s="10"/>
      <c r="AE14" s="10">
        <v>4</v>
      </c>
      <c r="AF14" s="10"/>
      <c r="AG14" s="69"/>
      <c r="AH14" s="30">
        <f t="shared" si="0"/>
        <v>22</v>
      </c>
      <c r="AI14" s="27">
        <f>AH14*45</f>
        <v>990</v>
      </c>
      <c r="AJ14" s="22">
        <f t="shared" si="1"/>
        <v>20779110</v>
      </c>
      <c r="AK14" s="131">
        <f t="shared" ref="AK14" si="6">AJ14-AJ15</f>
        <v>20002517</v>
      </c>
      <c r="AL14" s="21">
        <v>20989</v>
      </c>
    </row>
    <row r="15" spans="1:39" ht="29.25" customHeight="1">
      <c r="A15" s="130"/>
      <c r="B15" s="33" t="s">
        <v>76</v>
      </c>
      <c r="C15" s="10"/>
      <c r="D15" s="10"/>
      <c r="E15" s="10"/>
      <c r="F15" s="10">
        <v>4</v>
      </c>
      <c r="G15" s="10"/>
      <c r="H15" s="10"/>
      <c r="I15" s="10"/>
      <c r="J15" s="10"/>
      <c r="K15" s="10"/>
      <c r="L15" s="10"/>
      <c r="M15" s="10"/>
      <c r="N15" s="10">
        <v>13</v>
      </c>
      <c r="O15" s="10"/>
      <c r="P15" s="10"/>
      <c r="Q15" s="10"/>
      <c r="R15" s="10"/>
      <c r="S15" s="10"/>
      <c r="T15" s="10">
        <v>7</v>
      </c>
      <c r="U15" s="10"/>
      <c r="V15" s="10"/>
      <c r="W15" s="10"/>
      <c r="X15" s="10"/>
      <c r="Y15" s="10">
        <v>2</v>
      </c>
      <c r="Z15" s="10"/>
      <c r="AA15" s="10"/>
      <c r="AB15" s="10"/>
      <c r="AC15" s="10"/>
      <c r="AD15" s="10"/>
      <c r="AE15" s="10">
        <v>11</v>
      </c>
      <c r="AF15" s="10"/>
      <c r="AG15" s="69"/>
      <c r="AH15" s="36">
        <f>AI14-AI15</f>
        <v>953</v>
      </c>
      <c r="AI15" s="27">
        <f t="shared" ref="AI15" si="7">SUM(C15:AG15)</f>
        <v>37</v>
      </c>
      <c r="AJ15" s="22">
        <f t="shared" si="1"/>
        <v>776593</v>
      </c>
      <c r="AK15" s="132"/>
      <c r="AL15" s="21">
        <v>20989</v>
      </c>
      <c r="AM15" s="39"/>
    </row>
    <row r="16" spans="1:39" ht="29.25" customHeight="1">
      <c r="A16" s="136" t="s">
        <v>67</v>
      </c>
      <c r="B16" s="44" t="s">
        <v>59</v>
      </c>
      <c r="C16" s="40"/>
      <c r="D16" s="40"/>
      <c r="E16" s="40"/>
      <c r="F16" s="40">
        <v>4</v>
      </c>
      <c r="G16" s="40"/>
      <c r="H16" s="40"/>
      <c r="I16" s="40"/>
      <c r="J16" s="40"/>
      <c r="K16" s="40">
        <v>4</v>
      </c>
      <c r="L16" s="40"/>
      <c r="M16" s="40"/>
      <c r="N16" s="40"/>
      <c r="O16" s="40">
        <v>4</v>
      </c>
      <c r="P16" s="40"/>
      <c r="Q16" s="40"/>
      <c r="R16" s="40"/>
      <c r="S16" s="40"/>
      <c r="T16" s="40">
        <v>4</v>
      </c>
      <c r="U16" s="40"/>
      <c r="V16" s="40"/>
      <c r="W16" s="40">
        <v>4</v>
      </c>
      <c r="X16" s="40"/>
      <c r="Y16" s="40"/>
      <c r="Z16" s="40"/>
      <c r="AA16" s="40"/>
      <c r="AB16" s="40"/>
      <c r="AC16" s="40">
        <v>4</v>
      </c>
      <c r="AD16" s="40"/>
      <c r="AE16" s="40"/>
      <c r="AF16" s="40"/>
      <c r="AG16" s="41"/>
      <c r="AH16" s="30">
        <f t="shared" si="0"/>
        <v>24</v>
      </c>
      <c r="AI16" s="27">
        <f>AH16*45</f>
        <v>1080</v>
      </c>
      <c r="AJ16" s="22">
        <f t="shared" si="1"/>
        <v>21686400</v>
      </c>
      <c r="AK16" s="131">
        <f t="shared" ref="AK16" si="8">AJ16-AJ17</f>
        <v>20722560</v>
      </c>
      <c r="AL16" s="21">
        <v>20080</v>
      </c>
    </row>
    <row r="17" spans="1:38" ht="29.25" customHeight="1">
      <c r="A17" s="137"/>
      <c r="B17" s="45" t="s">
        <v>76</v>
      </c>
      <c r="C17" s="42"/>
      <c r="D17" s="42"/>
      <c r="E17" s="42"/>
      <c r="F17" s="42">
        <v>6</v>
      </c>
      <c r="G17" s="42"/>
      <c r="H17" s="42"/>
      <c r="I17" s="42"/>
      <c r="J17" s="42"/>
      <c r="K17" s="42">
        <v>3</v>
      </c>
      <c r="L17" s="42"/>
      <c r="M17" s="42"/>
      <c r="N17" s="42"/>
      <c r="O17" s="42">
        <v>11</v>
      </c>
      <c r="P17" s="42"/>
      <c r="Q17" s="42"/>
      <c r="R17" s="42"/>
      <c r="S17" s="42"/>
      <c r="T17" s="42">
        <v>10</v>
      </c>
      <c r="U17" s="42"/>
      <c r="V17" s="42"/>
      <c r="W17" s="42">
        <v>9</v>
      </c>
      <c r="X17" s="42"/>
      <c r="Y17" s="42"/>
      <c r="Z17" s="42"/>
      <c r="AA17" s="42"/>
      <c r="AB17" s="42"/>
      <c r="AC17" s="42">
        <v>9</v>
      </c>
      <c r="AD17" s="42"/>
      <c r="AE17" s="42"/>
      <c r="AF17" s="42"/>
      <c r="AG17" s="43"/>
      <c r="AH17" s="36">
        <f>AI16-AI17</f>
        <v>1032</v>
      </c>
      <c r="AI17" s="27">
        <f t="shared" ref="AI17" si="9">SUM(C17:AG17)</f>
        <v>48</v>
      </c>
      <c r="AJ17" s="22">
        <f t="shared" si="1"/>
        <v>963840</v>
      </c>
      <c r="AK17" s="132"/>
      <c r="AL17" s="21">
        <v>20080</v>
      </c>
    </row>
    <row r="18" spans="1:38" ht="29.25" customHeight="1">
      <c r="A18" s="129" t="s">
        <v>68</v>
      </c>
      <c r="B18" s="33" t="s">
        <v>59</v>
      </c>
      <c r="C18" s="10"/>
      <c r="D18" s="10">
        <v>6</v>
      </c>
      <c r="E18" s="10"/>
      <c r="F18" s="10"/>
      <c r="G18" s="10"/>
      <c r="H18" s="10">
        <v>4</v>
      </c>
      <c r="I18" s="10"/>
      <c r="J18" s="10"/>
      <c r="K18" s="10">
        <v>4</v>
      </c>
      <c r="L18" s="10"/>
      <c r="M18" s="10"/>
      <c r="N18" s="10"/>
      <c r="O18" s="10"/>
      <c r="P18" s="10"/>
      <c r="Q18" s="10">
        <v>4</v>
      </c>
      <c r="R18" s="10"/>
      <c r="S18" s="10"/>
      <c r="T18" s="10">
        <v>4</v>
      </c>
      <c r="U18" s="10"/>
      <c r="V18" s="10"/>
      <c r="W18" s="10"/>
      <c r="X18" s="10">
        <v>4</v>
      </c>
      <c r="Y18" s="10"/>
      <c r="Z18" s="10"/>
      <c r="AA18" s="10">
        <v>4</v>
      </c>
      <c r="AB18" s="10"/>
      <c r="AC18" s="10"/>
      <c r="AD18" s="10"/>
      <c r="AE18" s="10"/>
      <c r="AF18" s="10"/>
      <c r="AG18" s="69"/>
      <c r="AH18" s="30">
        <f t="shared" ref="AH18:AH20" si="10">SUM(C18:AG18)</f>
        <v>30</v>
      </c>
      <c r="AI18" s="27">
        <f>AH18*45</f>
        <v>1350</v>
      </c>
      <c r="AJ18" s="22">
        <f t="shared" si="1"/>
        <v>27108000</v>
      </c>
      <c r="AK18" s="131">
        <f t="shared" ref="AK18" si="11">AJ18-AJ19</f>
        <v>23754640</v>
      </c>
      <c r="AL18" s="21">
        <v>20080</v>
      </c>
    </row>
    <row r="19" spans="1:38" ht="29.25" customHeight="1">
      <c r="A19" s="130"/>
      <c r="B19" s="33" t="s">
        <v>76</v>
      </c>
      <c r="C19" s="10"/>
      <c r="D19" s="10">
        <v>16</v>
      </c>
      <c r="E19" s="10"/>
      <c r="F19" s="10"/>
      <c r="G19" s="10"/>
      <c r="H19" s="10">
        <v>26</v>
      </c>
      <c r="I19" s="10"/>
      <c r="J19" s="10"/>
      <c r="K19" s="10">
        <v>47</v>
      </c>
      <c r="L19" s="10"/>
      <c r="M19" s="10"/>
      <c r="N19" s="10"/>
      <c r="O19" s="10"/>
      <c r="P19" s="10"/>
      <c r="Q19" s="10">
        <v>13</v>
      </c>
      <c r="R19" s="10"/>
      <c r="S19" s="10"/>
      <c r="T19" s="10">
        <v>27</v>
      </c>
      <c r="U19" s="10"/>
      <c r="V19" s="10"/>
      <c r="W19" s="10"/>
      <c r="X19" s="10">
        <v>14</v>
      </c>
      <c r="Y19" s="10"/>
      <c r="Z19" s="10"/>
      <c r="AA19" s="10">
        <v>24</v>
      </c>
      <c r="AB19" s="10"/>
      <c r="AC19" s="10"/>
      <c r="AD19" s="10"/>
      <c r="AE19" s="10"/>
      <c r="AF19" s="10"/>
      <c r="AG19" s="69"/>
      <c r="AH19" s="36">
        <f>AI18-AI19</f>
        <v>1183</v>
      </c>
      <c r="AI19" s="27">
        <f t="shared" ref="AI19" si="12">SUM(C19:AG19)</f>
        <v>167</v>
      </c>
      <c r="AJ19" s="22">
        <f t="shared" si="1"/>
        <v>3353360</v>
      </c>
      <c r="AK19" s="132"/>
      <c r="AL19" s="21">
        <v>20080</v>
      </c>
    </row>
    <row r="20" spans="1:38" ht="29.25" customHeight="1">
      <c r="A20" s="129" t="s">
        <v>69</v>
      </c>
      <c r="B20" s="33" t="s">
        <v>59</v>
      </c>
      <c r="C20" s="10">
        <v>4</v>
      </c>
      <c r="D20" s="10"/>
      <c r="E20" s="10"/>
      <c r="F20" s="10"/>
      <c r="G20" s="10">
        <v>4</v>
      </c>
      <c r="H20" s="10"/>
      <c r="I20" s="10"/>
      <c r="J20" s="10">
        <v>4</v>
      </c>
      <c r="K20" s="10"/>
      <c r="L20" s="10"/>
      <c r="M20" s="10"/>
      <c r="N20" s="10">
        <v>4</v>
      </c>
      <c r="O20" s="10"/>
      <c r="P20" s="10"/>
      <c r="Q20" s="10"/>
      <c r="R20" s="10"/>
      <c r="S20" s="10">
        <v>4</v>
      </c>
      <c r="T20" s="10"/>
      <c r="U20" s="10"/>
      <c r="V20" s="10"/>
      <c r="W20" s="10"/>
      <c r="X20" s="10">
        <v>4</v>
      </c>
      <c r="Y20" s="10"/>
      <c r="Z20" s="10"/>
      <c r="AA20" s="10"/>
      <c r="AB20" s="10">
        <v>6</v>
      </c>
      <c r="AC20" s="10"/>
      <c r="AD20" s="10"/>
      <c r="AE20" s="10"/>
      <c r="AF20" s="10"/>
      <c r="AG20" s="69"/>
      <c r="AH20" s="30">
        <f t="shared" si="10"/>
        <v>30</v>
      </c>
      <c r="AI20" s="27">
        <f>AH20*45</f>
        <v>1350</v>
      </c>
      <c r="AJ20" s="22">
        <f t="shared" si="1"/>
        <v>27108000</v>
      </c>
      <c r="AK20" s="131">
        <f t="shared" ref="AK20" si="13">AJ20-AJ21</f>
        <v>23594000</v>
      </c>
      <c r="AL20" s="21">
        <v>20080</v>
      </c>
    </row>
    <row r="21" spans="1:38" ht="29.25" customHeight="1">
      <c r="A21" s="130"/>
      <c r="B21" s="33" t="s">
        <v>76</v>
      </c>
      <c r="C21" s="10">
        <v>10</v>
      </c>
      <c r="D21" s="10"/>
      <c r="E21" s="10"/>
      <c r="F21" s="10"/>
      <c r="G21" s="10">
        <v>9</v>
      </c>
      <c r="H21" s="10"/>
      <c r="I21" s="10"/>
      <c r="J21" s="10">
        <v>36</v>
      </c>
      <c r="K21" s="10"/>
      <c r="L21" s="10"/>
      <c r="M21" s="10"/>
      <c r="N21" s="10">
        <v>30</v>
      </c>
      <c r="O21" s="10"/>
      <c r="P21" s="10"/>
      <c r="Q21" s="10"/>
      <c r="R21" s="10"/>
      <c r="S21" s="10">
        <v>20</v>
      </c>
      <c r="T21" s="10"/>
      <c r="U21" s="10"/>
      <c r="V21" s="10"/>
      <c r="W21" s="10"/>
      <c r="X21" s="10">
        <v>34</v>
      </c>
      <c r="Y21" s="10"/>
      <c r="Z21" s="10"/>
      <c r="AA21" s="10"/>
      <c r="AB21" s="10">
        <v>36</v>
      </c>
      <c r="AC21" s="10"/>
      <c r="AD21" s="10"/>
      <c r="AE21" s="10"/>
      <c r="AF21" s="10"/>
      <c r="AG21" s="69"/>
      <c r="AH21" s="36">
        <f>AI20-AI21</f>
        <v>1175</v>
      </c>
      <c r="AI21" s="27">
        <f t="shared" ref="AI21" si="14">SUM(C21:AG21)</f>
        <v>175</v>
      </c>
      <c r="AJ21" s="22">
        <f t="shared" si="1"/>
        <v>3514000</v>
      </c>
      <c r="AK21" s="132"/>
      <c r="AL21" s="21">
        <v>20080</v>
      </c>
    </row>
    <row r="22" spans="1:38" ht="29.25" customHeight="1">
      <c r="A22" s="129" t="s">
        <v>70</v>
      </c>
      <c r="B22" s="33" t="s">
        <v>59</v>
      </c>
      <c r="C22" s="10"/>
      <c r="D22" s="10">
        <v>6</v>
      </c>
      <c r="E22" s="10"/>
      <c r="F22" s="10"/>
      <c r="G22" s="10"/>
      <c r="H22" s="10"/>
      <c r="I22" s="10">
        <v>4</v>
      </c>
      <c r="J22" s="10"/>
      <c r="K22" s="10"/>
      <c r="L22" s="10"/>
      <c r="M22" s="10"/>
      <c r="N22" s="10"/>
      <c r="O22" s="10"/>
      <c r="P22" s="10">
        <v>4</v>
      </c>
      <c r="Q22" s="10"/>
      <c r="R22" s="10"/>
      <c r="S22" s="10">
        <v>4</v>
      </c>
      <c r="T22" s="10"/>
      <c r="U22" s="10"/>
      <c r="V22" s="10"/>
      <c r="W22" s="10"/>
      <c r="X22" s="10">
        <v>4</v>
      </c>
      <c r="Y22" s="10"/>
      <c r="Z22" s="10"/>
      <c r="AA22" s="10">
        <v>4</v>
      </c>
      <c r="AB22" s="10"/>
      <c r="AC22" s="10">
        <v>4</v>
      </c>
      <c r="AD22" s="10"/>
      <c r="AE22" s="10"/>
      <c r="AF22" s="10"/>
      <c r="AG22" s="69"/>
      <c r="AH22" s="30">
        <f t="shared" si="0"/>
        <v>30</v>
      </c>
      <c r="AI22" s="27">
        <f>AH22*45</f>
        <v>1350</v>
      </c>
      <c r="AJ22" s="22">
        <f t="shared" si="1"/>
        <v>27841050</v>
      </c>
      <c r="AK22" s="131">
        <f t="shared" ref="AK22" si="15">AJ22-AJ23</f>
        <v>24871338</v>
      </c>
      <c r="AL22" s="21">
        <v>20623</v>
      </c>
    </row>
    <row r="23" spans="1:38" ht="29.25" customHeight="1">
      <c r="A23" s="130"/>
      <c r="B23" s="33" t="s">
        <v>76</v>
      </c>
      <c r="C23" s="10"/>
      <c r="D23" s="10">
        <v>24</v>
      </c>
      <c r="E23" s="10"/>
      <c r="F23" s="10"/>
      <c r="G23" s="10"/>
      <c r="H23" s="10"/>
      <c r="I23" s="10">
        <v>26</v>
      </c>
      <c r="J23" s="10"/>
      <c r="K23" s="10"/>
      <c r="L23" s="10"/>
      <c r="M23" s="10"/>
      <c r="N23" s="10"/>
      <c r="O23" s="10"/>
      <c r="P23" s="10">
        <v>12</v>
      </c>
      <c r="Q23" s="10"/>
      <c r="R23" s="10"/>
      <c r="S23" s="10">
        <v>18</v>
      </c>
      <c r="T23" s="10"/>
      <c r="U23" s="10"/>
      <c r="V23" s="10"/>
      <c r="W23" s="10"/>
      <c r="X23" s="10">
        <v>16</v>
      </c>
      <c r="Y23" s="10"/>
      <c r="Z23" s="10"/>
      <c r="AA23" s="10">
        <v>24</v>
      </c>
      <c r="AB23" s="10"/>
      <c r="AC23" s="10">
        <v>24</v>
      </c>
      <c r="AD23" s="10"/>
      <c r="AE23" s="10"/>
      <c r="AF23" s="10"/>
      <c r="AG23" s="69"/>
      <c r="AH23" s="36">
        <f>AI22-AI23</f>
        <v>1206</v>
      </c>
      <c r="AI23" s="27">
        <f t="shared" ref="AI23" si="16">SUM(C23:AG23)</f>
        <v>144</v>
      </c>
      <c r="AJ23" s="22">
        <f t="shared" si="1"/>
        <v>2969712</v>
      </c>
      <c r="AK23" s="132"/>
      <c r="AL23" s="21">
        <v>20623</v>
      </c>
    </row>
    <row r="24" spans="1:38" ht="29.25" customHeight="1">
      <c r="A24" s="129" t="s">
        <v>71</v>
      </c>
      <c r="B24" s="33" t="s">
        <v>59</v>
      </c>
      <c r="C24" s="10"/>
      <c r="D24" s="10">
        <v>4</v>
      </c>
      <c r="E24" s="10"/>
      <c r="F24" s="10"/>
      <c r="G24" s="10">
        <v>4</v>
      </c>
      <c r="H24" s="10"/>
      <c r="I24" s="10"/>
      <c r="J24" s="10"/>
      <c r="K24" s="10"/>
      <c r="L24" s="10">
        <v>4</v>
      </c>
      <c r="M24" s="10"/>
      <c r="N24" s="10"/>
      <c r="O24" s="10"/>
      <c r="P24" s="10">
        <v>4</v>
      </c>
      <c r="Q24" s="10"/>
      <c r="R24" s="10"/>
      <c r="S24" s="10"/>
      <c r="T24" s="10"/>
      <c r="U24" s="10"/>
      <c r="V24" s="10">
        <v>6</v>
      </c>
      <c r="W24" s="10"/>
      <c r="X24" s="10"/>
      <c r="Y24" s="10"/>
      <c r="Z24" s="10">
        <v>4</v>
      </c>
      <c r="AA24" s="10"/>
      <c r="AB24" s="10"/>
      <c r="AC24" s="10">
        <v>4</v>
      </c>
      <c r="AD24" s="10"/>
      <c r="AE24" s="10"/>
      <c r="AF24" s="10"/>
      <c r="AG24" s="69"/>
      <c r="AH24" s="30">
        <f t="shared" si="0"/>
        <v>30</v>
      </c>
      <c r="AI24" s="27">
        <f>AH24*45</f>
        <v>1350</v>
      </c>
      <c r="AJ24" s="22">
        <f t="shared" si="1"/>
        <v>29943000</v>
      </c>
      <c r="AK24" s="133">
        <f t="shared" ref="AK24" si="17">AJ24-AJ25</f>
        <v>27259220</v>
      </c>
      <c r="AL24" s="21">
        <v>22180</v>
      </c>
    </row>
    <row r="25" spans="1:38" ht="29.25" customHeight="1">
      <c r="A25" s="130"/>
      <c r="B25" s="33" t="s">
        <v>76</v>
      </c>
      <c r="C25" s="14"/>
      <c r="D25" s="14">
        <v>21</v>
      </c>
      <c r="E25" s="14"/>
      <c r="F25" s="14"/>
      <c r="G25" s="14">
        <v>13</v>
      </c>
      <c r="H25" s="14"/>
      <c r="I25" s="14"/>
      <c r="J25" s="14"/>
      <c r="K25" s="14"/>
      <c r="L25" s="14">
        <v>22</v>
      </c>
      <c r="M25" s="14"/>
      <c r="N25" s="14"/>
      <c r="O25" s="14"/>
      <c r="P25" s="14">
        <v>23</v>
      </c>
      <c r="Q25" s="14"/>
      <c r="R25" s="14"/>
      <c r="S25" s="14"/>
      <c r="T25" s="14"/>
      <c r="U25" s="14"/>
      <c r="V25" s="14">
        <v>16</v>
      </c>
      <c r="W25" s="14"/>
      <c r="X25" s="14"/>
      <c r="Y25" s="14"/>
      <c r="Z25" s="14">
        <v>12</v>
      </c>
      <c r="AA25" s="14"/>
      <c r="AB25" s="14"/>
      <c r="AC25" s="14">
        <v>14</v>
      </c>
      <c r="AD25" s="14"/>
      <c r="AE25" s="14"/>
      <c r="AF25" s="14"/>
      <c r="AG25" s="70"/>
      <c r="AH25" s="36">
        <f>AI24-AI25</f>
        <v>1229</v>
      </c>
      <c r="AI25" s="27">
        <f t="shared" ref="AI25" si="18">SUM(C25:AG25)</f>
        <v>121</v>
      </c>
      <c r="AJ25" s="22">
        <f t="shared" si="1"/>
        <v>2683780</v>
      </c>
      <c r="AK25" s="134"/>
      <c r="AL25" s="21">
        <v>22180</v>
      </c>
    </row>
    <row r="26" spans="1:38" ht="29.25" customHeight="1">
      <c r="A26" s="129" t="s">
        <v>72</v>
      </c>
      <c r="B26" s="33" t="s">
        <v>59</v>
      </c>
      <c r="C26" s="14">
        <v>4</v>
      </c>
      <c r="D26" s="14"/>
      <c r="E26" s="14"/>
      <c r="F26" s="14"/>
      <c r="G26" s="14"/>
      <c r="H26" s="14"/>
      <c r="I26" s="14"/>
      <c r="J26" s="14">
        <v>6</v>
      </c>
      <c r="K26" s="14"/>
      <c r="L26" s="14"/>
      <c r="M26" s="14">
        <v>4</v>
      </c>
      <c r="N26" s="14"/>
      <c r="O26" s="14"/>
      <c r="P26" s="14"/>
      <c r="Q26" s="14">
        <v>4</v>
      </c>
      <c r="R26" s="14"/>
      <c r="S26" s="14"/>
      <c r="T26" s="14">
        <v>4</v>
      </c>
      <c r="U26" s="14"/>
      <c r="V26" s="14"/>
      <c r="W26" s="14"/>
      <c r="X26" s="14"/>
      <c r="Y26" s="14">
        <v>4</v>
      </c>
      <c r="Z26" s="14"/>
      <c r="AA26" s="14"/>
      <c r="AB26" s="14">
        <v>4</v>
      </c>
      <c r="AC26" s="14"/>
      <c r="AD26" s="14"/>
      <c r="AE26" s="14"/>
      <c r="AF26" s="14"/>
      <c r="AG26" s="70">
        <v>4</v>
      </c>
      <c r="AH26" s="30">
        <f t="shared" si="0"/>
        <v>34</v>
      </c>
      <c r="AI26" s="27">
        <f>AH26*45</f>
        <v>1530</v>
      </c>
      <c r="AJ26" s="22">
        <f t="shared" si="1"/>
        <v>34746300</v>
      </c>
      <c r="AK26" s="131">
        <f t="shared" ref="AK26" si="19">AJ26-AJ27</f>
        <v>30931020</v>
      </c>
      <c r="AL26" s="21">
        <v>22710</v>
      </c>
    </row>
    <row r="27" spans="1:38" ht="29.25" customHeight="1" thickBot="1">
      <c r="A27" s="130"/>
      <c r="B27" s="33" t="s">
        <v>76</v>
      </c>
      <c r="C27" s="11">
        <v>16</v>
      </c>
      <c r="D27" s="11"/>
      <c r="E27" s="11"/>
      <c r="F27" s="11"/>
      <c r="G27" s="11"/>
      <c r="H27" s="11"/>
      <c r="I27" s="11"/>
      <c r="J27" s="11">
        <v>26</v>
      </c>
      <c r="K27" s="11"/>
      <c r="L27" s="11"/>
      <c r="M27" s="11">
        <v>16</v>
      </c>
      <c r="N27" s="11"/>
      <c r="O27" s="11"/>
      <c r="P27" s="11"/>
      <c r="Q27" s="11">
        <v>18</v>
      </c>
      <c r="R27" s="11"/>
      <c r="S27" s="11"/>
      <c r="T27" s="11">
        <v>21</v>
      </c>
      <c r="U27" s="11"/>
      <c r="V27" s="11"/>
      <c r="W27" s="11"/>
      <c r="X27" s="11"/>
      <c r="Y27" s="11">
        <v>32</v>
      </c>
      <c r="Z27" s="11"/>
      <c r="AA27" s="11"/>
      <c r="AB27" s="11">
        <v>19</v>
      </c>
      <c r="AC27" s="11"/>
      <c r="AD27" s="11"/>
      <c r="AE27" s="11"/>
      <c r="AF27" s="11"/>
      <c r="AG27" s="12">
        <v>20</v>
      </c>
      <c r="AH27" s="36">
        <f>AI26-AI27</f>
        <v>1362</v>
      </c>
      <c r="AI27" s="28">
        <f t="shared" ref="AI27" si="20">SUM(C27:AG27)</f>
        <v>168</v>
      </c>
      <c r="AJ27" s="23">
        <f>(AI27*AL27)</f>
        <v>3815280</v>
      </c>
      <c r="AK27" s="135"/>
      <c r="AL27" s="21">
        <v>22710</v>
      </c>
    </row>
    <row r="28" spans="1:38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8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8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8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8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6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</sheetData>
  <mergeCells count="25">
    <mergeCell ref="A8:A9"/>
    <mergeCell ref="AK8:AK9"/>
    <mergeCell ref="A1:AJ1"/>
    <mergeCell ref="A4:A5"/>
    <mergeCell ref="AK4:AK5"/>
    <mergeCell ref="A6:A7"/>
    <mergeCell ref="AK6:AK7"/>
    <mergeCell ref="A10:A11"/>
    <mergeCell ref="AK10:AK11"/>
    <mergeCell ref="A12:A13"/>
    <mergeCell ref="AK12:AK13"/>
    <mergeCell ref="A14:A15"/>
    <mergeCell ref="AK14:AK15"/>
    <mergeCell ref="A16:A17"/>
    <mergeCell ref="AK16:AK17"/>
    <mergeCell ref="A18:A19"/>
    <mergeCell ref="AK18:AK19"/>
    <mergeCell ref="A20:A21"/>
    <mergeCell ref="AK20:AK21"/>
    <mergeCell ref="A22:A23"/>
    <mergeCell ref="AK22:AK23"/>
    <mergeCell ref="A24:A25"/>
    <mergeCell ref="AK24:AK25"/>
    <mergeCell ref="A26:A27"/>
    <mergeCell ref="AK26:AK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9"/>
  <sheetViews>
    <sheetView showGridLines="0" topLeftCell="A15" zoomScale="85" zoomScaleNormal="85" workbookViewId="0">
      <selection activeCell="N46" sqref="N46"/>
    </sheetView>
  </sheetViews>
  <sheetFormatPr defaultRowHeight="15"/>
  <cols>
    <col min="2" max="2" width="10.7109375" customWidth="1"/>
    <col min="3" max="3" width="11.140625" customWidth="1"/>
    <col min="4" max="4" width="12.42578125" customWidth="1"/>
    <col min="5" max="17" width="13.140625" customWidth="1"/>
  </cols>
  <sheetData>
    <row r="1" spans="2:17" ht="40.5" customHeight="1" thickBot="1">
      <c r="B1" s="67">
        <v>2020</v>
      </c>
      <c r="C1" s="149" t="s">
        <v>12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2:17" ht="37.5" customHeight="1">
      <c r="B2" s="152">
        <v>2021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42" t="s">
        <v>2</v>
      </c>
      <c r="Q2" s="143"/>
    </row>
    <row r="3" spans="2:17" ht="15" customHeight="1">
      <c r="B3" s="153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44" t="s">
        <v>3</v>
      </c>
      <c r="Q3" s="145"/>
    </row>
    <row r="4" spans="2:17" ht="15" customHeight="1">
      <c r="B4" s="153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6"/>
      <c r="Q4" s="145"/>
    </row>
    <row r="5" spans="2:17" ht="15" customHeight="1">
      <c r="B5" s="153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46"/>
      <c r="Q5" s="145"/>
    </row>
    <row r="6" spans="2:17" ht="15" customHeight="1">
      <c r="B6" s="153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6"/>
      <c r="Q6" s="145"/>
    </row>
    <row r="7" spans="2:17" ht="15" customHeight="1">
      <c r="B7" s="153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46"/>
      <c r="Q7" s="145"/>
    </row>
    <row r="8" spans="2:17" ht="15" customHeight="1">
      <c r="B8" s="153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47"/>
      <c r="Q8" s="148"/>
    </row>
    <row r="9" spans="2:17" ht="15" customHeight="1">
      <c r="B9" s="153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4"/>
      <c r="Q9" s="35"/>
    </row>
    <row r="10" spans="2:17" ht="15" customHeight="1">
      <c r="B10" s="153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4"/>
      <c r="Q10" s="35"/>
    </row>
    <row r="11" spans="2:17" ht="15" customHeight="1">
      <c r="B11" s="153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/>
      <c r="Q11" s="35"/>
    </row>
    <row r="12" spans="2:17" ht="15" customHeight="1">
      <c r="B12" s="153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4"/>
      <c r="Q12" s="35"/>
    </row>
    <row r="13" spans="2:17" ht="15" customHeight="1">
      <c r="B13" s="153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4"/>
      <c r="Q13" s="35"/>
    </row>
    <row r="14" spans="2:17" ht="15" customHeight="1">
      <c r="B14" s="153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4"/>
      <c r="Q14" s="35"/>
    </row>
    <row r="15" spans="2:17" ht="15" customHeight="1">
      <c r="B15" s="153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4"/>
      <c r="Q15" s="35"/>
    </row>
    <row r="16" spans="2:17" ht="15" customHeight="1">
      <c r="B16" s="153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4"/>
      <c r="Q16" s="35"/>
    </row>
    <row r="17" spans="2:23" ht="15" customHeight="1">
      <c r="B17" s="153"/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4"/>
      <c r="Q17" s="35"/>
    </row>
    <row r="18" spans="2:23" ht="15" customHeight="1">
      <c r="B18" s="153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4"/>
      <c r="Q18" s="35"/>
    </row>
    <row r="19" spans="2:23" ht="15" customHeight="1">
      <c r="B19" s="153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4"/>
      <c r="Q19" s="35"/>
    </row>
    <row r="20" spans="2:23" ht="15" customHeight="1">
      <c r="B20" s="153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4"/>
      <c r="Q20" s="35"/>
    </row>
    <row r="21" spans="2:23" ht="15" customHeight="1">
      <c r="B21" s="153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4"/>
      <c r="Q21" s="35"/>
    </row>
    <row r="22" spans="2:23" ht="15" customHeight="1">
      <c r="B22" s="153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4"/>
      <c r="Q22" s="35"/>
    </row>
    <row r="23" spans="2:23" ht="15" customHeight="1">
      <c r="B23" s="153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4"/>
      <c r="Q23" s="35"/>
    </row>
    <row r="24" spans="2:23" ht="15.75" customHeight="1" thickBot="1">
      <c r="B24" s="154"/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4"/>
      <c r="Q24" s="35"/>
    </row>
    <row r="25" spans="2:23" ht="21" customHeight="1" thickBot="1">
      <c r="B25" s="48"/>
      <c r="C25" s="49" t="s">
        <v>0</v>
      </c>
      <c r="D25" s="50" t="s">
        <v>14</v>
      </c>
      <c r="E25" s="50" t="s">
        <v>15</v>
      </c>
      <c r="F25" s="50" t="s">
        <v>16</v>
      </c>
      <c r="G25" s="50" t="s">
        <v>17</v>
      </c>
      <c r="H25" s="50" t="s">
        <v>18</v>
      </c>
      <c r="I25" s="50" t="s">
        <v>19</v>
      </c>
      <c r="J25" s="50" t="s">
        <v>20</v>
      </c>
      <c r="K25" s="50" t="s">
        <v>21</v>
      </c>
      <c r="L25" s="50" t="s">
        <v>22</v>
      </c>
      <c r="M25" s="50" t="s">
        <v>23</v>
      </c>
      <c r="N25" s="50" t="s">
        <v>24</v>
      </c>
      <c r="O25" s="50" t="s">
        <v>25</v>
      </c>
      <c r="P25" s="51" t="s">
        <v>74</v>
      </c>
      <c r="Q25" s="52" t="s">
        <v>75</v>
      </c>
      <c r="S25">
        <v>46658222</v>
      </c>
    </row>
    <row r="26" spans="2:23" s="13" customFormat="1" ht="21" customHeight="1" thickBot="1">
      <c r="B26" s="139" t="s">
        <v>77</v>
      </c>
      <c r="C26" s="53" t="s">
        <v>11</v>
      </c>
      <c r="D26" s="54">
        <f>D27*D28</f>
        <v>34353540</v>
      </c>
      <c r="E26" s="80">
        <f>'입고현황정리 2021'!AK6</f>
        <v>27272250</v>
      </c>
      <c r="F26" s="55">
        <f>F27*F28</f>
        <v>41211400</v>
      </c>
      <c r="G26" s="56">
        <f>G27*G28</f>
        <v>36684440</v>
      </c>
      <c r="H26" s="56">
        <f>H27*H28</f>
        <v>29481032</v>
      </c>
      <c r="I26" s="56">
        <f>I27*I28</f>
        <v>33192000</v>
      </c>
      <c r="J26" s="55">
        <v>36766578</v>
      </c>
      <c r="K26" s="56">
        <v>44706889</v>
      </c>
      <c r="L26" s="56">
        <v>46658222</v>
      </c>
      <c r="M26" s="56">
        <v>20945333</v>
      </c>
      <c r="N26" s="55">
        <f>N27*N28</f>
        <v>53440000</v>
      </c>
      <c r="O26" s="118">
        <f>O27*O28</f>
        <v>56850000</v>
      </c>
      <c r="P26" s="65">
        <f>SUM(D26:O26)</f>
        <v>461561684</v>
      </c>
      <c r="Q26" s="66">
        <f>AVERAGE(D26:O26)</f>
        <v>38463473.666666664</v>
      </c>
    </row>
    <row r="27" spans="2:23" ht="21" customHeight="1" thickBot="1">
      <c r="B27" s="140"/>
      <c r="C27" s="57" t="s">
        <v>8</v>
      </c>
      <c r="D27" s="58">
        <f>'입고현황정리 2021'!AH5</f>
        <v>1378</v>
      </c>
      <c r="E27" s="59">
        <f>'입고현황정리 2021'!AH7</f>
        <v>1035</v>
      </c>
      <c r="F27" s="60">
        <f>'입고현황정리 2021'!AH9</f>
        <v>1564</v>
      </c>
      <c r="G27" s="60">
        <f>'입고현황정리 2021'!AH11</f>
        <v>1501</v>
      </c>
      <c r="H27" s="60">
        <f>'입고현황정리 2021'!AH13</f>
        <v>1288</v>
      </c>
      <c r="I27" s="60">
        <f>'입고현황정리 2021'!AH15</f>
        <v>1383</v>
      </c>
      <c r="J27" s="64">
        <f>'입고현황정리 2021'!AH17</f>
        <v>1388</v>
      </c>
      <c r="K27" s="64">
        <f>'입고현황정리 2021'!AH19+'입고현황정리 2021'!AM18</f>
        <v>1649</v>
      </c>
      <c r="L27" s="64">
        <f>'입고현황정리 2021'!AH21</f>
        <v>1721</v>
      </c>
      <c r="M27" s="60">
        <f>'입고현황정리 2021'!AH23</f>
        <v>683</v>
      </c>
      <c r="N27" s="64">
        <f>'입고현황정리 2021'!AH25</f>
        <v>1670</v>
      </c>
      <c r="O27" s="60">
        <f>'입고현황정리 2021'!AH27</f>
        <v>1895</v>
      </c>
      <c r="P27" s="65">
        <f t="shared" ref="P27:P33" si="0">SUM(D27:O27)</f>
        <v>17155</v>
      </c>
      <c r="Q27" s="66">
        <f t="shared" ref="Q27:Q33" si="1">AVERAGE(D27:O27)</f>
        <v>1429.5833333333333</v>
      </c>
      <c r="W27" s="47"/>
    </row>
    <row r="28" spans="2:23" s="13" customFormat="1" ht="21" customHeight="1" thickBot="1">
      <c r="B28" s="140"/>
      <c r="C28" s="57" t="s">
        <v>9</v>
      </c>
      <c r="D28" s="60">
        <f>'입고현황정리 2021'!AL5</f>
        <v>24930</v>
      </c>
      <c r="E28" s="60">
        <f>'입고현황정리 2021'!AL6</f>
        <v>26350</v>
      </c>
      <c r="F28" s="60">
        <f>'입고현황정리 2021'!AL8</f>
        <v>26350</v>
      </c>
      <c r="G28" s="60">
        <f>'입고현황정리 2021'!AL11</f>
        <v>24440</v>
      </c>
      <c r="H28" s="60">
        <f>'입고현황정리 2021'!AL12</f>
        <v>22889</v>
      </c>
      <c r="I28" s="60">
        <f>'입고현황정리 2021'!AL14</f>
        <v>24000</v>
      </c>
      <c r="J28" s="60">
        <f>'입고현황정리 2021'!AL17</f>
        <v>26488.9</v>
      </c>
      <c r="K28" s="60">
        <f>'입고현황정리 2021'!AL18</f>
        <v>27111.1</v>
      </c>
      <c r="L28" s="60">
        <f>'입고현황정리 2021'!AL20</f>
        <v>27111.1</v>
      </c>
      <c r="M28" s="60">
        <f>'입고현황정리 2021'!AL22</f>
        <v>30667</v>
      </c>
      <c r="N28" s="60">
        <f>'입고현황정리 2021'!AL24</f>
        <v>32000</v>
      </c>
      <c r="O28" s="60">
        <f>'입고현황정리 2021'!AL26</f>
        <v>30000</v>
      </c>
      <c r="P28" s="65">
        <f t="shared" si="0"/>
        <v>322337.09999999998</v>
      </c>
      <c r="Q28" s="66">
        <f t="shared" si="1"/>
        <v>26861.424999999999</v>
      </c>
    </row>
    <row r="29" spans="2:23" s="13" customFormat="1" ht="21" customHeight="1" thickBot="1">
      <c r="B29" s="141"/>
      <c r="C29" s="50" t="s">
        <v>13</v>
      </c>
      <c r="D29" s="61">
        <f>D26/20</f>
        <v>1717677</v>
      </c>
      <c r="E29" s="79">
        <f>E26/20</f>
        <v>1363612.5</v>
      </c>
      <c r="F29" s="61">
        <f>F26/20</f>
        <v>2060570</v>
      </c>
      <c r="G29" s="61">
        <f>G26/20</f>
        <v>1834222</v>
      </c>
      <c r="H29" s="61">
        <f t="shared" ref="H29:J29" si="2">H26/20</f>
        <v>1474051.6</v>
      </c>
      <c r="I29" s="61">
        <f t="shared" si="2"/>
        <v>1659600</v>
      </c>
      <c r="J29" s="61">
        <f t="shared" si="2"/>
        <v>1838328.9</v>
      </c>
      <c r="K29" s="61">
        <f>K26/20</f>
        <v>2235344.4500000002</v>
      </c>
      <c r="L29" s="61">
        <f>L26/20</f>
        <v>2332911.1</v>
      </c>
      <c r="M29" s="61">
        <f>M26/20</f>
        <v>1047266.65</v>
      </c>
      <c r="N29" s="61">
        <f t="shared" ref="N29:O29" si="3">N26/20</f>
        <v>2672000</v>
      </c>
      <c r="O29" s="61">
        <f t="shared" si="3"/>
        <v>2842500</v>
      </c>
      <c r="P29" s="65">
        <f t="shared" si="0"/>
        <v>23078084.199999999</v>
      </c>
      <c r="Q29" s="66">
        <f t="shared" si="1"/>
        <v>1923173.6833333333</v>
      </c>
    </row>
    <row r="30" spans="2:23" ht="21" customHeight="1" thickBot="1">
      <c r="B30" s="139" t="s">
        <v>73</v>
      </c>
      <c r="C30" s="53" t="s">
        <v>1</v>
      </c>
      <c r="D30" s="54">
        <v>28703880</v>
      </c>
      <c r="E30" s="54">
        <v>28816137</v>
      </c>
      <c r="F30" s="54">
        <v>30204639.300000004</v>
      </c>
      <c r="G30" s="54">
        <v>20916000</v>
      </c>
      <c r="H30" s="54">
        <v>19267902</v>
      </c>
      <c r="I30" s="54">
        <v>20002517</v>
      </c>
      <c r="J30" s="54">
        <v>20722560</v>
      </c>
      <c r="K30" s="54">
        <v>23754640</v>
      </c>
      <c r="L30" s="54">
        <v>23594000</v>
      </c>
      <c r="M30" s="54">
        <v>24871338</v>
      </c>
      <c r="N30" s="54">
        <v>27259220</v>
      </c>
      <c r="O30" s="54">
        <v>30931020</v>
      </c>
      <c r="P30" s="65">
        <f t="shared" si="0"/>
        <v>299043853.30000001</v>
      </c>
      <c r="Q30" s="66">
        <f t="shared" si="1"/>
        <v>24920321.108333334</v>
      </c>
    </row>
    <row r="31" spans="2:23" ht="21" customHeight="1" thickBot="1">
      <c r="B31" s="140"/>
      <c r="C31" s="57" t="s">
        <v>8</v>
      </c>
      <c r="D31" s="58">
        <v>1123</v>
      </c>
      <c r="E31" s="58">
        <v>1157.5999999999999</v>
      </c>
      <c r="F31" s="58">
        <v>1307</v>
      </c>
      <c r="G31" s="58">
        <v>1162</v>
      </c>
      <c r="H31" s="58">
        <v>918</v>
      </c>
      <c r="I31" s="58">
        <v>953</v>
      </c>
      <c r="J31" s="58">
        <v>1032</v>
      </c>
      <c r="K31" s="58">
        <v>1183</v>
      </c>
      <c r="L31" s="58">
        <v>1175</v>
      </c>
      <c r="M31" s="58">
        <v>1206</v>
      </c>
      <c r="N31" s="58">
        <v>1229</v>
      </c>
      <c r="O31" s="58">
        <v>1362</v>
      </c>
      <c r="P31" s="65">
        <f t="shared" si="0"/>
        <v>13807.6</v>
      </c>
      <c r="Q31" s="66">
        <f t="shared" si="1"/>
        <v>1150.6333333333334</v>
      </c>
    </row>
    <row r="32" spans="2:23" ht="21" customHeight="1" thickBot="1">
      <c r="B32" s="140"/>
      <c r="C32" s="57" t="s">
        <v>9</v>
      </c>
      <c r="D32" s="60">
        <v>25560</v>
      </c>
      <c r="E32" s="60">
        <v>24893.000172771252</v>
      </c>
      <c r="F32" s="60">
        <v>23109.900000000005</v>
      </c>
      <c r="G32" s="60">
        <v>16363.636</v>
      </c>
      <c r="H32" s="60">
        <v>20989</v>
      </c>
      <c r="I32" s="60">
        <v>20989</v>
      </c>
      <c r="J32" s="60">
        <v>20080</v>
      </c>
      <c r="K32" s="60">
        <v>20080</v>
      </c>
      <c r="L32" s="60">
        <v>20080</v>
      </c>
      <c r="M32" s="60">
        <v>20623</v>
      </c>
      <c r="N32" s="60">
        <v>22180</v>
      </c>
      <c r="O32" s="60">
        <v>22710</v>
      </c>
      <c r="P32" s="65">
        <f t="shared" si="0"/>
        <v>257657.53617277124</v>
      </c>
      <c r="Q32" s="66">
        <f t="shared" si="1"/>
        <v>21471.461347730936</v>
      </c>
    </row>
    <row r="33" spans="2:17" ht="21" customHeight="1" thickBot="1">
      <c r="B33" s="141"/>
      <c r="C33" s="51" t="s">
        <v>13</v>
      </c>
      <c r="D33" s="62">
        <v>1435194</v>
      </c>
      <c r="E33" s="62">
        <v>1440806.85</v>
      </c>
      <c r="F33" s="62">
        <v>1510231.9650000003</v>
      </c>
      <c r="G33" s="62">
        <v>1045800</v>
      </c>
      <c r="H33" s="62">
        <v>963395.1</v>
      </c>
      <c r="I33" s="62">
        <v>1000125.85</v>
      </c>
      <c r="J33" s="62">
        <v>1036128</v>
      </c>
      <c r="K33" s="62">
        <v>1187732</v>
      </c>
      <c r="L33" s="62">
        <v>1179700</v>
      </c>
      <c r="M33" s="62">
        <v>1243566.8999999999</v>
      </c>
      <c r="N33" s="62">
        <v>1362961</v>
      </c>
      <c r="O33" s="62">
        <v>1546551</v>
      </c>
      <c r="P33" s="65">
        <f t="shared" si="0"/>
        <v>14952192.665000001</v>
      </c>
      <c r="Q33" s="66">
        <f t="shared" si="1"/>
        <v>1246016.0554166667</v>
      </c>
    </row>
    <row r="34" spans="2:17" ht="21" customHeight="1">
      <c r="B34" s="63"/>
      <c r="C34" s="63"/>
      <c r="D34" s="31">
        <f>(D26-D30)/D30*1</f>
        <v>0.1968256556256506</v>
      </c>
      <c r="E34" s="31">
        <f>(E26-E30)/E30*1</f>
        <v>-5.3577167543310891E-2</v>
      </c>
      <c r="F34" s="31">
        <f t="shared" ref="F34:L34" si="4">(F26-F30)/F30*1</f>
        <v>0.36440629502898891</v>
      </c>
      <c r="G34" s="31">
        <f t="shared" si="4"/>
        <v>0.7538936699177663</v>
      </c>
      <c r="H34" s="31">
        <f t="shared" si="4"/>
        <v>0.5300592664421897</v>
      </c>
      <c r="I34" s="31">
        <f t="shared" si="4"/>
        <v>0.65939116562180644</v>
      </c>
      <c r="J34" s="31">
        <f t="shared" si="4"/>
        <v>0.77422953534698413</v>
      </c>
      <c r="K34" s="31">
        <f t="shared" si="4"/>
        <v>0.88202763754786428</v>
      </c>
      <c r="L34" s="31">
        <f t="shared" si="4"/>
        <v>0.9775460710350089</v>
      </c>
      <c r="M34" s="63"/>
      <c r="N34" s="63"/>
      <c r="O34" s="63"/>
      <c r="P34" s="63"/>
      <c r="Q34" s="63"/>
    </row>
    <row r="35" spans="2:17">
      <c r="E35" s="32"/>
    </row>
    <row r="36" spans="2:17">
      <c r="E36" s="32"/>
      <c r="F36" s="37">
        <f>F26/23168.06</f>
        <v>1778.8023684330926</v>
      </c>
      <c r="G36" s="37">
        <f>G26/23168.06</f>
        <v>1583.4057750195743</v>
      </c>
      <c r="J36">
        <f>J26/23300</f>
        <v>1577.9647210300429</v>
      </c>
      <c r="L36" s="37">
        <f>L26/23292</f>
        <v>2003.1865876695861</v>
      </c>
      <c r="M36" s="37">
        <f>M26/23295</f>
        <v>899.13427774200477</v>
      </c>
    </row>
    <row r="37" spans="2:17">
      <c r="E37" s="32"/>
    </row>
    <row r="39" spans="2:17">
      <c r="E39" s="32"/>
    </row>
  </sheetData>
  <mergeCells count="6">
    <mergeCell ref="B30:B33"/>
    <mergeCell ref="P2:Q2"/>
    <mergeCell ref="P3:Q8"/>
    <mergeCell ref="C1:Q1"/>
    <mergeCell ref="B26:B29"/>
    <mergeCell ref="B2:B24"/>
  </mergeCells>
  <phoneticPr fontId="1" type="noConversion"/>
  <pageMargins left="0.7" right="0.7" top="0.75" bottom="0.75" header="0.3" footer="0.3"/>
  <pageSetup orientation="portrait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4"/>
  <sheetViews>
    <sheetView showGridLines="0" zoomScale="70" zoomScaleNormal="7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H27" sqref="AH27"/>
    </sheetView>
  </sheetViews>
  <sheetFormatPr defaultRowHeight="15.75"/>
  <cols>
    <col min="1" max="1" width="8.7109375" style="7"/>
    <col min="2" max="2" width="13.140625" style="7" customWidth="1"/>
    <col min="3" max="33" width="4.7109375" customWidth="1"/>
    <col min="34" max="34" width="10.140625" customWidth="1"/>
    <col min="35" max="35" width="16.5703125" customWidth="1"/>
    <col min="36" max="37" width="16.5703125" style="18" customWidth="1"/>
    <col min="38" max="40" width="11" style="76" customWidth="1"/>
    <col min="41" max="41" width="14.85546875" bestFit="1" customWidth="1"/>
    <col min="42" max="42" width="15.42578125" customWidth="1"/>
  </cols>
  <sheetData>
    <row r="1" spans="1:41" ht="48.75" customHeight="1">
      <c r="A1" s="138" t="s">
        <v>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9"/>
    </row>
    <row r="2" spans="1:41" ht="18.75" customHeight="1" thickBo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9" t="s">
        <v>6</v>
      </c>
      <c r="AJ2" s="20">
        <v>23600</v>
      </c>
      <c r="AK2" s="20"/>
    </row>
    <row r="3" spans="1:41" s="5" customFormat="1" ht="25.5" customHeight="1">
      <c r="A3" s="16" t="s">
        <v>60</v>
      </c>
      <c r="B3" s="17"/>
      <c r="C3" s="38" t="s">
        <v>26</v>
      </c>
      <c r="D3" s="38" t="s">
        <v>27</v>
      </c>
      <c r="E3" s="38" t="s">
        <v>28</v>
      </c>
      <c r="F3" s="38" t="s">
        <v>29</v>
      </c>
      <c r="G3" s="38" t="s">
        <v>30</v>
      </c>
      <c r="H3" s="38" t="s">
        <v>31</v>
      </c>
      <c r="I3" s="38" t="s">
        <v>32</v>
      </c>
      <c r="J3" s="38" t="s">
        <v>33</v>
      </c>
      <c r="K3" s="38" t="s">
        <v>34</v>
      </c>
      <c r="L3" s="38" t="s">
        <v>35</v>
      </c>
      <c r="M3" s="38" t="s">
        <v>36</v>
      </c>
      <c r="N3" s="38" t="s">
        <v>37</v>
      </c>
      <c r="O3" s="38" t="s">
        <v>38</v>
      </c>
      <c r="P3" s="38" t="s">
        <v>39</v>
      </c>
      <c r="Q3" s="38" t="s">
        <v>40</v>
      </c>
      <c r="R3" s="38" t="s">
        <v>41</v>
      </c>
      <c r="S3" s="38" t="s">
        <v>42</v>
      </c>
      <c r="T3" s="38" t="s">
        <v>43</v>
      </c>
      <c r="U3" s="38" t="s">
        <v>44</v>
      </c>
      <c r="V3" s="38" t="s">
        <v>45</v>
      </c>
      <c r="W3" s="38" t="s">
        <v>46</v>
      </c>
      <c r="X3" s="38" t="s">
        <v>47</v>
      </c>
      <c r="Y3" s="38" t="s">
        <v>48</v>
      </c>
      <c r="Z3" s="38" t="s">
        <v>49</v>
      </c>
      <c r="AA3" s="38" t="s">
        <v>50</v>
      </c>
      <c r="AB3" s="38" t="s">
        <v>51</v>
      </c>
      <c r="AC3" s="38" t="s">
        <v>52</v>
      </c>
      <c r="AD3" s="38" t="s">
        <v>53</v>
      </c>
      <c r="AE3" s="38" t="s">
        <v>54</v>
      </c>
      <c r="AF3" s="38" t="s">
        <v>55</v>
      </c>
      <c r="AG3" s="38" t="s">
        <v>56</v>
      </c>
      <c r="AH3" s="29" t="s">
        <v>4</v>
      </c>
      <c r="AI3" s="26" t="s">
        <v>10</v>
      </c>
      <c r="AJ3" s="24" t="s">
        <v>83</v>
      </c>
      <c r="AK3" s="89" t="s">
        <v>58</v>
      </c>
      <c r="AL3" s="94" t="s">
        <v>84</v>
      </c>
      <c r="AM3" s="77"/>
      <c r="AN3" s="77"/>
    </row>
    <row r="4" spans="1:41" ht="29.25" customHeight="1">
      <c r="A4" s="129" t="s">
        <v>61</v>
      </c>
      <c r="B4" s="33" t="s">
        <v>59</v>
      </c>
      <c r="C4" s="14"/>
      <c r="D4" s="14"/>
      <c r="E4" s="14"/>
      <c r="F4" s="14">
        <v>4</v>
      </c>
      <c r="G4" s="14"/>
      <c r="H4" s="14"/>
      <c r="I4" s="14"/>
      <c r="J4" s="14">
        <v>6</v>
      </c>
      <c r="K4" s="14"/>
      <c r="L4" s="14"/>
      <c r="M4" s="14"/>
      <c r="N4" s="14">
        <v>4</v>
      </c>
      <c r="O4" s="14"/>
      <c r="P4" s="14"/>
      <c r="Q4" s="14">
        <v>4</v>
      </c>
      <c r="R4" s="14"/>
      <c r="S4" s="14"/>
      <c r="T4" s="14">
        <v>4</v>
      </c>
      <c r="U4" s="14"/>
      <c r="V4" s="14"/>
      <c r="W4" s="14">
        <v>6</v>
      </c>
      <c r="X4" s="14"/>
      <c r="Y4" s="14"/>
      <c r="Z4" s="14"/>
      <c r="AA4" s="14"/>
      <c r="AB4" s="14"/>
      <c r="AC4" s="14">
        <v>4</v>
      </c>
      <c r="AD4" s="14"/>
      <c r="AE4" s="14"/>
      <c r="AF4" s="14">
        <v>4</v>
      </c>
      <c r="AG4" s="68"/>
      <c r="AH4" s="30">
        <f>SUM(C4:AG4)</f>
        <v>36</v>
      </c>
      <c r="AI4" s="27">
        <f>AH4*45</f>
        <v>1620</v>
      </c>
      <c r="AJ4" s="22">
        <f>(AI4*AL4)</f>
        <v>40386600</v>
      </c>
      <c r="AK4" s="157">
        <f t="shared" ref="AK4" si="0">AJ4-AJ5</f>
        <v>34353540</v>
      </c>
      <c r="AL4" s="84">
        <v>24930</v>
      </c>
      <c r="AM4" s="78"/>
      <c r="AN4" s="78"/>
    </row>
    <row r="5" spans="1:41" ht="29.25" customHeight="1" thickBot="1">
      <c r="A5" s="130"/>
      <c r="B5" s="33" t="s">
        <v>57</v>
      </c>
      <c r="C5" s="11"/>
      <c r="D5" s="11"/>
      <c r="E5" s="11"/>
      <c r="F5" s="11">
        <v>28</v>
      </c>
      <c r="G5" s="11"/>
      <c r="H5" s="11"/>
      <c r="I5" s="11"/>
      <c r="J5" s="11">
        <v>41</v>
      </c>
      <c r="K5" s="11"/>
      <c r="L5" s="11"/>
      <c r="M5" s="11"/>
      <c r="N5" s="11">
        <v>36</v>
      </c>
      <c r="O5" s="11"/>
      <c r="P5" s="11"/>
      <c r="Q5" s="11">
        <v>35</v>
      </c>
      <c r="R5" s="11"/>
      <c r="S5" s="11"/>
      <c r="T5" s="11">
        <v>20</v>
      </c>
      <c r="U5" s="11"/>
      <c r="V5" s="11"/>
      <c r="W5" s="11">
        <v>46</v>
      </c>
      <c r="X5" s="11"/>
      <c r="Y5" s="11"/>
      <c r="Z5" s="11"/>
      <c r="AA5" s="11"/>
      <c r="AB5" s="11"/>
      <c r="AC5" s="11">
        <v>16</v>
      </c>
      <c r="AD5" s="11"/>
      <c r="AE5" s="11"/>
      <c r="AF5" s="11">
        <v>20</v>
      </c>
      <c r="AG5" s="12"/>
      <c r="AH5" s="36">
        <f>AI4-AI5</f>
        <v>1378</v>
      </c>
      <c r="AI5" s="28">
        <f t="shared" ref="AI5" si="1">SUM(C5:AG5)</f>
        <v>242</v>
      </c>
      <c r="AJ5" s="23">
        <f>(AI5*AL5)</f>
        <v>6033060</v>
      </c>
      <c r="AK5" s="159"/>
      <c r="AL5" s="84">
        <v>24930</v>
      </c>
      <c r="AM5" s="78"/>
      <c r="AN5" s="78"/>
    </row>
    <row r="6" spans="1:41" ht="29.25" customHeight="1">
      <c r="A6" s="129" t="s">
        <v>62</v>
      </c>
      <c r="B6" s="33" t="s">
        <v>59</v>
      </c>
      <c r="C6" s="10"/>
      <c r="D6" s="10">
        <v>4</v>
      </c>
      <c r="E6" s="10"/>
      <c r="F6" s="10"/>
      <c r="G6" s="10"/>
      <c r="H6" s="10">
        <v>6</v>
      </c>
      <c r="I6" s="10"/>
      <c r="J6" s="10"/>
      <c r="K6" s="10">
        <v>4</v>
      </c>
      <c r="L6" s="10"/>
      <c r="M6" s="10"/>
      <c r="N6" s="10"/>
      <c r="O6" s="10"/>
      <c r="P6" s="10"/>
      <c r="Q6" s="10"/>
      <c r="R6" s="10"/>
      <c r="S6" s="10"/>
      <c r="T6" s="10"/>
      <c r="U6" s="10">
        <v>6</v>
      </c>
      <c r="V6" s="10"/>
      <c r="W6" s="10"/>
      <c r="X6" s="10"/>
      <c r="Y6" s="10"/>
      <c r="Z6" s="10">
        <v>6</v>
      </c>
      <c r="AA6" s="10"/>
      <c r="AB6" s="10"/>
      <c r="AC6" s="10"/>
      <c r="AD6" s="10"/>
      <c r="AE6" s="10"/>
      <c r="AF6" s="10"/>
      <c r="AG6" s="8"/>
      <c r="AH6" s="30">
        <f t="shared" ref="AH6:AH24" si="2">SUM(C6:AG6)</f>
        <v>26</v>
      </c>
      <c r="AI6" s="27">
        <f>AH6*45</f>
        <v>1170</v>
      </c>
      <c r="AJ6" s="22">
        <f>(AI6*AL6)</f>
        <v>30829500</v>
      </c>
      <c r="AK6" s="90">
        <f>AJ6-AJ7</f>
        <v>27272250</v>
      </c>
      <c r="AL6" s="84">
        <v>26350</v>
      </c>
      <c r="AM6" s="78"/>
      <c r="AN6" s="78"/>
    </row>
    <row r="7" spans="1:41" ht="29.25" customHeight="1">
      <c r="A7" s="130"/>
      <c r="B7" s="33" t="s">
        <v>57</v>
      </c>
      <c r="C7" s="10"/>
      <c r="D7" s="10">
        <v>20</v>
      </c>
      <c r="E7" s="10"/>
      <c r="F7" s="10"/>
      <c r="G7" s="10"/>
      <c r="H7" s="10">
        <v>25</v>
      </c>
      <c r="I7" s="10"/>
      <c r="J7" s="10"/>
      <c r="K7" s="10">
        <v>16</v>
      </c>
      <c r="L7" s="10"/>
      <c r="M7" s="10"/>
      <c r="N7" s="10"/>
      <c r="O7" s="10"/>
      <c r="P7" s="10"/>
      <c r="Q7" s="10"/>
      <c r="R7" s="10"/>
      <c r="S7" s="10"/>
      <c r="T7" s="10"/>
      <c r="U7" s="10">
        <v>38</v>
      </c>
      <c r="V7" s="10"/>
      <c r="W7" s="10"/>
      <c r="X7" s="10"/>
      <c r="Y7" s="10"/>
      <c r="Z7" s="10">
        <v>36</v>
      </c>
      <c r="AA7" s="10"/>
      <c r="AB7" s="10"/>
      <c r="AC7" s="10"/>
      <c r="AD7" s="10"/>
      <c r="AE7" s="10"/>
      <c r="AF7" s="10"/>
      <c r="AG7" s="8"/>
      <c r="AH7" s="36">
        <f>AI6-AI7</f>
        <v>1035</v>
      </c>
      <c r="AI7" s="27">
        <f>SUM(C7:AG7)</f>
        <v>135</v>
      </c>
      <c r="AJ7" s="22">
        <f t="shared" ref="AJ7:AJ26" si="3">(AI7*AL7)</f>
        <v>3557250</v>
      </c>
      <c r="AK7" s="91"/>
      <c r="AL7" s="83">
        <v>26350</v>
      </c>
      <c r="AM7" s="81"/>
      <c r="AN7" s="81"/>
    </row>
    <row r="8" spans="1:41" ht="29.25" customHeight="1">
      <c r="A8" s="129" t="s">
        <v>63</v>
      </c>
      <c r="B8" s="33" t="s">
        <v>59</v>
      </c>
      <c r="C8" s="10">
        <v>4</v>
      </c>
      <c r="D8" s="10"/>
      <c r="E8" s="10"/>
      <c r="F8" s="10">
        <v>4</v>
      </c>
      <c r="G8" s="10"/>
      <c r="H8" s="10"/>
      <c r="I8" s="10">
        <v>6</v>
      </c>
      <c r="J8" s="10"/>
      <c r="K8" s="10"/>
      <c r="L8" s="10"/>
      <c r="M8" s="10"/>
      <c r="N8" s="10">
        <v>4</v>
      </c>
      <c r="O8" s="10"/>
      <c r="P8" s="10"/>
      <c r="Q8" s="10"/>
      <c r="R8" s="10">
        <v>4</v>
      </c>
      <c r="S8" s="10"/>
      <c r="T8" s="10"/>
      <c r="U8" s="10"/>
      <c r="V8" s="10">
        <v>6</v>
      </c>
      <c r="W8" s="10"/>
      <c r="X8" s="10"/>
      <c r="Y8" s="10">
        <v>4</v>
      </c>
      <c r="Z8" s="10"/>
      <c r="AA8" s="10"/>
      <c r="AB8" s="10"/>
      <c r="AC8" s="10">
        <v>6</v>
      </c>
      <c r="AD8" s="10"/>
      <c r="AE8" s="10"/>
      <c r="AF8" s="10"/>
      <c r="AG8" s="8"/>
      <c r="AH8" s="30">
        <f t="shared" si="2"/>
        <v>38</v>
      </c>
      <c r="AI8" s="27">
        <f>AH8*45</f>
        <v>1710</v>
      </c>
      <c r="AJ8" s="22">
        <f>(AI8*AL8)</f>
        <v>45058500</v>
      </c>
      <c r="AK8" s="157">
        <f>AJ8-AJ9</f>
        <v>41211400</v>
      </c>
      <c r="AL8" s="83">
        <v>26350</v>
      </c>
      <c r="AM8" s="81"/>
      <c r="AN8" s="81"/>
      <c r="AO8" s="37"/>
    </row>
    <row r="9" spans="1:41" ht="29.25" customHeight="1">
      <c r="A9" s="130"/>
      <c r="B9" s="33" t="s">
        <v>57</v>
      </c>
      <c r="C9" s="10">
        <v>14</v>
      </c>
      <c r="D9" s="10"/>
      <c r="E9" s="10"/>
      <c r="F9" s="10">
        <v>12</v>
      </c>
      <c r="G9" s="10"/>
      <c r="H9" s="10"/>
      <c r="I9" s="10">
        <v>20</v>
      </c>
      <c r="J9" s="10"/>
      <c r="K9" s="10"/>
      <c r="L9" s="10"/>
      <c r="M9" s="10"/>
      <c r="N9" s="10">
        <v>12</v>
      </c>
      <c r="O9" s="10"/>
      <c r="P9" s="10"/>
      <c r="Q9" s="10"/>
      <c r="R9" s="10">
        <v>13</v>
      </c>
      <c r="S9" s="10"/>
      <c r="T9" s="10"/>
      <c r="U9" s="10"/>
      <c r="V9" s="10">
        <v>22</v>
      </c>
      <c r="W9" s="10"/>
      <c r="X9" s="10"/>
      <c r="Y9" s="10">
        <v>19</v>
      </c>
      <c r="Z9" s="10"/>
      <c r="AA9" s="10"/>
      <c r="AB9" s="10"/>
      <c r="AC9" s="10">
        <v>34</v>
      </c>
      <c r="AD9" s="10"/>
      <c r="AE9" s="10"/>
      <c r="AF9" s="10"/>
      <c r="AG9" s="8"/>
      <c r="AH9" s="36">
        <f>AI8-AI9</f>
        <v>1564</v>
      </c>
      <c r="AI9" s="27">
        <f>SUM(C9:AG9)</f>
        <v>146</v>
      </c>
      <c r="AJ9" s="22">
        <f t="shared" si="3"/>
        <v>3847100</v>
      </c>
      <c r="AK9" s="158"/>
      <c r="AL9" s="83">
        <v>26350</v>
      </c>
      <c r="AM9" s="81"/>
      <c r="AN9" s="81"/>
      <c r="AO9" s="37"/>
    </row>
    <row r="10" spans="1:41" ht="29.25" customHeight="1">
      <c r="A10" s="129" t="s">
        <v>64</v>
      </c>
      <c r="B10" s="33" t="s">
        <v>59</v>
      </c>
      <c r="C10" s="10">
        <v>4</v>
      </c>
      <c r="D10" s="10"/>
      <c r="E10" s="10">
        <v>4</v>
      </c>
      <c r="F10" s="10"/>
      <c r="G10" s="10"/>
      <c r="H10" s="10"/>
      <c r="I10" s="10">
        <v>4</v>
      </c>
      <c r="J10" s="10"/>
      <c r="K10" s="10"/>
      <c r="L10" s="10">
        <v>4</v>
      </c>
      <c r="M10" s="10"/>
      <c r="N10" s="10"/>
      <c r="O10" s="10"/>
      <c r="P10" s="10"/>
      <c r="Q10" s="10">
        <v>4</v>
      </c>
      <c r="R10" s="10"/>
      <c r="S10" s="10"/>
      <c r="T10" s="10"/>
      <c r="U10" s="10">
        <v>4</v>
      </c>
      <c r="V10" s="10"/>
      <c r="W10" s="10"/>
      <c r="X10" s="10">
        <v>4</v>
      </c>
      <c r="Y10" s="10"/>
      <c r="Z10" s="10"/>
      <c r="AA10" s="10"/>
      <c r="AB10" s="10">
        <v>4</v>
      </c>
      <c r="AC10" s="10"/>
      <c r="AD10" s="10"/>
      <c r="AE10" s="10">
        <v>4</v>
      </c>
      <c r="AF10" s="10"/>
      <c r="AG10" s="8"/>
      <c r="AH10" s="30">
        <f t="shared" si="2"/>
        <v>36</v>
      </c>
      <c r="AI10" s="27">
        <f>AH10*45</f>
        <v>1620</v>
      </c>
      <c r="AJ10" s="22">
        <f t="shared" si="3"/>
        <v>39592800</v>
      </c>
      <c r="AK10" s="157">
        <f>AJ10-AJ11</f>
        <v>36684440</v>
      </c>
      <c r="AL10" s="83">
        <v>24440</v>
      </c>
      <c r="AM10" s="81"/>
      <c r="AN10" s="81"/>
    </row>
    <row r="11" spans="1:41" ht="29.25" customHeight="1">
      <c r="A11" s="130"/>
      <c r="B11" s="33" t="s">
        <v>57</v>
      </c>
      <c r="C11" s="10">
        <v>16</v>
      </c>
      <c r="D11" s="10"/>
      <c r="E11" s="10">
        <v>21</v>
      </c>
      <c r="F11" s="10"/>
      <c r="G11" s="10"/>
      <c r="H11" s="10"/>
      <c r="I11" s="10">
        <v>8</v>
      </c>
      <c r="J11" s="10"/>
      <c r="K11" s="10"/>
      <c r="L11" s="10">
        <v>14</v>
      </c>
      <c r="M11" s="10"/>
      <c r="N11" s="10"/>
      <c r="O11" s="10"/>
      <c r="P11" s="10"/>
      <c r="Q11" s="10">
        <v>14</v>
      </c>
      <c r="R11" s="10"/>
      <c r="S11" s="10"/>
      <c r="T11" s="10"/>
      <c r="U11" s="10">
        <v>12</v>
      </c>
      <c r="V11" s="10"/>
      <c r="W11" s="10"/>
      <c r="X11" s="10">
        <v>10</v>
      </c>
      <c r="Y11" s="10"/>
      <c r="Z11" s="10"/>
      <c r="AA11" s="10"/>
      <c r="AB11" s="10">
        <v>6</v>
      </c>
      <c r="AC11" s="10"/>
      <c r="AD11" s="10"/>
      <c r="AE11" s="10">
        <v>18</v>
      </c>
      <c r="AF11" s="10"/>
      <c r="AG11" s="8"/>
      <c r="AH11" s="36">
        <f>AI10-AI11</f>
        <v>1501</v>
      </c>
      <c r="AI11" s="27">
        <f t="shared" ref="AI11" si="4">SUM(C11:AG11)</f>
        <v>119</v>
      </c>
      <c r="AJ11" s="22">
        <f t="shared" si="3"/>
        <v>2908360</v>
      </c>
      <c r="AK11" s="158"/>
      <c r="AL11" s="83">
        <v>24440</v>
      </c>
      <c r="AM11" s="81"/>
      <c r="AN11" s="81"/>
    </row>
    <row r="12" spans="1:41" ht="29.25" customHeight="1">
      <c r="A12" s="129" t="s">
        <v>65</v>
      </c>
      <c r="B12" s="33" t="s">
        <v>59</v>
      </c>
      <c r="C12" s="10"/>
      <c r="D12" s="10"/>
      <c r="E12" s="10"/>
      <c r="F12" s="10"/>
      <c r="G12" s="10">
        <v>4</v>
      </c>
      <c r="H12" s="10"/>
      <c r="I12" s="10"/>
      <c r="J12" s="10">
        <v>4</v>
      </c>
      <c r="K12" s="10"/>
      <c r="L12" s="10"/>
      <c r="M12" s="10">
        <v>2</v>
      </c>
      <c r="N12" s="10"/>
      <c r="O12" s="10"/>
      <c r="P12" s="10">
        <v>2</v>
      </c>
      <c r="Q12" s="10"/>
      <c r="R12" s="10"/>
      <c r="S12" s="10"/>
      <c r="T12" s="10">
        <v>6</v>
      </c>
      <c r="U12" s="10"/>
      <c r="V12" s="10"/>
      <c r="W12" s="10"/>
      <c r="X12" s="10">
        <v>6</v>
      </c>
      <c r="Y12" s="10"/>
      <c r="Z12" s="10"/>
      <c r="AA12" s="10"/>
      <c r="AB12" s="10"/>
      <c r="AC12" s="10">
        <v>4</v>
      </c>
      <c r="AD12" s="10"/>
      <c r="AE12" s="10"/>
      <c r="AF12" s="10"/>
      <c r="AG12" s="8">
        <v>4</v>
      </c>
      <c r="AH12" s="30">
        <f t="shared" si="2"/>
        <v>32</v>
      </c>
      <c r="AI12" s="27">
        <f>AH12*45</f>
        <v>1440</v>
      </c>
      <c r="AJ12" s="22">
        <f t="shared" si="3"/>
        <v>32960160</v>
      </c>
      <c r="AK12" s="157">
        <f t="shared" ref="AK12" si="5">AJ12-AJ13</f>
        <v>29481032</v>
      </c>
      <c r="AL12" s="83">
        <v>22889</v>
      </c>
      <c r="AM12" s="81"/>
      <c r="AN12" s="81"/>
    </row>
    <row r="13" spans="1:41" ht="29.25" customHeight="1">
      <c r="A13" s="130"/>
      <c r="B13" s="33" t="s">
        <v>57</v>
      </c>
      <c r="C13" s="10"/>
      <c r="D13" s="10"/>
      <c r="E13" s="10"/>
      <c r="F13" s="10"/>
      <c r="G13" s="10">
        <v>10</v>
      </c>
      <c r="H13" s="10"/>
      <c r="I13" s="10"/>
      <c r="J13" s="10">
        <v>38</v>
      </c>
      <c r="K13" s="10"/>
      <c r="L13" s="10"/>
      <c r="M13" s="10">
        <v>10</v>
      </c>
      <c r="N13" s="10"/>
      <c r="O13" s="10"/>
      <c r="P13" s="10">
        <v>18</v>
      </c>
      <c r="Q13" s="10"/>
      <c r="R13" s="10"/>
      <c r="S13" s="10"/>
      <c r="T13" s="10">
        <v>27</v>
      </c>
      <c r="U13" s="10"/>
      <c r="V13" s="10"/>
      <c r="W13" s="10"/>
      <c r="X13" s="10">
        <v>27</v>
      </c>
      <c r="Y13" s="10"/>
      <c r="Z13" s="10"/>
      <c r="AA13" s="10"/>
      <c r="AB13" s="10"/>
      <c r="AC13" s="10">
        <v>12</v>
      </c>
      <c r="AD13" s="10"/>
      <c r="AE13" s="10"/>
      <c r="AF13" s="10"/>
      <c r="AG13" s="8">
        <v>10</v>
      </c>
      <c r="AH13" s="36">
        <f>AI12-AI13</f>
        <v>1288</v>
      </c>
      <c r="AI13" s="27">
        <f t="shared" ref="AI13" si="6">SUM(C13:AG13)</f>
        <v>152</v>
      </c>
      <c r="AJ13" s="22">
        <f t="shared" si="3"/>
        <v>3479128</v>
      </c>
      <c r="AK13" s="158"/>
      <c r="AL13" s="83">
        <v>22889</v>
      </c>
      <c r="AM13" s="81"/>
      <c r="AN13" s="81"/>
    </row>
    <row r="14" spans="1:41" ht="29.25" customHeight="1">
      <c r="A14" s="129" t="s">
        <v>66</v>
      </c>
      <c r="B14" s="33" t="s">
        <v>59</v>
      </c>
      <c r="C14" s="10"/>
      <c r="D14" s="10"/>
      <c r="E14" s="10"/>
      <c r="F14" s="10">
        <v>4</v>
      </c>
      <c r="G14" s="10"/>
      <c r="H14" s="10"/>
      <c r="I14" s="10">
        <v>4</v>
      </c>
      <c r="J14" s="10"/>
      <c r="K14" s="10">
        <v>4</v>
      </c>
      <c r="L14" s="10"/>
      <c r="M14" s="10"/>
      <c r="N14" s="10"/>
      <c r="O14" s="10">
        <v>4</v>
      </c>
      <c r="P14" s="10"/>
      <c r="Q14" s="10">
        <v>4</v>
      </c>
      <c r="R14" s="10"/>
      <c r="S14" s="10"/>
      <c r="T14" s="10"/>
      <c r="U14" s="10">
        <v>4</v>
      </c>
      <c r="V14" s="10"/>
      <c r="W14" s="10"/>
      <c r="X14" s="10"/>
      <c r="Y14" s="10">
        <v>4</v>
      </c>
      <c r="Z14" s="10"/>
      <c r="AA14" s="10"/>
      <c r="AB14" s="10">
        <v>4</v>
      </c>
      <c r="AC14" s="10"/>
      <c r="AD14" s="10"/>
      <c r="AE14" s="10"/>
      <c r="AF14" s="10"/>
      <c r="AG14" s="8"/>
      <c r="AH14" s="30">
        <f t="shared" si="2"/>
        <v>32</v>
      </c>
      <c r="AI14" s="27">
        <f>AH14*45</f>
        <v>1440</v>
      </c>
      <c r="AJ14" s="22">
        <f t="shared" si="3"/>
        <v>34560000</v>
      </c>
      <c r="AK14" s="157">
        <f t="shared" ref="AK14" si="7">AJ14-AJ15</f>
        <v>33192000</v>
      </c>
      <c r="AL14" s="83">
        <v>24000</v>
      </c>
      <c r="AM14" s="81"/>
      <c r="AN14" s="81"/>
    </row>
    <row r="15" spans="1:41" ht="29.25" customHeight="1">
      <c r="A15" s="130"/>
      <c r="B15" s="33" t="s">
        <v>57</v>
      </c>
      <c r="C15" s="10"/>
      <c r="D15" s="10"/>
      <c r="E15" s="10"/>
      <c r="F15" s="10">
        <v>6</v>
      </c>
      <c r="G15" s="10"/>
      <c r="H15" s="10"/>
      <c r="I15" s="10">
        <v>12</v>
      </c>
      <c r="J15" s="10"/>
      <c r="K15" s="10">
        <v>8</v>
      </c>
      <c r="L15" s="10"/>
      <c r="M15" s="10"/>
      <c r="N15" s="10"/>
      <c r="O15" s="10">
        <v>8</v>
      </c>
      <c r="P15" s="10"/>
      <c r="Q15" s="10">
        <v>8</v>
      </c>
      <c r="R15" s="10"/>
      <c r="S15" s="10"/>
      <c r="T15" s="10"/>
      <c r="U15" s="10">
        <v>7</v>
      </c>
      <c r="V15" s="10"/>
      <c r="W15" s="10"/>
      <c r="X15" s="10"/>
      <c r="Y15" s="10">
        <v>2</v>
      </c>
      <c r="Z15" s="10"/>
      <c r="AA15" s="10"/>
      <c r="AB15" s="10">
        <v>6</v>
      </c>
      <c r="AC15" s="10"/>
      <c r="AD15" s="10"/>
      <c r="AE15" s="10"/>
      <c r="AF15" s="10"/>
      <c r="AG15" s="8"/>
      <c r="AH15" s="36">
        <f>AI14-AI15</f>
        <v>1383</v>
      </c>
      <c r="AI15" s="27">
        <f t="shared" ref="AI15" si="8">SUM(C15:AG15)</f>
        <v>57</v>
      </c>
      <c r="AJ15" s="22">
        <f t="shared" si="3"/>
        <v>1368000</v>
      </c>
      <c r="AK15" s="158"/>
      <c r="AL15" s="83">
        <v>24000</v>
      </c>
      <c r="AM15" s="81"/>
      <c r="AN15" s="81"/>
      <c r="AO15" s="39"/>
    </row>
    <row r="16" spans="1:41" ht="29.25" customHeight="1">
      <c r="A16" s="129" t="s">
        <v>67</v>
      </c>
      <c r="B16" s="33" t="s">
        <v>59</v>
      </c>
      <c r="C16" s="95">
        <v>4</v>
      </c>
      <c r="D16" s="95"/>
      <c r="E16" s="95"/>
      <c r="F16" s="95"/>
      <c r="G16" s="95">
        <v>4</v>
      </c>
      <c r="H16" s="95"/>
      <c r="I16" s="95"/>
      <c r="J16" s="95">
        <v>4</v>
      </c>
      <c r="K16" s="95"/>
      <c r="L16" s="95"/>
      <c r="M16" s="95"/>
      <c r="N16" s="95"/>
      <c r="O16" s="95">
        <v>4</v>
      </c>
      <c r="P16" s="95"/>
      <c r="Q16" s="95"/>
      <c r="R16" s="95">
        <v>4</v>
      </c>
      <c r="S16" s="95"/>
      <c r="T16" s="95"/>
      <c r="U16" s="95"/>
      <c r="V16" s="95"/>
      <c r="W16" s="95">
        <v>4</v>
      </c>
      <c r="X16" s="95"/>
      <c r="Y16" s="95"/>
      <c r="Z16" s="95">
        <v>4</v>
      </c>
      <c r="AA16" s="95"/>
      <c r="AB16" s="95"/>
      <c r="AC16" s="95">
        <v>4</v>
      </c>
      <c r="AD16" s="95"/>
      <c r="AE16" s="95"/>
      <c r="AF16" s="95"/>
      <c r="AG16" s="96"/>
      <c r="AH16" s="30">
        <f t="shared" si="2"/>
        <v>32</v>
      </c>
      <c r="AI16" s="27">
        <f>AH16*45</f>
        <v>1440</v>
      </c>
      <c r="AJ16" s="22">
        <f t="shared" si="3"/>
        <v>38144016</v>
      </c>
      <c r="AK16" s="157">
        <f t="shared" ref="AK16" si="9">AJ16-AJ17</f>
        <v>36766593.200000003</v>
      </c>
      <c r="AL16" s="83">
        <v>26488.9</v>
      </c>
      <c r="AM16" s="81"/>
      <c r="AN16" s="81"/>
    </row>
    <row r="17" spans="1:44" ht="29.25" customHeight="1">
      <c r="A17" s="160"/>
      <c r="B17" s="97" t="s">
        <v>57</v>
      </c>
      <c r="C17" s="98">
        <v>5</v>
      </c>
      <c r="D17" s="98"/>
      <c r="E17" s="98"/>
      <c r="F17" s="95"/>
      <c r="G17" s="95">
        <v>0</v>
      </c>
      <c r="H17" s="95"/>
      <c r="I17" s="95"/>
      <c r="J17" s="95">
        <v>8</v>
      </c>
      <c r="K17" s="95"/>
      <c r="L17" s="98"/>
      <c r="M17" s="95"/>
      <c r="N17" s="98"/>
      <c r="O17" s="98">
        <v>4</v>
      </c>
      <c r="P17" s="98"/>
      <c r="Q17" s="95"/>
      <c r="R17" s="95">
        <v>10</v>
      </c>
      <c r="S17" s="95"/>
      <c r="T17" s="98"/>
      <c r="U17" s="98"/>
      <c r="V17" s="98"/>
      <c r="W17" s="98">
        <v>10</v>
      </c>
      <c r="X17" s="98"/>
      <c r="Y17" s="98"/>
      <c r="Z17" s="98">
        <v>10</v>
      </c>
      <c r="AA17" s="98"/>
      <c r="AB17" s="98"/>
      <c r="AC17" s="95">
        <v>5</v>
      </c>
      <c r="AD17" s="95"/>
      <c r="AE17" s="95"/>
      <c r="AF17" s="95"/>
      <c r="AG17" s="95"/>
      <c r="AH17" s="105">
        <f>AI16-AI17</f>
        <v>1388</v>
      </c>
      <c r="AI17" s="103">
        <f t="shared" ref="AI17" si="10">SUM(C17:AG17)</f>
        <v>52</v>
      </c>
      <c r="AJ17" s="22">
        <f t="shared" si="3"/>
        <v>1377422.8</v>
      </c>
      <c r="AK17" s="165"/>
      <c r="AL17" s="99">
        <v>26488.9</v>
      </c>
      <c r="AM17" s="92" t="s">
        <v>79</v>
      </c>
      <c r="AN17" s="85" t="s">
        <v>80</v>
      </c>
      <c r="AO17" s="86" t="s">
        <v>81</v>
      </c>
      <c r="AP17" s="167" t="s">
        <v>82</v>
      </c>
      <c r="AQ17" s="168"/>
      <c r="AR17" s="169"/>
    </row>
    <row r="18" spans="1:44" ht="29.25" customHeight="1">
      <c r="A18" s="161" t="s">
        <v>68</v>
      </c>
      <c r="B18" s="114" t="s">
        <v>59</v>
      </c>
      <c r="C18" s="115">
        <v>6</v>
      </c>
      <c r="D18" s="115"/>
      <c r="E18" s="115"/>
      <c r="F18" s="116"/>
      <c r="G18" s="116">
        <v>4</v>
      </c>
      <c r="H18" s="116"/>
      <c r="I18" s="116"/>
      <c r="J18" s="116"/>
      <c r="K18" s="116">
        <v>4</v>
      </c>
      <c r="L18" s="115"/>
      <c r="M18" s="116"/>
      <c r="N18" s="115"/>
      <c r="O18" s="115">
        <v>4</v>
      </c>
      <c r="P18" s="115"/>
      <c r="Q18" s="116"/>
      <c r="R18" s="116">
        <v>4</v>
      </c>
      <c r="S18" s="116"/>
      <c r="T18" s="115">
        <v>4</v>
      </c>
      <c r="U18" s="115"/>
      <c r="V18" s="115"/>
      <c r="W18" s="115">
        <v>4</v>
      </c>
      <c r="X18" s="115"/>
      <c r="Y18" s="115"/>
      <c r="Z18" s="115"/>
      <c r="AA18" s="115">
        <v>4</v>
      </c>
      <c r="AB18" s="115"/>
      <c r="AC18" s="116"/>
      <c r="AD18" s="116"/>
      <c r="AE18" s="116"/>
      <c r="AF18" s="116">
        <v>4</v>
      </c>
      <c r="AG18" s="116"/>
      <c r="AH18" s="104">
        <f t="shared" ref="AH18:AH20" si="11">SUM(C18:AG18)</f>
        <v>38</v>
      </c>
      <c r="AI18" s="106">
        <f>(AH18*45)+(AB18*12)</f>
        <v>1710</v>
      </c>
      <c r="AJ18" s="107">
        <f t="shared" si="3"/>
        <v>46359981</v>
      </c>
      <c r="AK18" s="108">
        <f>(AJ18-AJ19)+AO18</f>
        <v>44706870.700000003</v>
      </c>
      <c r="AL18" s="83">
        <v>27111.1</v>
      </c>
      <c r="AM18" s="93">
        <v>12</v>
      </c>
      <c r="AN18" s="87">
        <v>27166.1</v>
      </c>
      <c r="AO18" s="88">
        <v>326000</v>
      </c>
      <c r="AP18" s="166" t="s">
        <v>78</v>
      </c>
      <c r="AQ18" s="166"/>
      <c r="AR18" s="166"/>
    </row>
    <row r="19" spans="1:44" ht="29.25" customHeight="1">
      <c r="A19" s="162"/>
      <c r="B19" s="97" t="s">
        <v>57</v>
      </c>
      <c r="C19" s="117">
        <v>7</v>
      </c>
      <c r="D19" s="117"/>
      <c r="E19" s="117"/>
      <c r="F19" s="117"/>
      <c r="G19" s="117">
        <v>2</v>
      </c>
      <c r="H19" s="117"/>
      <c r="I19" s="117"/>
      <c r="J19" s="117"/>
      <c r="K19" s="117">
        <v>7</v>
      </c>
      <c r="L19" s="117"/>
      <c r="M19" s="117"/>
      <c r="N19" s="117"/>
      <c r="O19" s="117">
        <v>6</v>
      </c>
      <c r="P19" s="117"/>
      <c r="Q19" s="115"/>
      <c r="R19" s="117">
        <v>12</v>
      </c>
      <c r="S19" s="117"/>
      <c r="T19" s="117">
        <v>22</v>
      </c>
      <c r="U19" s="117"/>
      <c r="V19" s="117"/>
      <c r="W19" s="117">
        <v>6</v>
      </c>
      <c r="X19" s="117"/>
      <c r="Y19" s="117"/>
      <c r="Z19" s="117"/>
      <c r="AA19" s="117">
        <v>7</v>
      </c>
      <c r="AB19" s="117"/>
      <c r="AC19" s="117"/>
      <c r="AD19" s="117"/>
      <c r="AE19" s="117"/>
      <c r="AF19" s="117">
        <v>4</v>
      </c>
      <c r="AG19" s="117"/>
      <c r="AH19" s="112">
        <f>AI18-AI19</f>
        <v>1637</v>
      </c>
      <c r="AI19" s="106">
        <f t="shared" ref="AI19" si="12">SUM(C19:AG19)</f>
        <v>73</v>
      </c>
      <c r="AJ19" s="111">
        <f>(AI19*AL19)</f>
        <v>1979110.2999999998</v>
      </c>
      <c r="AK19" s="110"/>
      <c r="AL19" s="83">
        <v>27111.1</v>
      </c>
      <c r="AM19" s="109"/>
      <c r="AN19" s="78"/>
    </row>
    <row r="20" spans="1:44" ht="29.25" customHeight="1">
      <c r="A20" s="160" t="s">
        <v>69</v>
      </c>
      <c r="B20" s="114" t="s">
        <v>59</v>
      </c>
      <c r="C20" s="10"/>
      <c r="D20" s="10">
        <v>4</v>
      </c>
      <c r="E20" s="10"/>
      <c r="F20" s="10">
        <v>4</v>
      </c>
      <c r="G20" s="10"/>
      <c r="H20" s="10"/>
      <c r="I20" s="10">
        <v>4</v>
      </c>
      <c r="J20" s="10"/>
      <c r="K20" s="10"/>
      <c r="L20" s="10">
        <v>4</v>
      </c>
      <c r="M20" s="10"/>
      <c r="N20" s="10"/>
      <c r="O20" s="10"/>
      <c r="P20" s="10">
        <v>4</v>
      </c>
      <c r="Q20" s="100"/>
      <c r="R20" s="10"/>
      <c r="S20" s="10">
        <v>4</v>
      </c>
      <c r="T20" s="10"/>
      <c r="U20" s="10"/>
      <c r="V20" s="10">
        <v>4</v>
      </c>
      <c r="W20" s="10"/>
      <c r="X20" s="10"/>
      <c r="Y20" s="10">
        <v>4</v>
      </c>
      <c r="Z20" s="10"/>
      <c r="AA20" s="10"/>
      <c r="AB20" s="10"/>
      <c r="AC20" s="10">
        <v>4</v>
      </c>
      <c r="AD20" s="10"/>
      <c r="AE20" s="10"/>
      <c r="AF20" s="10">
        <v>4</v>
      </c>
      <c r="AG20" s="10"/>
      <c r="AH20" s="113">
        <f t="shared" si="11"/>
        <v>40</v>
      </c>
      <c r="AI20" s="101">
        <f>AH20*45</f>
        <v>1800</v>
      </c>
      <c r="AJ20" s="75">
        <f t="shared" si="3"/>
        <v>48799980</v>
      </c>
      <c r="AK20" s="155">
        <f t="shared" ref="AK20" si="13">AJ20-AJ21</f>
        <v>46658203.100000001</v>
      </c>
      <c r="AL20" s="102">
        <v>27111.1</v>
      </c>
      <c r="AM20" s="78"/>
      <c r="AN20" s="78"/>
    </row>
    <row r="21" spans="1:44" ht="29.25" customHeight="1">
      <c r="A21" s="130"/>
      <c r="B21" s="33" t="s">
        <v>57</v>
      </c>
      <c r="C21" s="10"/>
      <c r="D21" s="10">
        <v>6</v>
      </c>
      <c r="E21" s="10"/>
      <c r="F21" s="10">
        <v>13</v>
      </c>
      <c r="G21" s="10"/>
      <c r="H21" s="10"/>
      <c r="I21" s="10">
        <v>10</v>
      </c>
      <c r="J21" s="10"/>
      <c r="K21" s="10"/>
      <c r="L21" s="10">
        <v>10</v>
      </c>
      <c r="M21" s="10"/>
      <c r="N21" s="10"/>
      <c r="O21" s="10"/>
      <c r="P21" s="10">
        <v>6</v>
      </c>
      <c r="Q21" s="10"/>
      <c r="R21" s="10"/>
      <c r="S21" s="10">
        <v>10</v>
      </c>
      <c r="T21" s="10"/>
      <c r="U21" s="10"/>
      <c r="V21" s="10">
        <v>6</v>
      </c>
      <c r="W21" s="10"/>
      <c r="X21" s="10"/>
      <c r="Y21" s="10">
        <v>6</v>
      </c>
      <c r="Z21" s="10"/>
      <c r="AA21" s="10"/>
      <c r="AB21" s="10"/>
      <c r="AC21" s="10">
        <v>4</v>
      </c>
      <c r="AD21" s="10"/>
      <c r="AE21" s="10"/>
      <c r="AF21" s="10">
        <v>8</v>
      </c>
      <c r="AG21" s="46"/>
      <c r="AH21" s="36">
        <f>AI20-AI21</f>
        <v>1721</v>
      </c>
      <c r="AI21" s="27">
        <f t="shared" ref="AI21" si="14">SUM(C21:AG21)</f>
        <v>79</v>
      </c>
      <c r="AJ21" s="22">
        <f t="shared" si="3"/>
        <v>2141776.9</v>
      </c>
      <c r="AK21" s="156"/>
      <c r="AL21" s="84">
        <v>27111.1</v>
      </c>
      <c r="AM21" s="78"/>
      <c r="AN21" s="78"/>
      <c r="AO21" s="82"/>
    </row>
    <row r="22" spans="1:44" ht="29.25" customHeight="1">
      <c r="A22" s="129" t="s">
        <v>70</v>
      </c>
      <c r="B22" s="33" t="s">
        <v>59</v>
      </c>
      <c r="C22" s="10"/>
      <c r="D22" s="10"/>
      <c r="E22" s="10"/>
      <c r="F22" s="10"/>
      <c r="G22" s="10">
        <v>4</v>
      </c>
      <c r="H22" s="10"/>
      <c r="I22" s="10"/>
      <c r="J22" s="10">
        <v>4</v>
      </c>
      <c r="K22" s="10"/>
      <c r="L22" s="10"/>
      <c r="M22" s="10">
        <v>4</v>
      </c>
      <c r="N22" s="10"/>
      <c r="O22" s="10"/>
      <c r="P22" s="10"/>
      <c r="Q22" s="10">
        <v>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8"/>
      <c r="AH22" s="30">
        <f t="shared" si="2"/>
        <v>16</v>
      </c>
      <c r="AI22" s="27">
        <f>AH22*45</f>
        <v>720</v>
      </c>
      <c r="AJ22" s="22">
        <f t="shared" si="3"/>
        <v>22080240</v>
      </c>
      <c r="AK22" s="157">
        <f t="shared" ref="AK22" si="15">AJ22-AJ23</f>
        <v>20945561</v>
      </c>
      <c r="AL22" s="84">
        <v>30667</v>
      </c>
      <c r="AM22" s="78"/>
      <c r="AN22" s="78"/>
    </row>
    <row r="23" spans="1:44" ht="29.25" customHeight="1">
      <c r="A23" s="130"/>
      <c r="B23" s="33" t="s">
        <v>57</v>
      </c>
      <c r="C23" s="10"/>
      <c r="D23" s="10"/>
      <c r="E23" s="10"/>
      <c r="F23" s="10"/>
      <c r="G23" s="10">
        <v>6</v>
      </c>
      <c r="H23" s="10"/>
      <c r="I23" s="10"/>
      <c r="J23" s="10">
        <v>12</v>
      </c>
      <c r="K23" s="10"/>
      <c r="L23" s="10"/>
      <c r="M23" s="10">
        <v>6</v>
      </c>
      <c r="N23" s="10"/>
      <c r="O23" s="10"/>
      <c r="P23" s="10"/>
      <c r="Q23" s="10">
        <v>13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8"/>
      <c r="AH23" s="36">
        <f>AI22-AI23</f>
        <v>683</v>
      </c>
      <c r="AI23" s="27">
        <f t="shared" ref="AI23" si="16">SUM(C23:AG23)</f>
        <v>37</v>
      </c>
      <c r="AJ23" s="22">
        <f t="shared" si="3"/>
        <v>1134679</v>
      </c>
      <c r="AK23" s="158"/>
      <c r="AL23" s="84">
        <v>30667</v>
      </c>
      <c r="AM23" s="78"/>
      <c r="AN23" s="78"/>
    </row>
    <row r="24" spans="1:44" ht="29.25" customHeight="1">
      <c r="A24" s="129" t="s">
        <v>71</v>
      </c>
      <c r="B24" s="33" t="s">
        <v>59</v>
      </c>
      <c r="C24" s="10"/>
      <c r="D24" s="10"/>
      <c r="E24" s="10"/>
      <c r="F24" s="10">
        <v>4</v>
      </c>
      <c r="G24" s="10"/>
      <c r="H24" s="10"/>
      <c r="I24" s="10"/>
      <c r="J24" s="10">
        <v>4</v>
      </c>
      <c r="K24" s="10"/>
      <c r="L24" s="10"/>
      <c r="M24" s="10">
        <v>4</v>
      </c>
      <c r="N24" s="10"/>
      <c r="O24" s="10">
        <v>4</v>
      </c>
      <c r="P24" s="10"/>
      <c r="Q24" s="10"/>
      <c r="R24" s="10">
        <v>4</v>
      </c>
      <c r="S24" s="10"/>
      <c r="T24" s="10">
        <v>4</v>
      </c>
      <c r="U24" s="10"/>
      <c r="V24" s="10"/>
      <c r="W24" s="10"/>
      <c r="X24" s="10"/>
      <c r="Y24" s="10">
        <v>4</v>
      </c>
      <c r="Z24" s="10">
        <v>4</v>
      </c>
      <c r="AA24" s="10"/>
      <c r="AB24" s="10">
        <v>4</v>
      </c>
      <c r="AC24" s="10"/>
      <c r="AD24" s="10"/>
      <c r="AE24" s="10">
        <v>4</v>
      </c>
      <c r="AF24" s="10"/>
      <c r="AG24" s="8"/>
      <c r="AH24" s="30">
        <f t="shared" si="2"/>
        <v>40</v>
      </c>
      <c r="AI24" s="27">
        <f>AH24*45</f>
        <v>1800</v>
      </c>
      <c r="AJ24" s="22">
        <f t="shared" si="3"/>
        <v>57600000</v>
      </c>
      <c r="AK24" s="163">
        <f t="shared" ref="AK24" si="17">AJ24-AJ25</f>
        <v>53440000</v>
      </c>
      <c r="AL24" s="84">
        <v>32000</v>
      </c>
      <c r="AM24" s="78"/>
      <c r="AN24" s="78"/>
    </row>
    <row r="25" spans="1:44" ht="29.25" customHeight="1">
      <c r="A25" s="130"/>
      <c r="B25" s="33" t="s">
        <v>57</v>
      </c>
      <c r="C25" s="14"/>
      <c r="D25" s="14"/>
      <c r="E25" s="14"/>
      <c r="F25" s="14">
        <v>9</v>
      </c>
      <c r="G25" s="14"/>
      <c r="H25" s="14"/>
      <c r="I25" s="14"/>
      <c r="J25" s="14">
        <v>0</v>
      </c>
      <c r="K25" s="14"/>
      <c r="L25" s="14"/>
      <c r="M25" s="14">
        <v>14</v>
      </c>
      <c r="N25" s="14"/>
      <c r="O25" s="14">
        <v>20</v>
      </c>
      <c r="P25" s="14"/>
      <c r="Q25" s="14"/>
      <c r="R25" s="14">
        <v>14</v>
      </c>
      <c r="S25" s="14"/>
      <c r="T25" s="14">
        <v>10</v>
      </c>
      <c r="U25" s="14"/>
      <c r="V25" s="14"/>
      <c r="W25" s="14"/>
      <c r="X25" s="14"/>
      <c r="Y25" s="14">
        <v>12</v>
      </c>
      <c r="Z25" s="14">
        <v>16</v>
      </c>
      <c r="AA25" s="14"/>
      <c r="AB25" s="14">
        <v>22</v>
      </c>
      <c r="AC25" s="14"/>
      <c r="AD25" s="14"/>
      <c r="AE25" s="14">
        <v>13</v>
      </c>
      <c r="AF25" s="14"/>
      <c r="AG25" s="15"/>
      <c r="AH25" s="36">
        <f>AI24-AI25</f>
        <v>1670</v>
      </c>
      <c r="AI25" s="27">
        <f t="shared" ref="AI25" si="18">SUM(C25:AG25)</f>
        <v>130</v>
      </c>
      <c r="AJ25" s="22">
        <f t="shared" si="3"/>
        <v>4160000</v>
      </c>
      <c r="AK25" s="164"/>
      <c r="AL25" s="84">
        <v>32000</v>
      </c>
      <c r="AM25" s="78"/>
      <c r="AN25" s="78"/>
    </row>
    <row r="26" spans="1:44" ht="29.25" customHeight="1">
      <c r="A26" s="129" t="s">
        <v>72</v>
      </c>
      <c r="B26" s="33" t="s">
        <v>59</v>
      </c>
      <c r="C26" s="14">
        <v>4</v>
      </c>
      <c r="D26" s="14"/>
      <c r="E26" s="14">
        <v>4</v>
      </c>
      <c r="F26" s="14"/>
      <c r="G26" s="14"/>
      <c r="H26" s="14">
        <v>4</v>
      </c>
      <c r="I26" s="14"/>
      <c r="J26" s="14"/>
      <c r="K26" s="14">
        <v>6</v>
      </c>
      <c r="L26" s="14"/>
      <c r="M26" s="14"/>
      <c r="N26" s="14"/>
      <c r="O26" s="14"/>
      <c r="P26" s="14">
        <v>6</v>
      </c>
      <c r="Q26" s="14"/>
      <c r="R26" s="14">
        <v>4</v>
      </c>
      <c r="S26" s="14"/>
      <c r="T26" s="14">
        <v>4</v>
      </c>
      <c r="U26" s="14"/>
      <c r="V26" s="14"/>
      <c r="W26" s="14">
        <v>4</v>
      </c>
      <c r="X26" s="14"/>
      <c r="Y26" s="14"/>
      <c r="Z26" s="14"/>
      <c r="AA26" s="14">
        <v>6</v>
      </c>
      <c r="AB26" s="14"/>
      <c r="AC26" s="14"/>
      <c r="AD26" s="14">
        <v>6</v>
      </c>
      <c r="AE26" s="14"/>
      <c r="AF26" s="14"/>
      <c r="AG26" s="15"/>
      <c r="AH26" s="30">
        <f>SUM(C26:AG26)</f>
        <v>48</v>
      </c>
      <c r="AI26" s="27">
        <f>AH26*45</f>
        <v>2160</v>
      </c>
      <c r="AJ26" s="22">
        <f t="shared" si="3"/>
        <v>64800000</v>
      </c>
      <c r="AK26" s="157">
        <f t="shared" ref="AK26" si="19">AJ26-AJ27</f>
        <v>56850000</v>
      </c>
      <c r="AL26" s="84">
        <v>30000</v>
      </c>
      <c r="AM26" s="78"/>
      <c r="AN26" s="78"/>
    </row>
    <row r="27" spans="1:44" ht="29.25" customHeight="1" thickBot="1">
      <c r="A27" s="130"/>
      <c r="B27" s="33" t="s">
        <v>57</v>
      </c>
      <c r="C27" s="11">
        <v>27</v>
      </c>
      <c r="D27" s="11"/>
      <c r="E27" s="11">
        <v>22</v>
      </c>
      <c r="F27" s="11"/>
      <c r="G27" s="11"/>
      <c r="H27" s="11">
        <v>22</v>
      </c>
      <c r="I27" s="11"/>
      <c r="J27" s="11"/>
      <c r="K27" s="11">
        <v>35</v>
      </c>
      <c r="L27" s="11"/>
      <c r="M27" s="11"/>
      <c r="N27" s="11"/>
      <c r="O27" s="11"/>
      <c r="P27" s="11">
        <v>22</v>
      </c>
      <c r="Q27" s="11"/>
      <c r="R27" s="11">
        <v>23</v>
      </c>
      <c r="S27" s="11"/>
      <c r="T27" s="11">
        <v>33</v>
      </c>
      <c r="U27" s="11"/>
      <c r="V27" s="11"/>
      <c r="W27" s="11">
        <v>20</v>
      </c>
      <c r="X27" s="11"/>
      <c r="Y27" s="11"/>
      <c r="Z27" s="11"/>
      <c r="AA27" s="11">
        <v>27</v>
      </c>
      <c r="AB27" s="11"/>
      <c r="AC27" s="11"/>
      <c r="AD27" s="11">
        <v>34</v>
      </c>
      <c r="AE27" s="11"/>
      <c r="AF27" s="11"/>
      <c r="AG27" s="12"/>
      <c r="AH27" s="36">
        <f>AI26-AI27</f>
        <v>1895</v>
      </c>
      <c r="AI27" s="28">
        <f t="shared" ref="AI27" si="20">SUM(C27:AG27)</f>
        <v>265</v>
      </c>
      <c r="AJ27" s="23">
        <f>(AI27*AL27)</f>
        <v>7950000</v>
      </c>
      <c r="AK27" s="159"/>
      <c r="AL27" s="84">
        <v>30000</v>
      </c>
      <c r="AM27" s="78"/>
      <c r="AN27" s="78"/>
    </row>
    <row r="28" spans="1:44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44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>
        <f>AH27+AH25+AH23+AH21+AH19+AH17+AH15+AH13+AH11+AH9+AH7+AH5</f>
        <v>17143</v>
      </c>
      <c r="AI29">
        <f>AI26+AI24+AI22+AI20+AI18+AI16+AI14+AI12+AI10+AI8+AI6+AI4</f>
        <v>18630</v>
      </c>
    </row>
    <row r="30" spans="1:44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44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44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6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</sheetData>
  <mergeCells count="25">
    <mergeCell ref="AP18:AR18"/>
    <mergeCell ref="AP17:AR17"/>
    <mergeCell ref="A20:A21"/>
    <mergeCell ref="A22:A23"/>
    <mergeCell ref="A24:A25"/>
    <mergeCell ref="A1:AJ1"/>
    <mergeCell ref="A4:A5"/>
    <mergeCell ref="A6:A7"/>
    <mergeCell ref="A8:A9"/>
    <mergeCell ref="A10:A11"/>
    <mergeCell ref="A26:A27"/>
    <mergeCell ref="AK20:AK21"/>
    <mergeCell ref="AK22:AK23"/>
    <mergeCell ref="AK4:AK5"/>
    <mergeCell ref="AK8:AK9"/>
    <mergeCell ref="AK10:AK11"/>
    <mergeCell ref="AK12:AK13"/>
    <mergeCell ref="AK26:AK27"/>
    <mergeCell ref="A12:A13"/>
    <mergeCell ref="A14:A15"/>
    <mergeCell ref="A16:A17"/>
    <mergeCell ref="A18:A19"/>
    <mergeCell ref="AK24:AK25"/>
    <mergeCell ref="AK14:AK15"/>
    <mergeCell ref="AK16:AK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39"/>
  <sheetViews>
    <sheetView showGridLines="0" topLeftCell="A3" zoomScale="85" zoomScaleNormal="85" workbookViewId="0">
      <selection activeCell="T22" sqref="T22"/>
    </sheetView>
  </sheetViews>
  <sheetFormatPr defaultRowHeight="15"/>
  <cols>
    <col min="2" max="2" width="10.7109375" customWidth="1"/>
    <col min="3" max="3" width="11.140625" customWidth="1"/>
    <col min="4" max="4" width="12.42578125" customWidth="1"/>
    <col min="5" max="17" width="13.140625" customWidth="1"/>
  </cols>
  <sheetData>
    <row r="1" spans="2:17" ht="40.5" customHeight="1" thickBot="1">
      <c r="B1" s="67">
        <v>2021</v>
      </c>
      <c r="C1" s="149" t="s">
        <v>86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2:17" ht="37.5" customHeight="1">
      <c r="B2" s="152">
        <v>2022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42" t="s">
        <v>2</v>
      </c>
      <c r="Q2" s="143"/>
    </row>
    <row r="3" spans="2:17" ht="15" customHeight="1">
      <c r="B3" s="153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44" t="s">
        <v>3</v>
      </c>
      <c r="Q3" s="145"/>
    </row>
    <row r="4" spans="2:17" ht="15" customHeight="1">
      <c r="B4" s="153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6"/>
      <c r="Q4" s="145"/>
    </row>
    <row r="5" spans="2:17" ht="15" customHeight="1">
      <c r="B5" s="153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46"/>
      <c r="Q5" s="145"/>
    </row>
    <row r="6" spans="2:17" ht="15" customHeight="1">
      <c r="B6" s="153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6"/>
      <c r="Q6" s="145"/>
    </row>
    <row r="7" spans="2:17" ht="15" customHeight="1">
      <c r="B7" s="153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46"/>
      <c r="Q7" s="145"/>
    </row>
    <row r="8" spans="2:17" ht="15" customHeight="1">
      <c r="B8" s="153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47"/>
      <c r="Q8" s="148"/>
    </row>
    <row r="9" spans="2:17" ht="15" customHeight="1">
      <c r="B9" s="153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4"/>
      <c r="Q9" s="35"/>
    </row>
    <row r="10" spans="2:17" ht="15" customHeight="1">
      <c r="B10" s="153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4"/>
      <c r="Q10" s="35"/>
    </row>
    <row r="11" spans="2:17" ht="15" customHeight="1">
      <c r="B11" s="153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/>
      <c r="Q11" s="35"/>
    </row>
    <row r="12" spans="2:17" ht="15" customHeight="1">
      <c r="B12" s="153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4"/>
      <c r="Q12" s="35"/>
    </row>
    <row r="13" spans="2:17" ht="15" customHeight="1">
      <c r="B13" s="153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4"/>
      <c r="Q13" s="35"/>
    </row>
    <row r="14" spans="2:17" ht="15" customHeight="1">
      <c r="B14" s="153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4"/>
      <c r="Q14" s="35"/>
    </row>
    <row r="15" spans="2:17" ht="15" customHeight="1">
      <c r="B15" s="153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4"/>
      <c r="Q15" s="35"/>
    </row>
    <row r="16" spans="2:17" ht="15" customHeight="1">
      <c r="B16" s="153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4"/>
      <c r="Q16" s="35"/>
    </row>
    <row r="17" spans="2:23" ht="15" customHeight="1">
      <c r="B17" s="153"/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4"/>
      <c r="Q17" s="35"/>
    </row>
    <row r="18" spans="2:23" ht="15" customHeight="1">
      <c r="B18" s="153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4"/>
      <c r="Q18" s="35"/>
    </row>
    <row r="19" spans="2:23" ht="15" customHeight="1">
      <c r="B19" s="153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4"/>
      <c r="Q19" s="35"/>
    </row>
    <row r="20" spans="2:23" ht="15" customHeight="1">
      <c r="B20" s="153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4"/>
      <c r="Q20" s="35"/>
    </row>
    <row r="21" spans="2:23" ht="15" customHeight="1">
      <c r="B21" s="153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4"/>
      <c r="Q21" s="35"/>
    </row>
    <row r="22" spans="2:23" ht="15" customHeight="1">
      <c r="B22" s="153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4"/>
      <c r="Q22" s="35"/>
    </row>
    <row r="23" spans="2:23" ht="15" customHeight="1">
      <c r="B23" s="153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4"/>
      <c r="Q23" s="35"/>
    </row>
    <row r="24" spans="2:23" ht="15.75" customHeight="1" thickBot="1">
      <c r="B24" s="154"/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4"/>
      <c r="Q24" s="35"/>
    </row>
    <row r="25" spans="2:23" ht="21" customHeight="1" thickBot="1">
      <c r="B25" s="48"/>
      <c r="C25" s="49" t="s">
        <v>0</v>
      </c>
      <c r="D25" s="50" t="s">
        <v>14</v>
      </c>
      <c r="E25" s="50" t="s">
        <v>15</v>
      </c>
      <c r="F25" s="50" t="s">
        <v>16</v>
      </c>
      <c r="G25" s="50" t="s">
        <v>17</v>
      </c>
      <c r="H25" s="50" t="s">
        <v>18</v>
      </c>
      <c r="I25" s="50" t="s">
        <v>19</v>
      </c>
      <c r="J25" s="50" t="s">
        <v>20</v>
      </c>
      <c r="K25" s="50" t="s">
        <v>21</v>
      </c>
      <c r="L25" s="50" t="s">
        <v>22</v>
      </c>
      <c r="M25" s="50" t="s">
        <v>23</v>
      </c>
      <c r="N25" s="50" t="s">
        <v>24</v>
      </c>
      <c r="O25" s="50" t="s">
        <v>25</v>
      </c>
      <c r="P25" s="51" t="s">
        <v>74</v>
      </c>
      <c r="Q25" s="52" t="s">
        <v>75</v>
      </c>
      <c r="S25">
        <v>46658222</v>
      </c>
    </row>
    <row r="26" spans="2:23" s="13" customFormat="1" ht="21" customHeight="1">
      <c r="B26" s="139" t="s">
        <v>87</v>
      </c>
      <c r="C26" s="53" t="s">
        <v>11</v>
      </c>
      <c r="D26" s="128">
        <f>D27*D28</f>
        <v>52234010</v>
      </c>
      <c r="E26" s="80"/>
      <c r="F26" s="55"/>
      <c r="G26" s="56"/>
      <c r="H26" s="56"/>
      <c r="I26" s="56"/>
      <c r="J26" s="55"/>
      <c r="K26" s="56"/>
      <c r="L26" s="56"/>
      <c r="M26" s="56"/>
      <c r="N26" s="55"/>
      <c r="O26" s="56"/>
      <c r="P26" s="122"/>
      <c r="Q26" s="123"/>
    </row>
    <row r="27" spans="2:23" ht="21" customHeight="1">
      <c r="B27" s="140"/>
      <c r="C27" s="57" t="s">
        <v>8</v>
      </c>
      <c r="D27" s="58">
        <f>'입고현황정리 2022'!AH5</f>
        <v>1787</v>
      </c>
      <c r="E27" s="59"/>
      <c r="F27" s="60"/>
      <c r="G27" s="60"/>
      <c r="H27" s="60"/>
      <c r="I27" s="60"/>
      <c r="J27" s="64"/>
      <c r="K27" s="64"/>
      <c r="L27" s="64"/>
      <c r="M27" s="60"/>
      <c r="N27" s="64"/>
      <c r="O27" s="60"/>
      <c r="P27" s="126"/>
      <c r="Q27" s="127"/>
      <c r="W27" s="47"/>
    </row>
    <row r="28" spans="2:23" s="13" customFormat="1" ht="21" customHeight="1">
      <c r="B28" s="140"/>
      <c r="C28" s="57" t="s">
        <v>9</v>
      </c>
      <c r="D28" s="60">
        <f>'입고현황정리 2022'!AL4</f>
        <v>29230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126"/>
      <c r="Q28" s="127"/>
    </row>
    <row r="29" spans="2:23" s="13" customFormat="1" ht="21" customHeight="1" thickBot="1">
      <c r="B29" s="141"/>
      <c r="C29" s="50" t="s">
        <v>13</v>
      </c>
      <c r="D29" s="61">
        <f>D26/20</f>
        <v>2611700.5</v>
      </c>
      <c r="E29" s="79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124"/>
      <c r="Q29" s="125"/>
    </row>
    <row r="30" spans="2:23" ht="21" customHeight="1">
      <c r="B30" s="139" t="s">
        <v>77</v>
      </c>
      <c r="C30" s="53" t="s">
        <v>1</v>
      </c>
      <c r="D30" s="54">
        <f>D31*D32</f>
        <v>41211400</v>
      </c>
      <c r="E30" s="80">
        <f>'입고현황정리 2021'!AK10</f>
        <v>36684440</v>
      </c>
      <c r="F30" s="55">
        <f>F31*F32</f>
        <v>29481032</v>
      </c>
      <c r="G30" s="56">
        <f>G31*G32</f>
        <v>33192000</v>
      </c>
      <c r="H30" s="56">
        <f>H31*H32</f>
        <v>36766593.200000003</v>
      </c>
      <c r="I30" s="56">
        <f>I31*I32</f>
        <v>44380870.699999996</v>
      </c>
      <c r="J30" s="55">
        <v>36766578</v>
      </c>
      <c r="K30" s="56">
        <v>44706889</v>
      </c>
      <c r="L30" s="56">
        <v>46658222</v>
      </c>
      <c r="M30" s="56">
        <v>20945333</v>
      </c>
      <c r="N30" s="55">
        <f>N31*N32</f>
        <v>53440000</v>
      </c>
      <c r="O30" s="56">
        <f>O31*O32</f>
        <v>56850000</v>
      </c>
      <c r="P30" s="122">
        <f>SUM(D30:O30)</f>
        <v>481083357.89999998</v>
      </c>
      <c r="Q30" s="123">
        <f>AVERAGE(D30:O30)</f>
        <v>40090279.824999996</v>
      </c>
    </row>
    <row r="31" spans="2:23" ht="21" customHeight="1">
      <c r="B31" s="140"/>
      <c r="C31" s="57" t="s">
        <v>8</v>
      </c>
      <c r="D31" s="58">
        <f>'입고현황정리 2021'!AH9</f>
        <v>1564</v>
      </c>
      <c r="E31" s="59">
        <f>'입고현황정리 2021'!AH11</f>
        <v>1501</v>
      </c>
      <c r="F31" s="60">
        <f>'입고현황정리 2021'!AH13</f>
        <v>1288</v>
      </c>
      <c r="G31" s="60">
        <f>'입고현황정리 2021'!AH15</f>
        <v>1383</v>
      </c>
      <c r="H31" s="60">
        <f>'입고현황정리 2021'!AH17</f>
        <v>1388</v>
      </c>
      <c r="I31" s="60">
        <f>'입고현황정리 2021'!AH19</f>
        <v>1637</v>
      </c>
      <c r="J31" s="64">
        <f>'입고현황정리 2021'!AH21</f>
        <v>1721</v>
      </c>
      <c r="K31" s="64">
        <f>'입고현황정리 2021'!AH23+'입고현황정리 2021'!AM22</f>
        <v>683</v>
      </c>
      <c r="L31" s="64">
        <f>'입고현황정리 2021'!AH25</f>
        <v>1670</v>
      </c>
      <c r="M31" s="60">
        <f>'입고현황정리 2021'!AH27</f>
        <v>1895</v>
      </c>
      <c r="N31" s="64">
        <f>'입고현황정리 2021'!AH25</f>
        <v>1670</v>
      </c>
      <c r="O31" s="60">
        <f>'입고현황정리 2021'!AH27</f>
        <v>1895</v>
      </c>
      <c r="P31" s="126">
        <f t="shared" ref="P31:P33" si="0">SUM(D31:O31)</f>
        <v>18295</v>
      </c>
      <c r="Q31" s="127">
        <f t="shared" ref="Q31:Q33" si="1">AVERAGE(D31:O31)</f>
        <v>1524.5833333333333</v>
      </c>
    </row>
    <row r="32" spans="2:23" ht="21" customHeight="1">
      <c r="B32" s="140"/>
      <c r="C32" s="57" t="s">
        <v>9</v>
      </c>
      <c r="D32" s="60">
        <f>'입고현황정리 2021'!AL9</f>
        <v>26350</v>
      </c>
      <c r="E32" s="60">
        <f>'입고현황정리 2021'!AL10</f>
        <v>24440</v>
      </c>
      <c r="F32" s="60">
        <f>'입고현황정리 2021'!AL12</f>
        <v>22889</v>
      </c>
      <c r="G32" s="60">
        <f>'입고현황정리 2021'!AL15</f>
        <v>24000</v>
      </c>
      <c r="H32" s="60">
        <f>'입고현황정리 2021'!AL16</f>
        <v>26488.9</v>
      </c>
      <c r="I32" s="60">
        <f>'입고현황정리 2021'!AL18</f>
        <v>27111.1</v>
      </c>
      <c r="J32" s="60">
        <f>'입고현황정리 2021'!AL21</f>
        <v>27111.1</v>
      </c>
      <c r="K32" s="60">
        <f>'입고현황정리 2021'!AL22</f>
        <v>30667</v>
      </c>
      <c r="L32" s="60">
        <f>'입고현황정리 2021'!AL24</f>
        <v>32000</v>
      </c>
      <c r="M32" s="60">
        <f>'입고현황정리 2021'!AL26</f>
        <v>30000</v>
      </c>
      <c r="N32" s="60">
        <f>'입고현황정리 2021'!AL24</f>
        <v>32000</v>
      </c>
      <c r="O32" s="60">
        <f>'입고현황정리 2021'!AL26</f>
        <v>30000</v>
      </c>
      <c r="P32" s="126">
        <f t="shared" si="0"/>
        <v>333057.09999999998</v>
      </c>
      <c r="Q32" s="127">
        <f t="shared" si="1"/>
        <v>27754.758333333331</v>
      </c>
    </row>
    <row r="33" spans="2:17" ht="21" customHeight="1" thickBot="1">
      <c r="B33" s="141"/>
      <c r="C33" s="51" t="s">
        <v>13</v>
      </c>
      <c r="D33" s="61">
        <f>D30/20</f>
        <v>2060570</v>
      </c>
      <c r="E33" s="79">
        <f>E30/20</f>
        <v>1834222</v>
      </c>
      <c r="F33" s="61">
        <f>F30/20</f>
        <v>1474051.6</v>
      </c>
      <c r="G33" s="61">
        <f>G30/20</f>
        <v>1659600</v>
      </c>
      <c r="H33" s="61">
        <f t="shared" ref="H33:J33" si="2">H30/20</f>
        <v>1838329.6600000001</v>
      </c>
      <c r="I33" s="61">
        <f t="shared" si="2"/>
        <v>2219043.5349999997</v>
      </c>
      <c r="J33" s="61">
        <f t="shared" si="2"/>
        <v>1838328.9</v>
      </c>
      <c r="K33" s="61">
        <f>K30/20</f>
        <v>2235344.4500000002</v>
      </c>
      <c r="L33" s="61">
        <f>L30/20</f>
        <v>2332911.1</v>
      </c>
      <c r="M33" s="61">
        <f>M30/20</f>
        <v>1047266.65</v>
      </c>
      <c r="N33" s="61">
        <f t="shared" ref="N33:O33" si="3">N30/20</f>
        <v>2672000</v>
      </c>
      <c r="O33" s="61">
        <f t="shared" si="3"/>
        <v>2842500</v>
      </c>
      <c r="P33" s="124">
        <f t="shared" si="0"/>
        <v>24054167.895</v>
      </c>
      <c r="Q33" s="125">
        <f t="shared" si="1"/>
        <v>2004513.99125</v>
      </c>
    </row>
    <row r="34" spans="2:17" ht="21" customHeight="1">
      <c r="B34" s="63"/>
      <c r="C34" s="63"/>
      <c r="D34" s="31">
        <f>(D26-D30)/D30*1</f>
        <v>0.26746507034461336</v>
      </c>
      <c r="E34" s="31">
        <f>(E26-E30)/E30*1</f>
        <v>-1</v>
      </c>
      <c r="F34" s="31">
        <f t="shared" ref="F34:L34" si="4">(F26-F30)/F30*1</f>
        <v>-1</v>
      </c>
      <c r="G34" s="31">
        <f t="shared" si="4"/>
        <v>-1</v>
      </c>
      <c r="H34" s="31">
        <f t="shared" si="4"/>
        <v>-1</v>
      </c>
      <c r="I34" s="31">
        <f t="shared" si="4"/>
        <v>-1</v>
      </c>
      <c r="J34" s="31">
        <f t="shared" si="4"/>
        <v>-1</v>
      </c>
      <c r="K34" s="31">
        <f t="shared" si="4"/>
        <v>-1</v>
      </c>
      <c r="L34" s="31">
        <f t="shared" si="4"/>
        <v>-1</v>
      </c>
      <c r="M34" s="63"/>
      <c r="N34" s="63"/>
      <c r="O34" s="63"/>
      <c r="P34" s="63"/>
      <c r="Q34" s="63"/>
    </row>
    <row r="35" spans="2:17">
      <c r="E35" s="32"/>
    </row>
    <row r="36" spans="2:17">
      <c r="E36" s="32"/>
      <c r="F36" s="37">
        <f>F26/23168.06</f>
        <v>0</v>
      </c>
      <c r="G36" s="37">
        <f>G26/23168.06</f>
        <v>0</v>
      </c>
      <c r="J36">
        <f>J26/23300</f>
        <v>0</v>
      </c>
      <c r="L36" s="37">
        <f>L26/23292</f>
        <v>0</v>
      </c>
      <c r="M36" s="37">
        <f>M26/23295</f>
        <v>0</v>
      </c>
    </row>
    <row r="37" spans="2:17">
      <c r="E37" s="32"/>
    </row>
    <row r="39" spans="2:17">
      <c r="E39" s="32"/>
    </row>
  </sheetData>
  <mergeCells count="6">
    <mergeCell ref="B30:B33"/>
    <mergeCell ref="C1:Q1"/>
    <mergeCell ref="B2:B24"/>
    <mergeCell ref="P2:Q2"/>
    <mergeCell ref="P3:Q8"/>
    <mergeCell ref="B26:B29"/>
  </mergeCells>
  <pageMargins left="0.7" right="0.7" top="0.75" bottom="0.75" header="0.3" footer="0.3"/>
  <pageSetup orientation="portrait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4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O10" sqref="AO10"/>
    </sheetView>
  </sheetViews>
  <sheetFormatPr defaultRowHeight="15.75"/>
  <cols>
    <col min="1" max="1" width="9" style="7"/>
    <col min="2" max="2" width="13.140625" style="7" customWidth="1"/>
    <col min="3" max="30" width="4.7109375" customWidth="1"/>
    <col min="31" max="33" width="4.7109375" hidden="1" customWidth="1"/>
    <col min="34" max="34" width="10.140625" customWidth="1"/>
    <col min="35" max="35" width="16.5703125" customWidth="1"/>
    <col min="36" max="37" width="16.5703125" style="18" customWidth="1"/>
    <col min="38" max="40" width="11" style="76" customWidth="1"/>
    <col min="41" max="41" width="14.85546875" bestFit="1" customWidth="1"/>
    <col min="42" max="42" width="15.42578125" customWidth="1"/>
  </cols>
  <sheetData>
    <row r="1" spans="1:41" ht="48.75" customHeight="1">
      <c r="A1" s="138" t="s">
        <v>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19"/>
    </row>
    <row r="2" spans="1:41" ht="18.75" customHeight="1" thickBo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9" t="s">
        <v>6</v>
      </c>
      <c r="AJ2" s="20">
        <v>23600</v>
      </c>
      <c r="AK2" s="20"/>
    </row>
    <row r="3" spans="1:41" s="5" customFormat="1" ht="25.5" customHeight="1">
      <c r="A3" s="16" t="s">
        <v>60</v>
      </c>
      <c r="B3" s="17"/>
      <c r="C3" s="38" t="s">
        <v>26</v>
      </c>
      <c r="D3" s="38" t="s">
        <v>27</v>
      </c>
      <c r="E3" s="38" t="s">
        <v>28</v>
      </c>
      <c r="F3" s="38" t="s">
        <v>29</v>
      </c>
      <c r="G3" s="38" t="s">
        <v>30</v>
      </c>
      <c r="H3" s="38" t="s">
        <v>31</v>
      </c>
      <c r="I3" s="38" t="s">
        <v>32</v>
      </c>
      <c r="J3" s="38" t="s">
        <v>33</v>
      </c>
      <c r="K3" s="38" t="s">
        <v>34</v>
      </c>
      <c r="L3" s="38" t="s">
        <v>35</v>
      </c>
      <c r="M3" s="38" t="s">
        <v>36</v>
      </c>
      <c r="N3" s="38" t="s">
        <v>37</v>
      </c>
      <c r="O3" s="38" t="s">
        <v>38</v>
      </c>
      <c r="P3" s="38" t="s">
        <v>39</v>
      </c>
      <c r="Q3" s="38" t="s">
        <v>40</v>
      </c>
      <c r="R3" s="38" t="s">
        <v>41</v>
      </c>
      <c r="S3" s="38" t="s">
        <v>42</v>
      </c>
      <c r="T3" s="38" t="s">
        <v>43</v>
      </c>
      <c r="U3" s="38" t="s">
        <v>44</v>
      </c>
      <c r="V3" s="38" t="s">
        <v>45</v>
      </c>
      <c r="W3" s="38" t="s">
        <v>46</v>
      </c>
      <c r="X3" s="38" t="s">
        <v>47</v>
      </c>
      <c r="Y3" s="38" t="s">
        <v>48</v>
      </c>
      <c r="Z3" s="38" t="s">
        <v>49</v>
      </c>
      <c r="AA3" s="38" t="s">
        <v>50</v>
      </c>
      <c r="AB3" s="38" t="s">
        <v>51</v>
      </c>
      <c r="AC3" s="38" t="s">
        <v>52</v>
      </c>
      <c r="AD3" s="38" t="s">
        <v>53</v>
      </c>
      <c r="AE3" s="38" t="s">
        <v>54</v>
      </c>
      <c r="AF3" s="38" t="s">
        <v>55</v>
      </c>
      <c r="AG3" s="38" t="s">
        <v>56</v>
      </c>
      <c r="AH3" s="29" t="s">
        <v>4</v>
      </c>
      <c r="AI3" s="26" t="s">
        <v>10</v>
      </c>
      <c r="AJ3" s="24" t="s">
        <v>83</v>
      </c>
      <c r="AK3" s="89" t="s">
        <v>58</v>
      </c>
      <c r="AL3" s="94" t="s">
        <v>84</v>
      </c>
      <c r="AM3" s="77"/>
      <c r="AN3" s="77"/>
    </row>
    <row r="4" spans="1:41" ht="29.25" customHeight="1">
      <c r="A4" s="129" t="s">
        <v>61</v>
      </c>
      <c r="B4" s="33" t="s">
        <v>59</v>
      </c>
      <c r="C4" s="14"/>
      <c r="D4" s="14"/>
      <c r="E4" s="14">
        <v>6</v>
      </c>
      <c r="F4" s="14"/>
      <c r="G4" s="14"/>
      <c r="H4" s="14">
        <v>6</v>
      </c>
      <c r="I4" s="14"/>
      <c r="J4" s="14"/>
      <c r="K4" s="14"/>
      <c r="L4" s="14">
        <v>4</v>
      </c>
      <c r="M4" s="14"/>
      <c r="N4" s="14">
        <v>4</v>
      </c>
      <c r="O4" s="14"/>
      <c r="P4" s="14">
        <v>4</v>
      </c>
      <c r="Q4" s="14"/>
      <c r="R4" s="14"/>
      <c r="S4" s="14">
        <v>4</v>
      </c>
      <c r="T4" s="14"/>
      <c r="U4" s="14">
        <v>4</v>
      </c>
      <c r="V4" s="14">
        <v>4</v>
      </c>
      <c r="W4" s="14"/>
      <c r="X4" s="14">
        <v>4</v>
      </c>
      <c r="Y4" s="14"/>
      <c r="Z4" s="14"/>
      <c r="AA4" s="14">
        <v>4</v>
      </c>
      <c r="AB4" s="14"/>
      <c r="AC4" s="14"/>
      <c r="AD4" s="14"/>
      <c r="AE4" s="14" t="s">
        <v>85</v>
      </c>
      <c r="AF4" s="14"/>
      <c r="AG4" s="121"/>
      <c r="AH4" s="30">
        <f>SUM(C4:AG4)</f>
        <v>44</v>
      </c>
      <c r="AI4" s="27">
        <f>AH4*45</f>
        <v>1980</v>
      </c>
      <c r="AJ4" s="22">
        <f>(AI4*AL4)</f>
        <v>57875400</v>
      </c>
      <c r="AK4" s="157">
        <f t="shared" ref="AK4" si="0">AJ4-AJ5</f>
        <v>52234010</v>
      </c>
      <c r="AL4" s="84">
        <v>29230</v>
      </c>
      <c r="AM4" s="78"/>
      <c r="AN4" s="78"/>
    </row>
    <row r="5" spans="1:41" ht="29.25" customHeight="1" thickBot="1">
      <c r="A5" s="130"/>
      <c r="B5" s="33" t="s">
        <v>57</v>
      </c>
      <c r="C5" s="11"/>
      <c r="D5" s="11"/>
      <c r="E5" s="11">
        <v>27</v>
      </c>
      <c r="F5" s="11"/>
      <c r="G5" s="11"/>
      <c r="H5" s="11">
        <v>27</v>
      </c>
      <c r="I5" s="11"/>
      <c r="J5" s="11"/>
      <c r="K5" s="11"/>
      <c r="L5" s="11">
        <v>12</v>
      </c>
      <c r="M5" s="11"/>
      <c r="N5" s="11">
        <v>16</v>
      </c>
      <c r="O5" s="11"/>
      <c r="P5" s="11">
        <v>12</v>
      </c>
      <c r="Q5" s="11"/>
      <c r="R5" s="11"/>
      <c r="S5" s="11">
        <v>13</v>
      </c>
      <c r="T5" s="11"/>
      <c r="U5" s="11">
        <v>26</v>
      </c>
      <c r="V5" s="11">
        <v>20</v>
      </c>
      <c r="W5" s="11"/>
      <c r="X5" s="11">
        <v>31</v>
      </c>
      <c r="Y5" s="11"/>
      <c r="Z5" s="11"/>
      <c r="AA5" s="11">
        <v>9</v>
      </c>
      <c r="AB5" s="11"/>
      <c r="AC5" s="11"/>
      <c r="AD5" s="11"/>
      <c r="AE5" s="11"/>
      <c r="AF5" s="11"/>
      <c r="AG5" s="12"/>
      <c r="AH5" s="36">
        <f>AI4-AI5</f>
        <v>1787</v>
      </c>
      <c r="AI5" s="28">
        <f t="shared" ref="AI5" si="1">SUM(C5:AG5)</f>
        <v>193</v>
      </c>
      <c r="AJ5" s="23">
        <f>(AI5*AL5)</f>
        <v>5641390</v>
      </c>
      <c r="AK5" s="159"/>
      <c r="AL5" s="84">
        <v>29230</v>
      </c>
      <c r="AM5" s="78"/>
      <c r="AN5" s="78"/>
    </row>
    <row r="6" spans="1:41" ht="29.25" customHeight="1">
      <c r="A6" s="129" t="s">
        <v>62</v>
      </c>
      <c r="B6" s="33" t="s">
        <v>59</v>
      </c>
      <c r="C6" s="10">
        <v>12</v>
      </c>
      <c r="D6" s="10"/>
      <c r="E6" s="10"/>
      <c r="F6" s="10"/>
      <c r="G6" s="10">
        <v>6</v>
      </c>
      <c r="H6" s="10"/>
      <c r="I6" s="10"/>
      <c r="J6" s="10">
        <v>4</v>
      </c>
      <c r="K6" s="10">
        <v>4</v>
      </c>
      <c r="L6" s="10"/>
      <c r="M6" s="10"/>
      <c r="N6" s="10">
        <v>6</v>
      </c>
      <c r="O6" s="10"/>
      <c r="P6" s="10">
        <v>6</v>
      </c>
      <c r="Q6" s="10"/>
      <c r="R6" s="10"/>
      <c r="S6" s="10">
        <v>6</v>
      </c>
      <c r="T6" s="10"/>
      <c r="U6" s="10"/>
      <c r="V6" s="10"/>
      <c r="W6" s="10">
        <v>8</v>
      </c>
      <c r="X6" s="10"/>
      <c r="Y6" s="10"/>
      <c r="Z6" s="10"/>
      <c r="AA6" s="10"/>
      <c r="AB6" s="10"/>
      <c r="AC6" s="10"/>
      <c r="AD6" s="10"/>
      <c r="AE6" s="10"/>
      <c r="AF6" s="10"/>
      <c r="AG6" s="120"/>
      <c r="AH6" s="30">
        <f t="shared" ref="AH6:AH24" si="2">SUM(C6:AG6)</f>
        <v>52</v>
      </c>
      <c r="AI6" s="27">
        <f>AH6*45</f>
        <v>2340</v>
      </c>
      <c r="AJ6" s="22">
        <f>(AI6*AL6)</f>
        <v>0</v>
      </c>
      <c r="AK6" s="90">
        <f>AJ6-AJ7</f>
        <v>0</v>
      </c>
      <c r="AL6" s="84"/>
      <c r="AM6" s="78"/>
      <c r="AN6" s="78"/>
    </row>
    <row r="7" spans="1:41" ht="29.25" customHeight="1">
      <c r="A7" s="130"/>
      <c r="B7" s="33" t="s">
        <v>57</v>
      </c>
      <c r="C7" s="10"/>
      <c r="D7" s="10"/>
      <c r="E7" s="10"/>
      <c r="F7" s="10"/>
      <c r="G7" s="10">
        <v>45</v>
      </c>
      <c r="H7" s="10"/>
      <c r="I7" s="10"/>
      <c r="J7" s="10">
        <v>22</v>
      </c>
      <c r="K7" s="10">
        <v>16</v>
      </c>
      <c r="L7" s="10"/>
      <c r="M7" s="10"/>
      <c r="N7" s="10">
        <v>35</v>
      </c>
      <c r="O7" s="10"/>
      <c r="P7" s="10">
        <v>37</v>
      </c>
      <c r="Q7" s="10"/>
      <c r="R7" s="10"/>
      <c r="S7" s="10">
        <v>38</v>
      </c>
      <c r="T7" s="10"/>
      <c r="U7" s="10"/>
      <c r="V7" s="10"/>
      <c r="W7" s="10">
        <v>41</v>
      </c>
      <c r="X7" s="10"/>
      <c r="Y7" s="10"/>
      <c r="Z7" s="10"/>
      <c r="AA7" s="10"/>
      <c r="AB7" s="10"/>
      <c r="AC7" s="10"/>
      <c r="AD7" s="10"/>
      <c r="AE7" s="10"/>
      <c r="AF7" s="10"/>
      <c r="AG7" s="120"/>
      <c r="AH7" s="36">
        <f>AI6-AI7</f>
        <v>2106</v>
      </c>
      <c r="AI7" s="27">
        <f>SUM(C7:AG7)</f>
        <v>234</v>
      </c>
      <c r="AJ7" s="22">
        <f t="shared" ref="AJ7:AJ26" si="3">(AI7*AL7)</f>
        <v>0</v>
      </c>
      <c r="AK7" s="91"/>
      <c r="AL7" s="83"/>
      <c r="AM7" s="81"/>
      <c r="AN7" s="81"/>
    </row>
    <row r="8" spans="1:41" ht="29.25" customHeight="1">
      <c r="A8" s="129" t="s">
        <v>63</v>
      </c>
      <c r="B8" s="33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20"/>
      <c r="AH8" s="30">
        <f t="shared" si="2"/>
        <v>0</v>
      </c>
      <c r="AI8" s="27">
        <f>AH8*45</f>
        <v>0</v>
      </c>
      <c r="AJ8" s="22">
        <f>(AI8*AL8)</f>
        <v>0</v>
      </c>
      <c r="AK8" s="157">
        <f>AJ8-AJ9</f>
        <v>0</v>
      </c>
      <c r="AL8" s="83"/>
      <c r="AM8" s="81"/>
      <c r="AN8" s="81"/>
      <c r="AO8" s="37"/>
    </row>
    <row r="9" spans="1:41" ht="29.25" customHeight="1">
      <c r="A9" s="130"/>
      <c r="B9" s="33" t="s">
        <v>57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20"/>
      <c r="AH9" s="36">
        <f>AI8-AI9</f>
        <v>0</v>
      </c>
      <c r="AI9" s="27">
        <f>SUM(C9:AG9)</f>
        <v>0</v>
      </c>
      <c r="AJ9" s="22">
        <f t="shared" si="3"/>
        <v>0</v>
      </c>
      <c r="AK9" s="158"/>
      <c r="AL9" s="83"/>
      <c r="AM9" s="81"/>
      <c r="AN9" s="81"/>
      <c r="AO9" s="37"/>
    </row>
    <row r="10" spans="1:41" ht="29.25" customHeight="1">
      <c r="A10" s="129" t="s">
        <v>64</v>
      </c>
      <c r="B10" s="33" t="s">
        <v>59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20"/>
      <c r="AH10" s="30">
        <f t="shared" si="2"/>
        <v>0</v>
      </c>
      <c r="AI10" s="27">
        <f>AH10*45</f>
        <v>0</v>
      </c>
      <c r="AJ10" s="22">
        <f t="shared" si="3"/>
        <v>0</v>
      </c>
      <c r="AK10" s="157">
        <f>AJ10-AJ11</f>
        <v>0</v>
      </c>
      <c r="AL10" s="83"/>
      <c r="AM10" s="81"/>
      <c r="AN10" s="81"/>
    </row>
    <row r="11" spans="1:41" ht="29.25" customHeight="1">
      <c r="A11" s="130"/>
      <c r="B11" s="33" t="s">
        <v>57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20"/>
      <c r="AH11" s="36">
        <f>AI10-AI11</f>
        <v>0</v>
      </c>
      <c r="AI11" s="27">
        <f t="shared" ref="AI11" si="4">SUM(C11:AG11)</f>
        <v>0</v>
      </c>
      <c r="AJ11" s="22">
        <f t="shared" si="3"/>
        <v>0</v>
      </c>
      <c r="AK11" s="158"/>
      <c r="AL11" s="83"/>
      <c r="AM11" s="81"/>
      <c r="AN11" s="81"/>
    </row>
    <row r="12" spans="1:41" ht="29.25" customHeight="1">
      <c r="A12" s="129" t="s">
        <v>65</v>
      </c>
      <c r="B12" s="33" t="s">
        <v>59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20"/>
      <c r="AH12" s="30">
        <f t="shared" si="2"/>
        <v>0</v>
      </c>
      <c r="AI12" s="27">
        <f>AH12*45</f>
        <v>0</v>
      </c>
      <c r="AJ12" s="22">
        <f t="shared" si="3"/>
        <v>0</v>
      </c>
      <c r="AK12" s="157">
        <f t="shared" ref="AK12" si="5">AJ12-AJ13</f>
        <v>0</v>
      </c>
      <c r="AL12" s="83"/>
      <c r="AM12" s="81"/>
      <c r="AN12" s="81"/>
    </row>
    <row r="13" spans="1:41" ht="29.25" customHeight="1">
      <c r="A13" s="130"/>
      <c r="B13" s="33" t="s">
        <v>57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20"/>
      <c r="AH13" s="36">
        <f>AI12-AI13</f>
        <v>0</v>
      </c>
      <c r="AI13" s="27">
        <f t="shared" ref="AI13" si="6">SUM(C13:AG13)</f>
        <v>0</v>
      </c>
      <c r="AJ13" s="22">
        <f t="shared" si="3"/>
        <v>0</v>
      </c>
      <c r="AK13" s="158"/>
      <c r="AL13" s="83"/>
      <c r="AM13" s="81"/>
      <c r="AN13" s="81"/>
    </row>
    <row r="14" spans="1:41" ht="29.25" customHeight="1">
      <c r="A14" s="129" t="s">
        <v>66</v>
      </c>
      <c r="B14" s="33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20"/>
      <c r="AH14" s="30">
        <f t="shared" si="2"/>
        <v>0</v>
      </c>
      <c r="AI14" s="27">
        <f>AH14*45</f>
        <v>0</v>
      </c>
      <c r="AJ14" s="22">
        <f t="shared" si="3"/>
        <v>0</v>
      </c>
      <c r="AK14" s="157">
        <f t="shared" ref="AK14" si="7">AJ14-AJ15</f>
        <v>0</v>
      </c>
      <c r="AL14" s="83"/>
      <c r="AM14" s="81"/>
      <c r="AN14" s="81"/>
    </row>
    <row r="15" spans="1:41" ht="29.25" customHeight="1">
      <c r="A15" s="130"/>
      <c r="B15" s="33" t="s">
        <v>57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20"/>
      <c r="AH15" s="36">
        <f>AI14-AI15</f>
        <v>0</v>
      </c>
      <c r="AI15" s="27">
        <f t="shared" ref="AI15" si="8">SUM(C15:AG15)</f>
        <v>0</v>
      </c>
      <c r="AJ15" s="22">
        <f t="shared" si="3"/>
        <v>0</v>
      </c>
      <c r="AK15" s="158"/>
      <c r="AL15" s="83"/>
      <c r="AM15" s="81"/>
      <c r="AN15" s="81"/>
      <c r="AO15" s="39"/>
    </row>
    <row r="16" spans="1:41" ht="29.25" customHeight="1">
      <c r="A16" s="129" t="s">
        <v>67</v>
      </c>
      <c r="B16" s="33" t="s">
        <v>59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6"/>
      <c r="AH16" s="30">
        <f t="shared" si="2"/>
        <v>0</v>
      </c>
      <c r="AI16" s="27">
        <f>AH16*45</f>
        <v>0</v>
      </c>
      <c r="AJ16" s="22">
        <f t="shared" si="3"/>
        <v>0</v>
      </c>
      <c r="AK16" s="157">
        <f t="shared" ref="AK16" si="9">AJ16-AJ17</f>
        <v>0</v>
      </c>
      <c r="AL16" s="83"/>
      <c r="AM16" s="81"/>
      <c r="AN16" s="81"/>
    </row>
    <row r="17" spans="1:41" ht="29.25" customHeight="1">
      <c r="A17" s="160"/>
      <c r="B17" s="97" t="s">
        <v>57</v>
      </c>
      <c r="C17" s="98"/>
      <c r="D17" s="98"/>
      <c r="E17" s="98"/>
      <c r="F17" s="95"/>
      <c r="G17" s="95"/>
      <c r="H17" s="95"/>
      <c r="I17" s="95"/>
      <c r="J17" s="95"/>
      <c r="K17" s="95"/>
      <c r="L17" s="98"/>
      <c r="M17" s="95"/>
      <c r="N17" s="98"/>
      <c r="O17" s="98"/>
      <c r="P17" s="98"/>
      <c r="Q17" s="95"/>
      <c r="R17" s="95"/>
      <c r="S17" s="95"/>
      <c r="T17" s="98"/>
      <c r="U17" s="98"/>
      <c r="V17" s="98"/>
      <c r="W17" s="98"/>
      <c r="X17" s="98"/>
      <c r="Y17" s="98"/>
      <c r="Z17" s="98"/>
      <c r="AA17" s="98"/>
      <c r="AB17" s="98"/>
      <c r="AC17" s="95"/>
      <c r="AD17" s="95"/>
      <c r="AE17" s="95"/>
      <c r="AF17" s="95"/>
      <c r="AG17" s="95"/>
      <c r="AH17" s="105">
        <f>AI16-AI17</f>
        <v>0</v>
      </c>
      <c r="AI17" s="103">
        <f t="shared" ref="AI17" si="10">SUM(C17:AG17)</f>
        <v>0</v>
      </c>
      <c r="AJ17" s="22">
        <f t="shared" si="3"/>
        <v>0</v>
      </c>
      <c r="AK17" s="165"/>
      <c r="AL17" s="99"/>
      <c r="AM17"/>
      <c r="AN17"/>
    </row>
    <row r="18" spans="1:41" ht="29.25" customHeight="1">
      <c r="A18" s="161" t="s">
        <v>68</v>
      </c>
      <c r="B18" s="114" t="s">
        <v>59</v>
      </c>
      <c r="C18" s="115"/>
      <c r="D18" s="115"/>
      <c r="E18" s="115"/>
      <c r="F18" s="116"/>
      <c r="G18" s="116"/>
      <c r="H18" s="116"/>
      <c r="I18" s="116"/>
      <c r="J18" s="116"/>
      <c r="K18" s="116"/>
      <c r="L18" s="115"/>
      <c r="M18" s="116"/>
      <c r="N18" s="115"/>
      <c r="O18" s="115"/>
      <c r="P18" s="115"/>
      <c r="Q18" s="116"/>
      <c r="R18" s="116"/>
      <c r="S18" s="116"/>
      <c r="T18" s="115"/>
      <c r="U18" s="115"/>
      <c r="V18" s="115"/>
      <c r="W18" s="115"/>
      <c r="X18" s="115"/>
      <c r="Y18" s="115"/>
      <c r="Z18" s="115"/>
      <c r="AA18" s="115"/>
      <c r="AB18" s="115"/>
      <c r="AC18" s="116"/>
      <c r="AD18" s="116"/>
      <c r="AE18" s="116"/>
      <c r="AF18" s="116"/>
      <c r="AG18" s="116"/>
      <c r="AH18" s="104">
        <f t="shared" ref="AH18:AH20" si="11">SUM(C18:AG18)</f>
        <v>0</v>
      </c>
      <c r="AI18" s="106">
        <f>(AH18*45)+(AB18*12)</f>
        <v>0</v>
      </c>
      <c r="AJ18" s="107">
        <f t="shared" si="3"/>
        <v>0</v>
      </c>
      <c r="AK18" s="108" t="e">
        <f>(AJ18-AJ19)+#REF!</f>
        <v>#REF!</v>
      </c>
      <c r="AL18" s="83"/>
      <c r="AM18"/>
      <c r="AN18"/>
    </row>
    <row r="19" spans="1:41" ht="29.25" customHeight="1">
      <c r="A19" s="162"/>
      <c r="B19" s="97" t="s">
        <v>57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5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2">
        <f>AI18-AI19</f>
        <v>0</v>
      </c>
      <c r="AI19" s="106">
        <f t="shared" ref="AI19" si="12">SUM(C19:AG19)</f>
        <v>0</v>
      </c>
      <c r="AJ19" s="111">
        <f>(AI19*AL19)</f>
        <v>0</v>
      </c>
      <c r="AK19" s="110"/>
      <c r="AL19" s="83"/>
      <c r="AM19"/>
      <c r="AN19"/>
    </row>
    <row r="20" spans="1:41" ht="29.25" customHeight="1">
      <c r="A20" s="160" t="s">
        <v>69</v>
      </c>
      <c r="B20" s="114" t="s">
        <v>59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13">
        <f t="shared" si="11"/>
        <v>0</v>
      </c>
      <c r="AI20" s="101">
        <f>AH20*45</f>
        <v>0</v>
      </c>
      <c r="AJ20" s="75">
        <f t="shared" si="3"/>
        <v>0</v>
      </c>
      <c r="AK20" s="155">
        <f t="shared" ref="AK20" si="13">AJ20-AJ21</f>
        <v>0</v>
      </c>
      <c r="AL20" s="102"/>
      <c r="AM20" s="78"/>
      <c r="AN20" s="78"/>
    </row>
    <row r="21" spans="1:41" ht="29.25" customHeight="1">
      <c r="A21" s="130"/>
      <c r="B21" s="33" t="s">
        <v>57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0"/>
      <c r="AH21" s="36">
        <f>AI20-AI21</f>
        <v>0</v>
      </c>
      <c r="AI21" s="27">
        <f t="shared" ref="AI21" si="14">SUM(C21:AG21)</f>
        <v>0</v>
      </c>
      <c r="AJ21" s="22">
        <f t="shared" si="3"/>
        <v>0</v>
      </c>
      <c r="AK21" s="156"/>
      <c r="AL21" s="84"/>
      <c r="AM21" s="78"/>
      <c r="AN21" s="78"/>
      <c r="AO21" s="82"/>
    </row>
    <row r="22" spans="1:41" ht="29.25" customHeight="1">
      <c r="A22" s="129" t="s">
        <v>70</v>
      </c>
      <c r="B22" s="33" t="s">
        <v>59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0"/>
      <c r="AH22" s="30">
        <f t="shared" si="2"/>
        <v>0</v>
      </c>
      <c r="AI22" s="27">
        <f>AH22*45</f>
        <v>0</v>
      </c>
      <c r="AJ22" s="22">
        <f t="shared" si="3"/>
        <v>0</v>
      </c>
      <c r="AK22" s="157">
        <f t="shared" ref="AK22" si="15">AJ22-AJ23</f>
        <v>0</v>
      </c>
      <c r="AL22" s="84"/>
      <c r="AM22" s="78"/>
      <c r="AN22" s="78"/>
    </row>
    <row r="23" spans="1:41" ht="29.25" customHeight="1">
      <c r="A23" s="130"/>
      <c r="B23" s="33" t="s">
        <v>57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0"/>
      <c r="AH23" s="36">
        <f>AI22-AI23</f>
        <v>0</v>
      </c>
      <c r="AI23" s="27">
        <f t="shared" ref="AI23" si="16">SUM(C23:AG23)</f>
        <v>0</v>
      </c>
      <c r="AJ23" s="22">
        <f t="shared" si="3"/>
        <v>0</v>
      </c>
      <c r="AK23" s="158"/>
      <c r="AL23" s="84"/>
      <c r="AM23" s="78"/>
      <c r="AN23" s="78"/>
    </row>
    <row r="24" spans="1:41" ht="29.25" customHeight="1">
      <c r="A24" s="129" t="s">
        <v>71</v>
      </c>
      <c r="B24" s="33" t="s">
        <v>59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0"/>
      <c r="AH24" s="30">
        <f t="shared" si="2"/>
        <v>0</v>
      </c>
      <c r="AI24" s="27">
        <f>AH24*45</f>
        <v>0</v>
      </c>
      <c r="AJ24" s="22">
        <f t="shared" si="3"/>
        <v>0</v>
      </c>
      <c r="AK24" s="163">
        <f t="shared" ref="AK24" si="17">AJ24-AJ25</f>
        <v>0</v>
      </c>
      <c r="AL24" s="84"/>
      <c r="AM24" s="78"/>
      <c r="AN24" s="78"/>
    </row>
    <row r="25" spans="1:41" ht="29.25" customHeight="1">
      <c r="A25" s="130"/>
      <c r="B25" s="33" t="s">
        <v>57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21"/>
      <c r="AH25" s="36">
        <f>AI24-AI25</f>
        <v>0</v>
      </c>
      <c r="AI25" s="27">
        <f t="shared" ref="AI25" si="18">SUM(C25:AG25)</f>
        <v>0</v>
      </c>
      <c r="AJ25" s="22">
        <f t="shared" si="3"/>
        <v>0</v>
      </c>
      <c r="AK25" s="164"/>
      <c r="AL25" s="84"/>
      <c r="AM25" s="78"/>
      <c r="AN25" s="78"/>
    </row>
    <row r="26" spans="1:41" ht="29.25" customHeight="1">
      <c r="A26" s="129" t="s">
        <v>72</v>
      </c>
      <c r="B26" s="33" t="s">
        <v>59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21"/>
      <c r="AH26" s="30">
        <f>SUM(C26:AG26)</f>
        <v>0</v>
      </c>
      <c r="AI26" s="27">
        <f>AH26*45</f>
        <v>0</v>
      </c>
      <c r="AJ26" s="22">
        <f t="shared" si="3"/>
        <v>0</v>
      </c>
      <c r="AK26" s="157">
        <f t="shared" ref="AK26" si="19">AJ26-AJ27</f>
        <v>0</v>
      </c>
      <c r="AL26" s="84"/>
      <c r="AM26" s="78"/>
      <c r="AN26" s="78"/>
    </row>
    <row r="27" spans="1:41" ht="29.25" customHeight="1" thickBot="1">
      <c r="A27" s="130"/>
      <c r="B27" s="33" t="s">
        <v>57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2"/>
      <c r="AH27" s="36">
        <f>AI26-AI27</f>
        <v>0</v>
      </c>
      <c r="AI27" s="28">
        <f t="shared" ref="AI27" si="20">SUM(C27:AG27)</f>
        <v>0</v>
      </c>
      <c r="AJ27" s="23">
        <f>(AI27*AL27)</f>
        <v>0</v>
      </c>
      <c r="AK27" s="159"/>
      <c r="AL27" s="84"/>
      <c r="AM27" s="78"/>
      <c r="AN27" s="78"/>
    </row>
    <row r="28" spans="1:41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41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>
        <f>AI26+AI24+AI22+AI20+AI18+AI16+AI14+AI12+AI10+AI8+AI6+AI4</f>
        <v>4320</v>
      </c>
    </row>
    <row r="30" spans="1:41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41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41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6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</sheetData>
  <mergeCells count="23">
    <mergeCell ref="A24:A25"/>
    <mergeCell ref="AK24:AK25"/>
    <mergeCell ref="A26:A27"/>
    <mergeCell ref="AK26:AK27"/>
    <mergeCell ref="A18:A19"/>
    <mergeCell ref="A22:A23"/>
    <mergeCell ref="AK22:AK23"/>
    <mergeCell ref="A20:A21"/>
    <mergeCell ref="AK20:AK21"/>
    <mergeCell ref="A16:A17"/>
    <mergeCell ref="AK16:AK17"/>
    <mergeCell ref="A10:A11"/>
    <mergeCell ref="AK10:AK11"/>
    <mergeCell ref="A12:A13"/>
    <mergeCell ref="AK12:AK13"/>
    <mergeCell ref="A14:A15"/>
    <mergeCell ref="AK14:AK15"/>
    <mergeCell ref="A1:AJ1"/>
    <mergeCell ref="A4:A5"/>
    <mergeCell ref="AK4:AK5"/>
    <mergeCell ref="A6:A7"/>
    <mergeCell ref="A8:A9"/>
    <mergeCell ref="AK8:A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입고현황정리 2020</vt:lpstr>
      <vt:lpstr>종합자료</vt:lpstr>
      <vt:lpstr>입고현황정리 2021</vt:lpstr>
      <vt:lpstr>종합자료 2022</vt:lpstr>
      <vt:lpstr>입고현황정리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2020-02-08T04:19:48Z</dcterms:created>
  <dcterms:modified xsi:type="dcterms:W3CDTF">2022-02-22T03:36:16Z</dcterms:modified>
</cp:coreProperties>
</file>