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iA\IKT110\consulting\data_stuff\"/>
    </mc:Choice>
  </mc:AlternateContent>
  <xr:revisionPtr revIDLastSave="0" documentId="13_ncr:1_{0F0F265A-E86C-4E12-9FDB-49B742B74174}" xr6:coauthVersionLast="47" xr6:coauthVersionMax="47" xr10:uidLastSave="{00000000-0000-0000-0000-000000000000}"/>
  <bookViews>
    <workbookView xWindow="-108" yWindow="-108" windowWidth="23256" windowHeight="12456" activeTab="4" xr2:uid="{736860FF-DA52-421D-B15B-F84C7A8C2823}"/>
  </bookViews>
  <sheets>
    <sheet name="week0" sheetId="2" r:id="rId1"/>
    <sheet name="week1" sheetId="3" r:id="rId2"/>
    <sheet name="week2" sheetId="4" r:id="rId3"/>
    <sheet name="week3" sheetId="5" r:id="rId4"/>
    <sheet name="week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20" i="1"/>
  <c r="H21" i="1"/>
  <c r="H22" i="1"/>
  <c r="K15" i="5"/>
  <c r="L15" i="5"/>
  <c r="L10" i="5"/>
  <c r="L11" i="5"/>
  <c r="K2" i="5"/>
  <c r="K3" i="5"/>
  <c r="K4" i="5"/>
  <c r="K5" i="5"/>
  <c r="K6" i="5"/>
  <c r="K7" i="5"/>
  <c r="K8" i="5"/>
  <c r="L8" i="5" s="1"/>
  <c r="K9" i="5"/>
  <c r="L9" i="5" s="1"/>
  <c r="K10" i="5"/>
  <c r="K11" i="5"/>
  <c r="K12" i="5"/>
  <c r="K13" i="5"/>
  <c r="K14" i="5"/>
  <c r="J2" i="5"/>
  <c r="J15" i="5" s="1"/>
  <c r="J3" i="5"/>
  <c r="L3" i="5" s="1"/>
  <c r="J4" i="5"/>
  <c r="L4" i="5" s="1"/>
  <c r="J5" i="5"/>
  <c r="L5" i="5" s="1"/>
  <c r="J6" i="5"/>
  <c r="L6" i="5" s="1"/>
  <c r="J7" i="5"/>
  <c r="L7" i="5" s="1"/>
  <c r="J8" i="5"/>
  <c r="J9" i="5"/>
  <c r="J10" i="5"/>
  <c r="J11" i="5"/>
  <c r="J12" i="5"/>
  <c r="L12" i="5" s="1"/>
  <c r="J13" i="5"/>
  <c r="L13" i="5" s="1"/>
  <c r="J14" i="5"/>
  <c r="L14" i="5" s="1"/>
  <c r="F3" i="5"/>
  <c r="F4" i="5"/>
  <c r="F5" i="5"/>
  <c r="F6" i="5"/>
  <c r="F7" i="5"/>
  <c r="F8" i="5"/>
  <c r="F9" i="5"/>
  <c r="F10" i="5"/>
  <c r="F11" i="5"/>
  <c r="F12" i="5"/>
  <c r="F13" i="5"/>
  <c r="F14" i="5"/>
  <c r="F2" i="5"/>
  <c r="K15" i="4"/>
  <c r="L15" i="4"/>
  <c r="L10" i="4"/>
  <c r="L11" i="4"/>
  <c r="K2" i="4"/>
  <c r="K3" i="4"/>
  <c r="K4" i="4"/>
  <c r="K5" i="4"/>
  <c r="K6" i="4"/>
  <c r="K7" i="4"/>
  <c r="K8" i="4"/>
  <c r="L8" i="4" s="1"/>
  <c r="K9" i="4"/>
  <c r="L9" i="4" s="1"/>
  <c r="K10" i="4"/>
  <c r="K11" i="4"/>
  <c r="K12" i="4"/>
  <c r="K13" i="4"/>
  <c r="K14" i="4"/>
  <c r="J2" i="4"/>
  <c r="J15" i="4" s="1"/>
  <c r="J3" i="4"/>
  <c r="L3" i="4" s="1"/>
  <c r="J4" i="4"/>
  <c r="L4" i="4" s="1"/>
  <c r="J5" i="4"/>
  <c r="L5" i="4" s="1"/>
  <c r="J6" i="4"/>
  <c r="L6" i="4" s="1"/>
  <c r="J7" i="4"/>
  <c r="L7" i="4" s="1"/>
  <c r="J8" i="4"/>
  <c r="J9" i="4"/>
  <c r="J10" i="4"/>
  <c r="J11" i="4"/>
  <c r="J12" i="4"/>
  <c r="L12" i="4" s="1"/>
  <c r="J13" i="4"/>
  <c r="L13" i="4" s="1"/>
  <c r="J14" i="4"/>
  <c r="L14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L15" i="2"/>
  <c r="H18" i="1" s="1"/>
  <c r="L3" i="2"/>
  <c r="L4" i="2"/>
  <c r="L5" i="2"/>
  <c r="L6" i="2"/>
  <c r="L7" i="2"/>
  <c r="L8" i="2"/>
  <c r="L9" i="2"/>
  <c r="L10" i="2"/>
  <c r="L11" i="2"/>
  <c r="L12" i="2"/>
  <c r="L13" i="2"/>
  <c r="L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F13" i="2"/>
  <c r="F14" i="2"/>
  <c r="F2" i="2"/>
  <c r="F4" i="2"/>
  <c r="F5" i="2"/>
  <c r="F6" i="2"/>
  <c r="F7" i="2"/>
  <c r="F8" i="2"/>
  <c r="F9" i="2"/>
  <c r="F10" i="2"/>
  <c r="F11" i="2"/>
  <c r="F12" i="2"/>
  <c r="F3" i="2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K9" i="1"/>
  <c r="L9" i="1" s="1"/>
  <c r="K10" i="1"/>
  <c r="K5" i="1"/>
  <c r="K14" i="1"/>
  <c r="K8" i="1"/>
  <c r="K13" i="1"/>
  <c r="K11" i="1"/>
  <c r="K4" i="1"/>
  <c r="K6" i="1"/>
  <c r="K2" i="1"/>
  <c r="K7" i="1"/>
  <c r="K12" i="1"/>
  <c r="K3" i="1"/>
  <c r="J9" i="1"/>
  <c r="J10" i="1"/>
  <c r="J5" i="1"/>
  <c r="L5" i="1" s="1"/>
  <c r="J14" i="1"/>
  <c r="J8" i="1"/>
  <c r="J13" i="1"/>
  <c r="L13" i="1" s="1"/>
  <c r="J11" i="1"/>
  <c r="L11" i="1" s="1"/>
  <c r="J4" i="1"/>
  <c r="L4" i="1" s="1"/>
  <c r="J6" i="1"/>
  <c r="J2" i="1"/>
  <c r="J7" i="1"/>
  <c r="J12" i="1"/>
  <c r="J3" i="1"/>
  <c r="F9" i="1"/>
  <c r="F10" i="1"/>
  <c r="F5" i="1"/>
  <c r="F14" i="1"/>
  <c r="F8" i="1"/>
  <c r="F13" i="1"/>
  <c r="F11" i="1"/>
  <c r="F4" i="1"/>
  <c r="F6" i="1"/>
  <c r="F2" i="1"/>
  <c r="F7" i="1"/>
  <c r="F12" i="1"/>
  <c r="F3" i="1"/>
  <c r="D15" i="1"/>
  <c r="C15" i="1"/>
  <c r="H6" i="1"/>
  <c r="I6" i="1" s="1"/>
  <c r="H7" i="1"/>
  <c r="I7" i="1" s="1"/>
  <c r="H14" i="1"/>
  <c r="I14" i="1" s="1"/>
  <c r="H3" i="1"/>
  <c r="I3" i="1" s="1"/>
  <c r="H9" i="1"/>
  <c r="I9" i="1" s="1"/>
  <c r="H4" i="1"/>
  <c r="I4" i="1" s="1"/>
  <c r="H2" i="1"/>
  <c r="I2" i="1" s="1"/>
  <c r="H11" i="1"/>
  <c r="I11" i="1" s="1"/>
  <c r="H12" i="1"/>
  <c r="I12" i="1" s="1"/>
  <c r="H5" i="1"/>
  <c r="I5" i="1" s="1"/>
  <c r="H8" i="1"/>
  <c r="I8" i="1" s="1"/>
  <c r="H10" i="1"/>
  <c r="I10" i="1" s="1"/>
  <c r="H13" i="1"/>
  <c r="I13" i="1" s="1"/>
  <c r="J15" i="3" l="1"/>
  <c r="K15" i="3"/>
  <c r="L2" i="5"/>
  <c r="L2" i="4"/>
  <c r="L14" i="1"/>
  <c r="L7" i="1"/>
  <c r="L10" i="1"/>
  <c r="L2" i="1"/>
  <c r="L3" i="1"/>
  <c r="L12" i="1"/>
  <c r="L6" i="1"/>
  <c r="L8" i="1"/>
  <c r="K15" i="1"/>
  <c r="J15" i="1"/>
  <c r="F15" i="1"/>
  <c r="L15" i="1" l="1"/>
  <c r="L10" i="3"/>
  <c r="L8" i="3"/>
  <c r="L7" i="3"/>
  <c r="L12" i="3"/>
  <c r="L13" i="3"/>
  <c r="L3" i="3"/>
  <c r="L14" i="3"/>
  <c r="L4" i="3"/>
  <c r="L6" i="3"/>
  <c r="L9" i="3"/>
  <c r="L5" i="3"/>
  <c r="L11" i="3"/>
  <c r="L2" i="3"/>
  <c r="L15" i="3" l="1"/>
  <c r="H19" i="1" s="1"/>
</calcChain>
</file>

<file path=xl/sharedStrings.xml><?xml version="1.0" encoding="utf-8"?>
<sst xmlns="http://schemas.openxmlformats.org/spreadsheetml/2006/main" count="133" uniqueCount="35">
  <si>
    <t>week</t>
  </si>
  <si>
    <t>rice_porridge</t>
  </si>
  <si>
    <t>nails</t>
  </si>
  <si>
    <t>ice_cream</t>
  </si>
  <si>
    <t>hot_dogs</t>
  </si>
  <si>
    <t>sunscreen</t>
  </si>
  <si>
    <t>dinosaur</t>
  </si>
  <si>
    <t>laderhosen</t>
  </si>
  <si>
    <t>gjokur_ja</t>
  </si>
  <si>
    <t>batteries</t>
  </si>
  <si>
    <t>monster</t>
  </si>
  <si>
    <t>hammer</t>
  </si>
  <si>
    <t>knives</t>
  </si>
  <si>
    <t>matress</t>
  </si>
  <si>
    <t>Spalte1</t>
  </si>
  <si>
    <t>Amount Bought</t>
  </si>
  <si>
    <t>Article Name</t>
  </si>
  <si>
    <t>Amount Expired</t>
  </si>
  <si>
    <t>Totals</t>
  </si>
  <si>
    <t>Profit</t>
  </si>
  <si>
    <t>Amount Sold</t>
  </si>
  <si>
    <t>Selling Price</t>
  </si>
  <si>
    <t>Supplier Price</t>
  </si>
  <si>
    <t>Profit Margin</t>
  </si>
  <si>
    <t>%Profit Margin</t>
  </si>
  <si>
    <t>Expenses</t>
  </si>
  <si>
    <t>Revenue</t>
  </si>
  <si>
    <t>mattress</t>
  </si>
  <si>
    <t>Week</t>
  </si>
  <si>
    <t>dinosuar</t>
  </si>
  <si>
    <t>week0</t>
  </si>
  <si>
    <t>week1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</si>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</sst>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NOK]_-;\-* #,##0.00\ [$NOK]_-;_-* &quot;-&quot;??\ [$NOK]_-;_-@_-"/>
    <numFmt numFmtId="165" formatCode="_-[$$-409]* #,##0.00_ ;_-[$$-409]* \-#,##0.00\ ;_-[$$-409]* &quot;-&quot;??_ ;_-@_ 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double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2" xfId="0" applyNumberFormat="1" applyBorder="1"/>
    <xf numFmtId="10" fontId="0" fillId="0" borderId="2" xfId="0" applyNumberFormat="1" applyBorder="1"/>
    <xf numFmtId="164" fontId="0" fillId="0" borderId="2" xfId="0" applyNumberFormat="1" applyBorder="1"/>
    <xf numFmtId="0" fontId="1" fillId="2" borderId="0" xfId="0" applyFont="1" applyFill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2" fontId="2" fillId="0" borderId="3" xfId="0" applyNumberFormat="1" applyFont="1" applyBorder="1" applyAlignment="1">
      <alignment vertical="center" wrapText="1"/>
    </xf>
    <xf numFmtId="2" fontId="2" fillId="0" borderId="3" xfId="0" applyNumberFormat="1" applyFont="1" applyBorder="1"/>
    <xf numFmtId="10" fontId="2" fillId="0" borderId="3" xfId="0" applyNumberFormat="1" applyFont="1" applyBorder="1"/>
    <xf numFmtId="164" fontId="2" fillId="0" borderId="3" xfId="0" applyNumberFormat="1" applyFont="1" applyBorder="1"/>
    <xf numFmtId="164" fontId="0" fillId="0" borderId="2" xfId="0" applyNumberFormat="1" applyBorder="1" applyAlignment="1">
      <alignment vertical="center" wrapText="1"/>
    </xf>
    <xf numFmtId="0" fontId="1" fillId="2" borderId="4" xfId="0" applyFont="1" applyFill="1" applyBorder="1"/>
    <xf numFmtId="2" fontId="4" fillId="0" borderId="5" xfId="0" applyNumberFormat="1" applyFont="1" applyBorder="1" applyAlignment="1">
      <alignment vertical="center" wrapText="1"/>
    </xf>
    <xf numFmtId="2" fontId="4" fillId="0" borderId="6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5" fontId="0" fillId="0" borderId="0" xfId="0" applyNumberFormat="1"/>
  </cellXfs>
  <cellStyles count="1">
    <cellStyle name="Standard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border diagonalUp="0" diagonalDown="0">
        <left/>
        <right/>
        <top style="thin">
          <color theme="1"/>
        </top>
        <bottom/>
        <vertical/>
        <horizontal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4" formatCode="0.00%"/>
      <border diagonalUp="0" diagonalDown="0" outline="0">
        <left/>
        <right/>
        <top style="thin">
          <color theme="1"/>
        </top>
        <bottom/>
      </border>
    </dxf>
    <dxf>
      <numFmt numFmtId="2" formatCode="0.0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border diagonalUp="0" diagonalDown="0" outline="0">
        <left/>
        <right/>
        <top style="thin">
          <color theme="1"/>
        </top>
        <bottom/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border diagonalUp="0" diagonalDown="0">
        <left/>
        <right/>
        <top style="thin">
          <color theme="1"/>
        </top>
        <bottom/>
        <vertical/>
        <horizontal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64" formatCode="_-* #,##0.00\ [$NOK]_-;\-* #,##0.00\ [$NOK]_-;_-* &quot;-&quot;??\ [$NOK]_-;_-@_-"/>
      <border diagonalUp="0" diagonalDown="0" outline="0">
        <left/>
        <right/>
        <top style="thin">
          <color theme="1"/>
        </top>
        <bottom/>
      </border>
    </dxf>
    <dxf>
      <numFmt numFmtId="14" formatCode="0.00%"/>
      <border diagonalUp="0" diagonalDown="0" outline="0">
        <left/>
        <right/>
        <top style="thin">
          <color theme="1"/>
        </top>
        <bottom/>
      </border>
    </dxf>
    <dxf>
      <numFmt numFmtId="2" formatCode="0.00"/>
      <border diagonalUp="0" diagonalDown="0" outline="0">
        <left/>
        <right/>
        <top style="thin">
          <color theme="1"/>
        </top>
        <bottom/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164" formatCode="_-* #,##0.00\ [$NOK]_-;\-* #,##0.00\ [$NOK]_-;_-* &quot;-&quot;??\ [$NOK]_-;_-@_-"/>
    </dxf>
    <dxf>
      <numFmt numFmtId="164" formatCode="_-* #,##0.00\ [$NOK]_-;\-* #,##0.00\ [$NOK]_-;_-* &quot;-&quot;??\ [$NOK]_-;_-@_-"/>
    </dxf>
    <dxf>
      <numFmt numFmtId="164" formatCode="_-* #,##0.00\ [$NOK]_-;\-* #,##0.00\ [$NOK]_-;_-* &quot;-&quot;??\ [$NOK]_-;_-@_-"/>
    </dxf>
    <dxf>
      <numFmt numFmtId="164" formatCode="_-* #,##0.00\ [$NOK]_-;\-* #,##0.00\ [$NOK]_-;_-* &quot;-&quot;??\ [$NOK]_-;_-@_-"/>
    </dxf>
    <dxf>
      <numFmt numFmtId="164" formatCode="_-* #,##0.00\ [$NOK]_-;\-* #,##0.00\ [$NOK]_-;_-* &quot;-&quot;??\ [$NOK]_-;_-@_-"/>
    </dxf>
    <dxf>
      <numFmt numFmtId="164" formatCode="_-* #,##0.00\ [$NOK]_-;\-* #,##0.00\ [$NOK]_-;_-* &quot;-&quot;??\ [$NOK]_-;_-@_-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164" formatCode="_-* #,##0.00\ [$NOK]_-;\-* #,##0.00\ [$NOK]_-;_-* &quot;-&quot;??\ [$NOK]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double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.00\ [$NOK]_-;\-* #,##0.00\ [$NOK]_-;_-* &quot;-&quot;??\ [$NOK]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Profit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week4!$G$18</c:f>
              <c:strCache>
                <c:ptCount val="1"/>
                <c:pt idx="0">
                  <c:v>week0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week4!$H$18</c:f>
              <c:numCache>
                <c:formatCode>_-[$$-409]* #,##0.00_ ;_-[$$-409]* \-#,##0.00\ ;_-[$$-409]* "-"??_ ;_-@_ </c:formatCode>
                <c:ptCount val="1"/>
                <c:pt idx="0">
                  <c:v>-400338.30999999994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6B9-4F0B-9F1C-287BD3E1E5F3}"/>
            </c:ext>
          </c:extLst>
        </c:ser>
        <c:ser>
          <c:idx val="1"/>
          <c:order val="1"/>
          <c:tx>
            <c:strRef>
              <c:f>week4!$G$19</c:f>
              <c:strCache>
                <c:ptCount val="1"/>
                <c:pt idx="0">
                  <c:v>week1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week4!$H$19</c:f>
              <c:numCache>
                <c:formatCode>_-[$$-409]* #,##0.00_ ;_-[$$-409]* \-#,##0.00\ ;_-[$$-409]* "-"??_ ;_-@_ </c:formatCode>
                <c:ptCount val="1"/>
                <c:pt idx="0">
                  <c:v>-689289.46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C6B9-4F0B-9F1C-287BD3E1E5F3}"/>
            </c:ext>
          </c:extLst>
        </c:ser>
        <c:ser>
          <c:idx val="2"/>
          <c:order val="2"/>
          <c:tx>
            <c:strRef>
              <c:f>week4!$G$20</c:f>
              <c:strCache>
                <c:ptCount val="1"/>
                <c:pt idx="0">
                  <c:v>week2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week4!$H$20</c:f>
              <c:numCache>
                <c:formatCode>_-[$$-409]* #,##0.00_ ;_-[$$-409]* \-#,##0.00\ ;_-[$$-409]* "-"??_ ;_-@_ </c:formatCode>
                <c:ptCount val="1"/>
                <c:pt idx="0">
                  <c:v>-1865488.0999999999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C6B9-4F0B-9F1C-287BD3E1E5F3}"/>
            </c:ext>
          </c:extLst>
        </c:ser>
        <c:ser>
          <c:idx val="3"/>
          <c:order val="3"/>
          <c:tx>
            <c:strRef>
              <c:f>week4!$G$21</c:f>
              <c:strCache>
                <c:ptCount val="1"/>
                <c:pt idx="0">
                  <c:v>week3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week4!$H$21</c:f>
              <c:numCache>
                <c:formatCode>_-[$$-409]* #,##0.00_ ;_-[$$-409]* \-#,##0.00\ ;_-[$$-409]* "-"??_ ;_-@_ </c:formatCode>
                <c:ptCount val="1"/>
                <c:pt idx="0">
                  <c:v>-443949.62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C6B9-4F0B-9F1C-287BD3E1E5F3}"/>
            </c:ext>
          </c:extLst>
        </c:ser>
        <c:ser>
          <c:idx val="4"/>
          <c:order val="4"/>
          <c:tx>
            <c:strRef>
              <c:f>week4!$G$22</c:f>
              <c:strCache>
                <c:ptCount val="1"/>
                <c:pt idx="0">
                  <c:v>week4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week4!$H$22</c:f>
              <c:numCache>
                <c:formatCode>_-[$$-409]* #,##0.00_ ;_-[$$-409]* \-#,##0.00\ ;_-[$$-409]* "-"??_ ;_-@_ </c:formatCode>
                <c:ptCount val="1"/>
                <c:pt idx="0">
                  <c:v>496626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9-4F0B-9F1C-287BD3E1E5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244079"/>
        <c:axId val="435244559"/>
      </c:barChart>
      <c:catAx>
        <c:axId val="435244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5244559"/>
        <c:crosses val="autoZero"/>
        <c:auto val="1"/>
        <c:lblAlgn val="ctr"/>
        <c:lblOffset val="100"/>
        <c:noMultiLvlLbl val="0"/>
      </c:catAx>
      <c:valAx>
        <c:axId val="43524455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Profit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week4!$G$18</c:f>
              <c:strCache>
                <c:ptCount val="1"/>
                <c:pt idx="0">
                  <c:v>week0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week4!$H$18</c:f>
              <c:numCache>
                <c:formatCode>_-[$$-409]* #,##0.00_ ;_-[$$-409]* \-#,##0.00\ ;_-[$$-409]* "-"??_ ;_-@_ </c:formatCode>
                <c:ptCount val="1"/>
                <c:pt idx="0">
                  <c:v>-400338.30999999994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940-4BC7-9BEC-F2C33940EF4E}"/>
            </c:ext>
          </c:extLst>
        </c:ser>
        <c:ser>
          <c:idx val="1"/>
          <c:order val="1"/>
          <c:tx>
            <c:strRef>
              <c:f>week4!$G$19</c:f>
              <c:strCache>
                <c:ptCount val="1"/>
                <c:pt idx="0">
                  <c:v>week1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week4!$H$19</c:f>
              <c:numCache>
                <c:formatCode>_-[$$-409]* #,##0.00_ ;_-[$$-409]* \-#,##0.00\ ;_-[$$-409]* "-"??_ ;_-@_ </c:formatCode>
                <c:ptCount val="1"/>
                <c:pt idx="0">
                  <c:v>-689289.46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940-4BC7-9BEC-F2C33940EF4E}"/>
            </c:ext>
          </c:extLst>
        </c:ser>
        <c:ser>
          <c:idx val="2"/>
          <c:order val="2"/>
          <c:tx>
            <c:strRef>
              <c:f>week4!$G$20</c:f>
              <c:strCache>
                <c:ptCount val="1"/>
                <c:pt idx="0">
                  <c:v>week2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week4!$H$20</c:f>
              <c:numCache>
                <c:formatCode>_-[$$-409]* #,##0.00_ ;_-[$$-409]* \-#,##0.00\ ;_-[$$-409]* "-"??_ ;_-@_ </c:formatCode>
                <c:ptCount val="1"/>
                <c:pt idx="0">
                  <c:v>-1865488.0999999999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2940-4BC7-9BEC-F2C33940EF4E}"/>
            </c:ext>
          </c:extLst>
        </c:ser>
        <c:ser>
          <c:idx val="3"/>
          <c:order val="3"/>
          <c:tx>
            <c:strRef>
              <c:f>week4!$G$21</c:f>
              <c:strCache>
                <c:ptCount val="1"/>
                <c:pt idx="0">
                  <c:v>week3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week4!$H$21</c:f>
              <c:numCache>
                <c:formatCode>_-[$$-409]* #,##0.00_ ;_-[$$-409]* \-#,##0.00\ ;_-[$$-409]* "-"??_ ;_-@_ </c:formatCode>
                <c:ptCount val="1"/>
                <c:pt idx="0">
                  <c:v>-443949.62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940-4BC7-9BEC-F2C33940E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244079"/>
        <c:axId val="435244559"/>
      </c:barChart>
      <c:catAx>
        <c:axId val="435244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5244559"/>
        <c:crosses val="autoZero"/>
        <c:auto val="1"/>
        <c:lblAlgn val="ctr"/>
        <c:lblOffset val="100"/>
        <c:noMultiLvlLbl val="0"/>
      </c:catAx>
      <c:valAx>
        <c:axId val="43524455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156210</xdr:rowOff>
    </xdr:from>
    <xdr:to>
      <xdr:col>5</xdr:col>
      <xdr:colOff>144780</xdr:colOff>
      <xdr:row>30</xdr:row>
      <xdr:rowOff>156210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952BAE-628F-CFF3-A2EA-5242DD1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34</xdr:row>
      <xdr:rowOff>0</xdr:rowOff>
    </xdr:from>
    <xdr:to>
      <xdr:col>5</xdr:col>
      <xdr:colOff>129540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29A917-9439-44E9-85CB-1307D79EE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5EB34-851D-4EC8-AC88-F3D614D85752}" name="Tabelle7" displayName="Tabelle7" ref="A1:L15" totalsRowShown="0" headerRowDxfId="103" dataDxfId="102" tableBorderDxfId="101">
  <autoFilter ref="A1:L15" xr:uid="{DC85EB34-851D-4EC8-AC88-F3D614D85752}"/>
  <tableColumns count="12">
    <tableColumn id="1" xr3:uid="{6C3D9482-C128-4CF5-8697-14C52C014B21}" name="Week" dataDxfId="100"/>
    <tableColumn id="2" xr3:uid="{39C15BF7-A8CA-4D48-8136-6DBBD5A7A4CA}" name="Article Name" dataDxfId="99"/>
    <tableColumn id="3" xr3:uid="{B569BD3E-3B49-464A-80EE-938EB91CA167}" name="Amount Sold" dataDxfId="98"/>
    <tableColumn id="4" xr3:uid="{784AD4A0-3B20-4705-AE58-9C0D6D2597B3}" name="Amount Bought" dataDxfId="97"/>
    <tableColumn id="5" xr3:uid="{AA87AADD-D4CE-48CE-A07F-63510DC7FDDF}" name="Selling Price" dataDxfId="96"/>
    <tableColumn id="6" xr3:uid="{0D46591D-0AD8-488D-B723-42E6E8EEE437}" name="Spalte1" dataDxfId="95"/>
    <tableColumn id="7" xr3:uid="{34EC0C61-5D67-48A6-87EB-5DF0E2797F41}" name="Supplier Price" dataDxfId="94"/>
    <tableColumn id="8" xr3:uid="{EDEE1862-5820-4222-AF35-3C74F35408EC}" name="Profit Margin" dataDxfId="93"/>
    <tableColumn id="9" xr3:uid="{1FEED274-7A4D-4B25-B741-55F57A075E99}" name="%Profit Margin" dataDxfId="92"/>
    <tableColumn id="10" xr3:uid="{D514297C-1E86-4337-9804-26BF744A887B}" name="Revenue" dataDxfId="91"/>
    <tableColumn id="11" xr3:uid="{78D32F74-39EA-4B9D-BE8D-22E8B3E976CE}" name="Expenses" dataDxfId="90"/>
    <tableColumn id="12" xr3:uid="{E5DCFEB5-89D4-4A8F-B490-1C0551167503}" name="Profit" dataDxfId="8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EF13FB-8972-4369-883E-7CCAB9AF8A51}" name="Tabelle9" displayName="Tabelle9" ref="A1:L14" totalsRowShown="0" headerRowDxfId="88" dataDxfId="87" tableBorderDxfId="86">
  <autoFilter ref="A1:L14" xr:uid="{63EF13FB-8972-4369-883E-7CCAB9AF8A51}"/>
  <tableColumns count="12">
    <tableColumn id="1" xr3:uid="{A93C433C-D44E-4AA8-9101-32E55E2372F2}" name="Week" dataDxfId="85"/>
    <tableColumn id="2" xr3:uid="{A08AFE2F-5AF5-46C9-A78C-5F111DBE3678}" name="Article Name" dataDxfId="84"/>
    <tableColumn id="3" xr3:uid="{F5E707A8-3F26-4895-9EDC-186F14B4F798}" name="Amount Sold" dataDxfId="83"/>
    <tableColumn id="4" xr3:uid="{2928E6D4-F6F6-4CDC-8282-6BCE4336FD15}" name="Amount Bought" dataDxfId="82"/>
    <tableColumn id="5" xr3:uid="{B8EB7217-F464-4AF6-A75D-7198F80B65B5}" name="Selling Price" dataDxfId="81"/>
    <tableColumn id="7" xr3:uid="{3E763C0B-53A1-4152-B2CC-EC7F2B505FC5}" name="Amount Expired" dataDxfId="80">
      <calculatedColumnFormula>Tabelle9[[#This Row],[Amount Bought]]-Tabelle9[[#This Row],[Amount Sold]]</calculatedColumnFormula>
    </tableColumn>
    <tableColumn id="6" xr3:uid="{2997039B-45FC-43F7-90AC-9DD3D2D8F258}" name="Supplier Price" dataDxfId="79"/>
    <tableColumn id="8" xr3:uid="{A239E306-432D-41C7-8B96-2FDDB2CE27EC}" name="Profit Margin" dataDxfId="78">
      <calculatedColumnFormula>Tabelle9[[#This Row],[Selling Price]]-Tabelle9[[#This Row],[Supplier Price]]</calculatedColumnFormula>
    </tableColumn>
    <tableColumn id="9" xr3:uid="{9C77C253-F057-42FA-A2F8-28351CFDD9D8}" name="%Profit Margin" dataDxfId="77">
      <calculatedColumnFormula>Tabelle9[[#This Row],[Profit Margin]]/Tabelle9[[#This Row],[Selling Price]]</calculatedColumnFormula>
    </tableColumn>
    <tableColumn id="10" xr3:uid="{8E29A52B-EF8B-45C2-B5A5-F3CD1A29103F}" name="Revenue" dataDxfId="76">
      <calculatedColumnFormula>Tabelle9[[#This Row],[Amount Sold]]*Tabelle9[[#This Row],[Selling Price]]</calculatedColumnFormula>
    </tableColumn>
    <tableColumn id="11" xr3:uid="{382E498D-F004-494E-8C51-DF874E952025}" name="Expenses" dataDxfId="75">
      <calculatedColumnFormula>Tabelle9[[#This Row],[Amount Bought]]*Tabelle9[[#This Row],[Supplier Price]]</calculatedColumnFormula>
    </tableColumn>
    <tableColumn id="12" xr3:uid="{5D1FF471-BC5B-4C72-9C69-04AC3567C6EF}" name="Profit" dataDxfId="74">
      <calculatedColumnFormula>Tabelle9[[#This Row],[Revenue]]-Tabelle9[[#This Row],[Expenses]]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5A7A96-BB3C-477D-879C-9D512651BA2C}" name="Tabelle10" displayName="Tabelle10" ref="A1:L15" totalsRowCount="1" dataDxfId="73" tableBorderDxfId="72">
  <autoFilter ref="A1:L14" xr:uid="{C15A7A96-BB3C-477D-879C-9D512651BA2C}"/>
  <tableColumns count="12">
    <tableColumn id="1" xr3:uid="{23D5017E-38AB-409E-8F63-8629581D39BB}" name="week" dataDxfId="71" totalsRowDxfId="26"/>
    <tableColumn id="2" xr3:uid="{5E1C8668-4ED4-41B5-9164-B9458F7E8E60}" name="Article Name" dataDxfId="70" totalsRowDxfId="25"/>
    <tableColumn id="3" xr3:uid="{69B3EB29-57F5-4CA8-8CCC-18D86367A377}" name="Amount Sold" dataDxfId="69" totalsRowDxfId="24"/>
    <tableColumn id="4" xr3:uid="{1BEFA799-9781-4FB3-8EE6-F5FE55F175D3}" name="Amount Bought" dataDxfId="68" totalsRowDxfId="23"/>
    <tableColumn id="5" xr3:uid="{37533D13-0030-4E25-9237-A2AF20040845}" name="Selling Price" dataDxfId="67" totalsRowDxfId="22"/>
    <tableColumn id="6" xr3:uid="{C2D8D6C2-D1EB-4FCA-9E06-AB1FF0FEB93F}" name="Amount Expired" dataDxfId="66" totalsRowDxfId="21">
      <calculatedColumnFormula>Tabelle10[[#This Row],[Amount Bought]]-Tabelle10[[#This Row],[Amount Sold]]</calculatedColumnFormula>
    </tableColumn>
    <tableColumn id="7" xr3:uid="{8F90424B-EF03-44FF-9C3B-734C366C5AE6}" name="Supplier Price" dataDxfId="65" totalsRowDxfId="20"/>
    <tableColumn id="8" xr3:uid="{91E02B30-2473-4E93-A096-1E726C60DA59}" name="Profit Margin" dataDxfId="27" totalsRowDxfId="19">
      <calculatedColumnFormula>Tabelle10[[#This Row],[Selling Price]]-Tabelle10[[#This Row],[Supplier Price]]</calculatedColumnFormula>
    </tableColumn>
    <tableColumn id="9" xr3:uid="{EE7D9F13-D907-4DAB-9E98-860B3DE96201}" name="%Profit Margin" dataDxfId="14" totalsRowDxfId="18">
      <calculatedColumnFormula>Tabelle10[[#This Row],[Profit Margin]]/Tabelle10[[#This Row],[Selling Price]]</calculatedColumnFormula>
    </tableColumn>
    <tableColumn id="10" xr3:uid="{B9E8410B-4E7A-4C93-A657-3E446CAF0267}" name="Revenue" totalsRowFunction="custom" dataDxfId="64" totalsRowDxfId="17">
      <calculatedColumnFormula>Tabelle10[[#This Row],[Amount Sold]]*Tabelle10[[#This Row],[Selling Price]]</calculatedColumnFormula>
      <totalsRowFormula>SUM(Tabelle10[Revenue])</totalsRowFormula>
    </tableColumn>
    <tableColumn id="11" xr3:uid="{6DDB5051-22F1-400F-86D9-2CED19C7318C}" name="Expenses" totalsRowFunction="custom" dataDxfId="63" totalsRowDxfId="16">
      <calculatedColumnFormula>Tabelle10[[#This Row],[Amount Bought]]*Tabelle10[[#This Row],[Supplier Price]]</calculatedColumnFormula>
      <totalsRowFormula>SUM(Tabelle10[Expenses])</totalsRowFormula>
    </tableColumn>
    <tableColumn id="12" xr3:uid="{C2C1AAA8-7D39-4324-A89C-33037646368B}" name="Profit" totalsRowFunction="custom" dataDxfId="62" totalsRowDxfId="15">
      <calculatedColumnFormula>Tabelle10[[#This Row],[Revenue]]-Tabelle10[[#This Row],[Expenses]]</calculatedColumnFormula>
      <totalsRowFormula>SUM(Tabelle10[Profit])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E08976-EA16-4314-962D-8A1541EE7CBC}" name="Tabelle11" displayName="Tabelle11" ref="A1:L15" totalsRowCount="1" headerRowDxfId="61" dataDxfId="60" tableBorderDxfId="59">
  <autoFilter ref="A1:L14" xr:uid="{20E08976-EA16-4314-962D-8A1541EE7CBC}"/>
  <tableColumns count="12">
    <tableColumn id="1" xr3:uid="{2C0A3F2E-50C3-4DAE-9640-9ED98B16D0BA}" name="week" dataDxfId="58" totalsRowDxfId="12"/>
    <tableColumn id="2" xr3:uid="{CB1974ED-2F51-479C-A64E-190510915B04}" name="Article Name" dataDxfId="57" totalsRowDxfId="11"/>
    <tableColumn id="3" xr3:uid="{D6FDFFD5-CCFD-47F7-B30D-C8109F2825CC}" name="Amount Sold" dataDxfId="56" totalsRowDxfId="10"/>
    <tableColumn id="4" xr3:uid="{31972FB6-9789-4E7B-91D6-5BBF5E25C0C8}" name="Amount Bought" dataDxfId="55" totalsRowDxfId="9"/>
    <tableColumn id="5" xr3:uid="{1A92FE5F-C19D-4DCB-9B2F-9C2863C681A3}" name="Selling Price" dataDxfId="54" totalsRowDxfId="8"/>
    <tableColumn id="6" xr3:uid="{15545C38-1452-486E-8639-0D1724BE0B50}" name="Amount Expired" dataDxfId="53" totalsRowDxfId="7">
      <calculatedColumnFormula>D2-C2</calculatedColumnFormula>
    </tableColumn>
    <tableColumn id="7" xr3:uid="{D07088A9-7C2F-4F2A-946D-73E9953044E9}" name="Supplier Price" totalsRowDxfId="6"/>
    <tableColumn id="8" xr3:uid="{65DD0F98-38F7-4E72-A7A1-C19DC329983A}" name="Profit Margin" dataDxfId="13" totalsRowDxfId="5">
      <calculatedColumnFormula>Tabelle11[[#This Row],[Selling Price]]-Tabelle11[[#This Row],[Supplier Price]]</calculatedColumnFormula>
    </tableColumn>
    <tableColumn id="9" xr3:uid="{2A6C836F-D728-438D-89A5-4B413CB29CA7}" name="%Profit Margin" dataDxfId="0" totalsRowDxfId="4">
      <calculatedColumnFormula>Tabelle11[[#This Row],[Profit Margin]]/Tabelle11[[#This Row],[Selling Price]]</calculatedColumnFormula>
    </tableColumn>
    <tableColumn id="10" xr3:uid="{8B845561-5985-4727-859C-33F8D603745F}" name="Revenue" totalsRowFunction="custom" dataDxfId="52" totalsRowDxfId="3">
      <calculatedColumnFormula>Tabelle11[[#This Row],[Amount Sold]]*Tabelle11[[#This Row],[Selling Price]]</calculatedColumnFormula>
      <totalsRowFormula>SUM(Tabelle11[Revenue])</totalsRowFormula>
    </tableColumn>
    <tableColumn id="11" xr3:uid="{46223794-A76E-4FF6-8335-98DC1AE025D9}" name="Expenses" totalsRowFunction="custom" dataDxfId="51" totalsRowDxfId="2">
      <calculatedColumnFormula>Tabelle11[[#This Row],[Amount Bought]]*Tabelle11[[#This Row],[Supplier Price]]</calculatedColumnFormula>
      <totalsRowFormula>SUM(Tabelle11[Expenses])</totalsRowFormula>
    </tableColumn>
    <tableColumn id="12" xr3:uid="{DF60E1DD-4F77-46FA-A735-5454D4E8835F}" name="Profit" totalsRowFunction="custom" dataDxfId="50" totalsRowDxfId="1">
      <calculatedColumnFormula>Tabelle11[[#This Row],[Revenue]]-Tabelle11[[#This Row],[Expenses]]</calculatedColumnFormula>
      <totalsRowFormula>SUM(Tabelle11[Profit])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6FE3B-135B-472F-A0AC-E463CDC2F20D}" name="Tabelle1" displayName="Tabelle1" ref="A1:L15" totalsRowCount="1">
  <autoFilter ref="A1:L14" xr:uid="{8FE6FE3B-135B-472F-A0AC-E463CDC2F20D}"/>
  <sortState xmlns:xlrd2="http://schemas.microsoft.com/office/spreadsheetml/2017/richdata2" ref="A2:L14">
    <sortCondition ref="B1:B14"/>
  </sortState>
  <tableColumns count="12">
    <tableColumn id="1" xr3:uid="{CFE8BE4A-9813-4B40-8C40-BE7D151CBCFC}" name="week" totalsRowLabel="Totals" dataDxfId="49" totalsRowDxfId="48"/>
    <tableColumn id="3" xr3:uid="{BDD9E0D7-4C12-44D3-8CDD-CA6286225043}" name="Article Name" dataDxfId="47" totalsRowDxfId="46"/>
    <tableColumn id="5" xr3:uid="{8D01717D-A639-42DE-B5F9-F7BFCB285358}" name="Amount Bought" totalsRowFunction="custom" dataDxfId="45">
      <totalsRowFormula>SUM(Tabelle1[Amount Bought])</totalsRowFormula>
    </tableColumn>
    <tableColumn id="4" xr3:uid="{07C89751-CD7A-43A8-916B-596D2AE3D0DC}" name="Amount Sold" totalsRowFunction="custom" dataDxfId="44" totalsRowDxfId="43">
      <totalsRowFormula>SUM(Tabelle1[Amount Sold])</totalsRowFormula>
    </tableColumn>
    <tableColumn id="6" xr3:uid="{602C4309-706F-4AF1-AE88-31A14E38057E}" name="Selling Price" dataDxfId="42" totalsRowDxfId="41"/>
    <tableColumn id="11" xr3:uid="{C1D5695E-50A8-4976-8F36-9C55A59CABC8}" name="Amount Expired" totalsRowFunction="custom" dataDxfId="40">
      <calculatedColumnFormula>Tabelle1[[#This Row],[Amount Bought]]-Tabelle1[[#This Row],[Amount Sold]]</calculatedColumnFormula>
      <totalsRowFormula>SUM(Tabelle1[Amount Expired])</totalsRowFormula>
    </tableColumn>
    <tableColumn id="7" xr3:uid="{13B1E7A6-380E-4336-92F9-FBA2C41E70C0}" name="Supplier Price" dataDxfId="39" totalsRowDxfId="38"/>
    <tableColumn id="8" xr3:uid="{E3F4AF1C-BFEA-4111-9A87-1638214AD2C6}" name="Profit Margin" dataDxfId="37" totalsRowDxfId="36">
      <calculatedColumnFormula>E2-G2</calculatedColumnFormula>
    </tableColumn>
    <tableColumn id="9" xr3:uid="{26C9CCDC-95EF-435F-8A7C-47D9AC12493E}" name="%Profit Margin" dataDxfId="35" totalsRowDxfId="34">
      <calculatedColumnFormula>H2/E2</calculatedColumnFormula>
    </tableColumn>
    <tableColumn id="12" xr3:uid="{3BD03563-8BF5-4F93-85B4-74C22A81B785}" name="Revenue" totalsRowFunction="custom" dataDxfId="33" totalsRowDxfId="32">
      <calculatedColumnFormula>Tabelle1[[#This Row],[Amount Sold]]*Tabelle1[[#This Row],[Selling Price]]</calculatedColumnFormula>
      <totalsRowFormula>SUM(Tabelle1[Revenue])</totalsRowFormula>
    </tableColumn>
    <tableColumn id="13" xr3:uid="{A93FF597-8DD3-48F6-B021-7B66B8EF458B}" name="Expenses" totalsRowFunction="custom" dataDxfId="31" totalsRowDxfId="30">
      <calculatedColumnFormula>Tabelle1[[#This Row],[Amount Bought]]*Tabelle1[[#This Row],[Supplier Price]]</calculatedColumnFormula>
      <totalsRowFormula>SUM(Tabelle1[Expenses])</totalsRowFormula>
    </tableColumn>
    <tableColumn id="17" xr3:uid="{60EA7E2F-FEC1-401D-ACF1-CCC9FFADE145}" name="Profit" totalsRowFunction="custom" dataDxfId="29" totalsRowDxfId="28">
      <calculatedColumnFormula>Tabelle1[[#This Row],[Revenue]]-Tabelle1[[#This Row],[Expenses]]</calculatedColumnFormula>
      <totalsRowFormula>SUM(Tabelle1[Profit])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C16F-549E-41FB-83F3-D662CBC324E2}">
  <dimension ref="A1:L15"/>
  <sheetViews>
    <sheetView workbookViewId="0">
      <selection activeCell="B1" sqref="B1:B1048576"/>
    </sheetView>
  </sheetViews>
  <sheetFormatPr baseColWidth="10" defaultRowHeight="14.4" x14ac:dyDescent="0.3"/>
  <cols>
    <col min="2" max="2" width="14.109375" bestFit="1" customWidth="1"/>
    <col min="3" max="3" width="13.77734375" bestFit="1" customWidth="1"/>
    <col min="4" max="4" width="15.6640625" bestFit="1" customWidth="1"/>
    <col min="5" max="5" width="13.5546875" bestFit="1" customWidth="1"/>
    <col min="7" max="7" width="15" bestFit="1" customWidth="1"/>
    <col min="8" max="8" width="13.6640625" bestFit="1" customWidth="1"/>
    <col min="9" max="9" width="15.21875" bestFit="1" customWidth="1"/>
    <col min="10" max="12" width="15.44140625" bestFit="1" customWidth="1"/>
  </cols>
  <sheetData>
    <row r="1" spans="1:12" x14ac:dyDescent="0.3">
      <c r="A1" s="16" t="s">
        <v>28</v>
      </c>
      <c r="B1" s="16" t="s">
        <v>16</v>
      </c>
      <c r="C1" s="16" t="s">
        <v>20</v>
      </c>
      <c r="D1" s="16" t="s">
        <v>15</v>
      </c>
      <c r="E1" s="16" t="s">
        <v>21</v>
      </c>
      <c r="F1" s="16" t="s">
        <v>14</v>
      </c>
      <c r="G1" s="16" t="s">
        <v>22</v>
      </c>
      <c r="H1" s="16" t="s">
        <v>23</v>
      </c>
      <c r="I1" s="16" t="s">
        <v>24</v>
      </c>
      <c r="J1" s="16" t="s">
        <v>26</v>
      </c>
      <c r="K1" s="16" t="s">
        <v>25</v>
      </c>
      <c r="L1" s="16" t="s">
        <v>19</v>
      </c>
    </row>
    <row r="2" spans="1:12" x14ac:dyDescent="0.3">
      <c r="A2" s="11">
        <v>0</v>
      </c>
      <c r="B2" s="10" t="s">
        <v>9</v>
      </c>
      <c r="C2" s="11">
        <v>3066</v>
      </c>
      <c r="D2" s="11">
        <v>3066</v>
      </c>
      <c r="E2" s="12">
        <v>16.420000000000002</v>
      </c>
      <c r="F2" s="6">
        <f>Tabelle7[[#This Row],[Amount Bought]]-Tabelle7[[#This Row],[Amount Sold]]</f>
        <v>0</v>
      </c>
      <c r="G2" s="12">
        <v>12</v>
      </c>
      <c r="H2" s="13">
        <f t="shared" ref="H2:H14" si="0">E2-G2</f>
        <v>4.4200000000000017</v>
      </c>
      <c r="I2" s="14">
        <f t="shared" ref="I2:I14" si="1">H2/E2</f>
        <v>0.26918392204628511</v>
      </c>
      <c r="J2" s="15">
        <f>Tabelle7[[#This Row],[Amount Sold]]*Tabelle7[[#This Row],[Selling Price]]</f>
        <v>50343.720000000008</v>
      </c>
      <c r="K2" s="15">
        <f>Tabelle7[[#This Row],[Amount Bought]]*Tabelle7[[#This Row],[Supplier Price]]</f>
        <v>36792</v>
      </c>
      <c r="L2" s="15">
        <f>Tabelle7[[#This Row],[Revenue]]-Tabelle7[[#This Row],[Expenses]]</f>
        <v>13551.720000000008</v>
      </c>
    </row>
    <row r="3" spans="1:12" x14ac:dyDescent="0.3">
      <c r="A3" s="11">
        <v>0</v>
      </c>
      <c r="B3" s="10" t="s">
        <v>6</v>
      </c>
      <c r="C3" s="11">
        <v>750</v>
      </c>
      <c r="D3" s="11">
        <v>1948</v>
      </c>
      <c r="E3" s="12">
        <v>85.75</v>
      </c>
      <c r="F3" s="6">
        <f>Tabelle7[[#This Row],[Amount Bought]]-Tabelle7[[#This Row],[Amount Sold]]</f>
        <v>1198</v>
      </c>
      <c r="G3" s="12">
        <v>65</v>
      </c>
      <c r="H3" s="13">
        <f t="shared" si="0"/>
        <v>20.75</v>
      </c>
      <c r="I3" s="14">
        <f t="shared" si="1"/>
        <v>0.24198250728862974</v>
      </c>
      <c r="J3" s="15">
        <f>Tabelle7[[#This Row],[Amount Sold]]*Tabelle7[[#This Row],[Selling Price]]</f>
        <v>64312.5</v>
      </c>
      <c r="K3" s="15">
        <f>Tabelle7[[#This Row],[Amount Bought]]*Tabelle7[[#This Row],[Supplier Price]]</f>
        <v>126620</v>
      </c>
      <c r="L3" s="15">
        <f>Tabelle7[[#This Row],[Revenue]]-Tabelle7[[#This Row],[Expenses]]</f>
        <v>-62307.5</v>
      </c>
    </row>
    <row r="4" spans="1:12" x14ac:dyDescent="0.3">
      <c r="A4" s="11">
        <v>0</v>
      </c>
      <c r="B4" s="6" t="s">
        <v>8</v>
      </c>
      <c r="C4" s="11">
        <v>69</v>
      </c>
      <c r="D4" s="11">
        <v>69</v>
      </c>
      <c r="E4" s="12">
        <v>770.78</v>
      </c>
      <c r="F4" s="6">
        <f>Tabelle7[[#This Row],[Amount Bought]]-Tabelle7[[#This Row],[Amount Sold]]</f>
        <v>0</v>
      </c>
      <c r="G4" s="12">
        <v>580</v>
      </c>
      <c r="H4" s="13">
        <f t="shared" si="0"/>
        <v>190.77999999999997</v>
      </c>
      <c r="I4" s="14">
        <f t="shared" si="1"/>
        <v>0.24751550377539633</v>
      </c>
      <c r="J4" s="15">
        <f>Tabelle7[[#This Row],[Amount Sold]]*Tabelle7[[#This Row],[Selling Price]]</f>
        <v>53183.82</v>
      </c>
      <c r="K4" s="15">
        <f>Tabelle7[[#This Row],[Amount Bought]]*Tabelle7[[#This Row],[Supplier Price]]</f>
        <v>40020</v>
      </c>
      <c r="L4" s="15">
        <f>Tabelle7[[#This Row],[Revenue]]-Tabelle7[[#This Row],[Expenses]]</f>
        <v>13163.82</v>
      </c>
    </row>
    <row r="5" spans="1:12" x14ac:dyDescent="0.3">
      <c r="A5" s="11">
        <v>0</v>
      </c>
      <c r="B5" s="10" t="s">
        <v>11</v>
      </c>
      <c r="C5" s="11">
        <v>2144</v>
      </c>
      <c r="D5" s="11">
        <v>2144</v>
      </c>
      <c r="E5" s="12">
        <v>62.69</v>
      </c>
      <c r="F5" s="6">
        <f>Tabelle7[[#This Row],[Amount Bought]]-Tabelle7[[#This Row],[Amount Sold]]</f>
        <v>0</v>
      </c>
      <c r="G5" s="12">
        <v>45</v>
      </c>
      <c r="H5" s="13">
        <f t="shared" si="0"/>
        <v>17.689999999999998</v>
      </c>
      <c r="I5" s="14">
        <f t="shared" si="1"/>
        <v>0.28218216621470726</v>
      </c>
      <c r="J5" s="15">
        <f>Tabelle7[[#This Row],[Amount Sold]]*Tabelle7[[#This Row],[Selling Price]]</f>
        <v>134407.35999999999</v>
      </c>
      <c r="K5" s="15">
        <f>Tabelle7[[#This Row],[Amount Bought]]*Tabelle7[[#This Row],[Supplier Price]]</f>
        <v>96480</v>
      </c>
      <c r="L5" s="15">
        <f>Tabelle7[[#This Row],[Revenue]]-Tabelle7[[#This Row],[Expenses]]</f>
        <v>37927.359999999986</v>
      </c>
    </row>
    <row r="6" spans="1:12" x14ac:dyDescent="0.3">
      <c r="A6" s="11">
        <v>0</v>
      </c>
      <c r="B6" s="10" t="s">
        <v>4</v>
      </c>
      <c r="C6" s="11">
        <v>1599</v>
      </c>
      <c r="D6" s="11">
        <v>1599</v>
      </c>
      <c r="E6" s="12">
        <v>26.11</v>
      </c>
      <c r="F6" s="6">
        <f>Tabelle7[[#This Row],[Amount Bought]]-Tabelle7[[#This Row],[Amount Sold]]</f>
        <v>0</v>
      </c>
      <c r="G6" s="12">
        <v>18</v>
      </c>
      <c r="H6" s="13">
        <f t="shared" si="0"/>
        <v>8.11</v>
      </c>
      <c r="I6" s="14">
        <f t="shared" si="1"/>
        <v>0.31060896208349292</v>
      </c>
      <c r="J6" s="15">
        <f>Tabelle7[[#This Row],[Amount Sold]]*Tabelle7[[#This Row],[Selling Price]]</f>
        <v>41749.89</v>
      </c>
      <c r="K6" s="15">
        <f>Tabelle7[[#This Row],[Amount Bought]]*Tabelle7[[#This Row],[Supplier Price]]</f>
        <v>28782</v>
      </c>
      <c r="L6" s="15">
        <f>Tabelle7[[#This Row],[Revenue]]-Tabelle7[[#This Row],[Expenses]]</f>
        <v>12967.89</v>
      </c>
    </row>
    <row r="7" spans="1:12" x14ac:dyDescent="0.3">
      <c r="A7" s="11">
        <v>0</v>
      </c>
      <c r="B7" s="10" t="s">
        <v>3</v>
      </c>
      <c r="C7" s="11">
        <v>1701</v>
      </c>
      <c r="D7" s="11">
        <v>1701</v>
      </c>
      <c r="E7" s="12">
        <v>11.12</v>
      </c>
      <c r="F7" s="6">
        <f>Tabelle7[[#This Row],[Amount Bought]]-Tabelle7[[#This Row],[Amount Sold]]</f>
        <v>0</v>
      </c>
      <c r="G7" s="12">
        <v>8</v>
      </c>
      <c r="H7" s="13">
        <f t="shared" si="0"/>
        <v>3.1199999999999992</v>
      </c>
      <c r="I7" s="14">
        <f t="shared" si="1"/>
        <v>0.2805755395683453</v>
      </c>
      <c r="J7" s="15">
        <f>Tabelle7[[#This Row],[Amount Sold]]*Tabelle7[[#This Row],[Selling Price]]</f>
        <v>18915.12</v>
      </c>
      <c r="K7" s="15">
        <f>Tabelle7[[#This Row],[Amount Bought]]*Tabelle7[[#This Row],[Supplier Price]]</f>
        <v>13608</v>
      </c>
      <c r="L7" s="15">
        <f>Tabelle7[[#This Row],[Revenue]]-Tabelle7[[#This Row],[Expenses]]</f>
        <v>5307.119999999999</v>
      </c>
    </row>
    <row r="8" spans="1:12" x14ac:dyDescent="0.3">
      <c r="A8" s="11">
        <v>0</v>
      </c>
      <c r="B8" s="10" t="s">
        <v>12</v>
      </c>
      <c r="C8" s="11">
        <v>2305</v>
      </c>
      <c r="D8" s="11">
        <v>2305</v>
      </c>
      <c r="E8" s="12">
        <v>52.72</v>
      </c>
      <c r="F8" s="6">
        <f>Tabelle7[[#This Row],[Amount Bought]]-Tabelle7[[#This Row],[Amount Sold]]</f>
        <v>0</v>
      </c>
      <c r="G8" s="12">
        <v>38</v>
      </c>
      <c r="H8" s="13">
        <f t="shared" si="0"/>
        <v>14.719999999999999</v>
      </c>
      <c r="I8" s="14">
        <f t="shared" si="1"/>
        <v>0.27921092564491651</v>
      </c>
      <c r="J8" s="15">
        <f>Tabelle7[[#This Row],[Amount Sold]]*Tabelle7[[#This Row],[Selling Price]]</f>
        <v>121519.59999999999</v>
      </c>
      <c r="K8" s="15">
        <f>Tabelle7[[#This Row],[Amount Bought]]*Tabelle7[[#This Row],[Supplier Price]]</f>
        <v>87590</v>
      </c>
      <c r="L8" s="15">
        <f>Tabelle7[[#This Row],[Revenue]]-Tabelle7[[#This Row],[Expenses]]</f>
        <v>33929.599999999991</v>
      </c>
    </row>
    <row r="9" spans="1:12" x14ac:dyDescent="0.3">
      <c r="A9" s="11">
        <v>0</v>
      </c>
      <c r="B9" s="10" t="s">
        <v>7</v>
      </c>
      <c r="C9" s="11">
        <v>3337</v>
      </c>
      <c r="D9" s="11">
        <v>3337</v>
      </c>
      <c r="E9" s="12">
        <v>296.26</v>
      </c>
      <c r="F9" s="6">
        <f>Tabelle7[[#This Row],[Amount Bought]]-Tabelle7[[#This Row],[Amount Sold]]</f>
        <v>0</v>
      </c>
      <c r="G9" s="12">
        <v>220</v>
      </c>
      <c r="H9" s="13">
        <f t="shared" si="0"/>
        <v>76.259999999999991</v>
      </c>
      <c r="I9" s="14">
        <f t="shared" si="1"/>
        <v>0.25740903260649428</v>
      </c>
      <c r="J9" s="15">
        <f>Tabelle7[[#This Row],[Amount Sold]]*Tabelle7[[#This Row],[Selling Price]]</f>
        <v>988619.62</v>
      </c>
      <c r="K9" s="15">
        <f>Tabelle7[[#This Row],[Amount Bought]]*Tabelle7[[#This Row],[Supplier Price]]</f>
        <v>734140</v>
      </c>
      <c r="L9" s="15">
        <f>Tabelle7[[#This Row],[Revenue]]-Tabelle7[[#This Row],[Expenses]]</f>
        <v>254479.62</v>
      </c>
    </row>
    <row r="10" spans="1:12" x14ac:dyDescent="0.3">
      <c r="A10" s="11">
        <v>0</v>
      </c>
      <c r="B10" s="10" t="s">
        <v>27</v>
      </c>
      <c r="C10" s="11">
        <v>332</v>
      </c>
      <c r="D10" s="11">
        <v>3235</v>
      </c>
      <c r="E10" s="12">
        <v>391.47</v>
      </c>
      <c r="F10" s="6">
        <f>Tabelle7[[#This Row],[Amount Bought]]-Tabelle7[[#This Row],[Amount Sold]]</f>
        <v>2903</v>
      </c>
      <c r="G10" s="12">
        <v>280</v>
      </c>
      <c r="H10" s="13">
        <f t="shared" si="0"/>
        <v>111.47000000000003</v>
      </c>
      <c r="I10" s="14">
        <f t="shared" si="1"/>
        <v>0.28474723478172026</v>
      </c>
      <c r="J10" s="15">
        <f>Tabelle7[[#This Row],[Amount Sold]]*Tabelle7[[#This Row],[Selling Price]]</f>
        <v>129968.04000000001</v>
      </c>
      <c r="K10" s="15">
        <f>Tabelle7[[#This Row],[Amount Bought]]*Tabelle7[[#This Row],[Supplier Price]]</f>
        <v>905800</v>
      </c>
      <c r="L10" s="15">
        <f>Tabelle7[[#This Row],[Revenue]]-Tabelle7[[#This Row],[Expenses]]</f>
        <v>-775831.96</v>
      </c>
    </row>
    <row r="11" spans="1:12" x14ac:dyDescent="0.3">
      <c r="A11" s="11">
        <v>0</v>
      </c>
      <c r="B11" s="10" t="s">
        <v>10</v>
      </c>
      <c r="C11" s="11">
        <v>3259</v>
      </c>
      <c r="D11" s="11">
        <v>3259</v>
      </c>
      <c r="E11" s="12">
        <v>21.9</v>
      </c>
      <c r="F11" s="6">
        <f>Tabelle7[[#This Row],[Amount Bought]]-Tabelle7[[#This Row],[Amount Sold]]</f>
        <v>0</v>
      </c>
      <c r="G11" s="12">
        <v>16</v>
      </c>
      <c r="H11" s="13">
        <f t="shared" si="0"/>
        <v>5.8999999999999986</v>
      </c>
      <c r="I11" s="14">
        <f t="shared" si="1"/>
        <v>0.26940639269406386</v>
      </c>
      <c r="J11" s="15">
        <f>Tabelle7[[#This Row],[Amount Sold]]*Tabelle7[[#This Row],[Selling Price]]</f>
        <v>71372.099999999991</v>
      </c>
      <c r="K11" s="15">
        <f>Tabelle7[[#This Row],[Amount Bought]]*Tabelle7[[#This Row],[Supplier Price]]</f>
        <v>52144</v>
      </c>
      <c r="L11" s="15">
        <f>Tabelle7[[#This Row],[Revenue]]-Tabelle7[[#This Row],[Expenses]]</f>
        <v>19228.099999999991</v>
      </c>
    </row>
    <row r="12" spans="1:12" x14ac:dyDescent="0.3">
      <c r="A12" s="11">
        <v>0</v>
      </c>
      <c r="B12" s="10" t="s">
        <v>2</v>
      </c>
      <c r="C12" s="11">
        <v>2448</v>
      </c>
      <c r="D12" s="11">
        <v>2448</v>
      </c>
      <c r="E12" s="12">
        <v>8.25</v>
      </c>
      <c r="F12" s="6">
        <f>Tabelle7[[#This Row],[Amount Bought]]-Tabelle7[[#This Row],[Amount Sold]]</f>
        <v>0</v>
      </c>
      <c r="G12" s="12">
        <v>6</v>
      </c>
      <c r="H12" s="13">
        <f t="shared" si="0"/>
        <v>2.25</v>
      </c>
      <c r="I12" s="14">
        <f t="shared" si="1"/>
        <v>0.27272727272727271</v>
      </c>
      <c r="J12" s="15">
        <f>Tabelle7[[#This Row],[Amount Sold]]*Tabelle7[[#This Row],[Selling Price]]</f>
        <v>20196</v>
      </c>
      <c r="K12" s="15">
        <f>Tabelle7[[#This Row],[Amount Bought]]*Tabelle7[[#This Row],[Supplier Price]]</f>
        <v>14688</v>
      </c>
      <c r="L12" s="15">
        <f>Tabelle7[[#This Row],[Revenue]]-Tabelle7[[#This Row],[Expenses]]</f>
        <v>5508</v>
      </c>
    </row>
    <row r="13" spans="1:12" x14ac:dyDescent="0.3">
      <c r="A13" s="11">
        <v>0</v>
      </c>
      <c r="B13" s="10" t="s">
        <v>1</v>
      </c>
      <c r="C13" s="11">
        <v>1702</v>
      </c>
      <c r="D13" s="11">
        <v>1702</v>
      </c>
      <c r="E13" s="12">
        <v>21.54</v>
      </c>
      <c r="F13" s="6">
        <f>Tabelle7[[#This Row],[Amount Bought]]-Tabelle7[[#This Row],[Amount Sold]]</f>
        <v>0</v>
      </c>
      <c r="G13" s="12">
        <v>15</v>
      </c>
      <c r="H13" s="13">
        <f t="shared" si="0"/>
        <v>6.5399999999999991</v>
      </c>
      <c r="I13" s="14">
        <f t="shared" si="1"/>
        <v>0.30362116991643451</v>
      </c>
      <c r="J13" s="15">
        <f>Tabelle7[[#This Row],[Amount Sold]]*Tabelle7[[#This Row],[Selling Price]]</f>
        <v>36661.08</v>
      </c>
      <c r="K13" s="15">
        <f>Tabelle7[[#This Row],[Amount Bought]]*Tabelle7[[#This Row],[Supplier Price]]</f>
        <v>25530</v>
      </c>
      <c r="L13" s="15">
        <f>Tabelle7[[#This Row],[Revenue]]-Tabelle7[[#This Row],[Expenses]]</f>
        <v>11131.080000000002</v>
      </c>
    </row>
    <row r="14" spans="1:12" ht="15" thickBot="1" x14ac:dyDescent="0.35">
      <c r="A14" s="11">
        <v>0</v>
      </c>
      <c r="B14" s="10" t="s">
        <v>5</v>
      </c>
      <c r="C14" s="11">
        <v>1947</v>
      </c>
      <c r="D14" s="11">
        <v>1947</v>
      </c>
      <c r="E14" s="12">
        <v>50.72</v>
      </c>
      <c r="F14" s="6">
        <f>Tabelle7[[#This Row],[Amount Bought]]-Tabelle7[[#This Row],[Amount Sold]]</f>
        <v>0</v>
      </c>
      <c r="G14" s="12">
        <v>35</v>
      </c>
      <c r="H14" s="13">
        <f t="shared" si="0"/>
        <v>15.719999999999999</v>
      </c>
      <c r="I14" s="14">
        <f t="shared" si="1"/>
        <v>0.30993690851735012</v>
      </c>
      <c r="J14" s="15">
        <f>Tabelle7[[#This Row],[Amount Sold]]*Tabelle7[[#This Row],[Selling Price]]</f>
        <v>98751.84</v>
      </c>
      <c r="K14" s="15">
        <f>Tabelle7[[#This Row],[Amount Bought]]*Tabelle7[[#This Row],[Supplier Price]]</f>
        <v>68145</v>
      </c>
      <c r="L14" s="15">
        <f>Tabelle7[[#This Row],[Revenue]]-Tabelle7[[#This Row],[Expenses]]</f>
        <v>30606.839999999997</v>
      </c>
    </row>
    <row r="15" spans="1:12" ht="15" thickTop="1" x14ac:dyDescent="0.3">
      <c r="A15" s="17" t="s">
        <v>18</v>
      </c>
      <c r="B15" s="18"/>
      <c r="C15" s="19"/>
      <c r="D15" s="17"/>
      <c r="E15" s="20"/>
      <c r="F15" s="19"/>
      <c r="G15" s="17"/>
      <c r="H15" s="21"/>
      <c r="I15" s="22"/>
      <c r="J15" s="23"/>
      <c r="K15" s="23"/>
      <c r="L15" s="23">
        <f>SUM(L2:L14)</f>
        <v>-400338.30999999994</v>
      </c>
    </row>
  </sheetData>
  <conditionalFormatting sqref="I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9403-B23F-4A18-86E6-6F5B21B93D0E}">
  <dimension ref="A1:L15"/>
  <sheetViews>
    <sheetView workbookViewId="0">
      <selection activeCell="G2" sqref="G2:G14"/>
    </sheetView>
  </sheetViews>
  <sheetFormatPr baseColWidth="10" defaultRowHeight="14.4" x14ac:dyDescent="0.3"/>
  <cols>
    <col min="2" max="2" width="13.77734375" customWidth="1"/>
    <col min="3" max="3" width="15.33203125" customWidth="1"/>
    <col min="4" max="4" width="13.44140625" customWidth="1"/>
    <col min="5" max="5" width="13.21875" customWidth="1"/>
    <col min="6" max="6" width="14.6640625" customWidth="1"/>
    <col min="7" max="7" width="15" bestFit="1" customWidth="1"/>
    <col min="10" max="11" width="17.21875" bestFit="1" customWidth="1"/>
    <col min="12" max="12" width="15.44140625" bestFit="1" customWidth="1"/>
  </cols>
  <sheetData>
    <row r="1" spans="1:12" x14ac:dyDescent="0.3">
      <c r="A1" s="25" t="s">
        <v>28</v>
      </c>
      <c r="B1" s="16" t="s">
        <v>16</v>
      </c>
      <c r="C1" s="16" t="s">
        <v>20</v>
      </c>
      <c r="D1" s="16" t="s">
        <v>15</v>
      </c>
      <c r="E1" s="16" t="s">
        <v>21</v>
      </c>
      <c r="F1" s="16" t="s">
        <v>17</v>
      </c>
      <c r="G1" s="16" t="s">
        <v>22</v>
      </c>
      <c r="H1" s="16" t="s">
        <v>23</v>
      </c>
      <c r="I1" s="16" t="s">
        <v>24</v>
      </c>
      <c r="J1" s="16" t="s">
        <v>26</v>
      </c>
      <c r="K1" s="16" t="s">
        <v>25</v>
      </c>
      <c r="L1" s="16" t="s">
        <v>19</v>
      </c>
    </row>
    <row r="2" spans="1:12" x14ac:dyDescent="0.3">
      <c r="A2" s="11">
        <v>1</v>
      </c>
      <c r="B2" s="11" t="s">
        <v>9</v>
      </c>
      <c r="C2" s="11">
        <v>2579</v>
      </c>
      <c r="D2" s="11">
        <v>2579</v>
      </c>
      <c r="E2" s="24">
        <v>16.829999999999998</v>
      </c>
      <c r="F2" s="11">
        <f>Tabelle9[[#This Row],[Amount Bought]]-Tabelle9[[#This Row],[Amount Sold]]</f>
        <v>0</v>
      </c>
      <c r="G2" s="12">
        <v>12</v>
      </c>
      <c r="H2" s="13">
        <f>Tabelle9[[#This Row],[Selling Price]]-Tabelle9[[#This Row],[Supplier Price]]</f>
        <v>4.8299999999999983</v>
      </c>
      <c r="I2" s="14">
        <f>Tabelle9[[#This Row],[Profit Margin]]/Tabelle9[[#This Row],[Selling Price]]</f>
        <v>0.28698752228163987</v>
      </c>
      <c r="J2" s="15">
        <f>Tabelle9[[#This Row],[Amount Sold]]*Tabelle9[[#This Row],[Selling Price]]</f>
        <v>43404.569999999992</v>
      </c>
      <c r="K2" s="15">
        <f>Tabelle9[[#This Row],[Amount Bought]]*Tabelle9[[#This Row],[Supplier Price]]</f>
        <v>30948</v>
      </c>
      <c r="L2" s="15">
        <f>Tabelle9[[#This Row],[Revenue]]-Tabelle9[[#This Row],[Expenses]]</f>
        <v>12456.569999999992</v>
      </c>
    </row>
    <row r="3" spans="1:12" x14ac:dyDescent="0.3">
      <c r="A3" s="11">
        <v>1</v>
      </c>
      <c r="B3" s="11" t="s">
        <v>29</v>
      </c>
      <c r="C3" s="11">
        <v>0</v>
      </c>
      <c r="D3" s="11">
        <v>2199</v>
      </c>
      <c r="E3" s="24">
        <v>94.2</v>
      </c>
      <c r="F3" s="11">
        <f>Tabelle9[[#This Row],[Amount Bought]]-Tabelle9[[#This Row],[Amount Sold]]</f>
        <v>2199</v>
      </c>
      <c r="G3" s="12">
        <v>65</v>
      </c>
      <c r="H3" s="13">
        <f>Tabelle9[[#This Row],[Selling Price]]-Tabelle9[[#This Row],[Supplier Price]]</f>
        <v>29.200000000000003</v>
      </c>
      <c r="I3" s="14">
        <f>Tabelle9[[#This Row],[Profit Margin]]/Tabelle9[[#This Row],[Selling Price]]</f>
        <v>0.30997876857749473</v>
      </c>
      <c r="J3" s="15">
        <f>Tabelle9[[#This Row],[Amount Sold]]*Tabelle9[[#This Row],[Selling Price]]</f>
        <v>0</v>
      </c>
      <c r="K3" s="15">
        <f>Tabelle9[[#This Row],[Amount Bought]]*Tabelle9[[#This Row],[Supplier Price]]</f>
        <v>142935</v>
      </c>
      <c r="L3" s="15">
        <f>Tabelle9[[#This Row],[Revenue]]-Tabelle9[[#This Row],[Expenses]]</f>
        <v>-142935</v>
      </c>
    </row>
    <row r="4" spans="1:12" x14ac:dyDescent="0.3">
      <c r="A4" s="11">
        <v>1</v>
      </c>
      <c r="B4" s="11" t="s">
        <v>8</v>
      </c>
      <c r="C4" s="11">
        <v>69</v>
      </c>
      <c r="D4" s="11">
        <v>69</v>
      </c>
      <c r="E4" s="24">
        <v>849.1</v>
      </c>
      <c r="F4" s="11">
        <f>Tabelle9[[#This Row],[Amount Bought]]-Tabelle9[[#This Row],[Amount Sold]]</f>
        <v>0</v>
      </c>
      <c r="G4" s="12">
        <v>580</v>
      </c>
      <c r="H4" s="13">
        <f>Tabelle9[[#This Row],[Selling Price]]-Tabelle9[[#This Row],[Supplier Price]]</f>
        <v>269.10000000000002</v>
      </c>
      <c r="I4" s="14">
        <f>Tabelle9[[#This Row],[Profit Margin]]/Tabelle9[[#This Row],[Selling Price]]</f>
        <v>0.31692380167235901</v>
      </c>
      <c r="J4" s="15">
        <f>Tabelle9[[#This Row],[Amount Sold]]*Tabelle9[[#This Row],[Selling Price]]</f>
        <v>58587.9</v>
      </c>
      <c r="K4" s="15">
        <f>Tabelle9[[#This Row],[Amount Bought]]*Tabelle9[[#This Row],[Supplier Price]]</f>
        <v>40020</v>
      </c>
      <c r="L4" s="15">
        <f>Tabelle9[[#This Row],[Revenue]]-Tabelle9[[#This Row],[Expenses]]</f>
        <v>18567.900000000001</v>
      </c>
    </row>
    <row r="5" spans="1:12" x14ac:dyDescent="0.3">
      <c r="A5" s="11">
        <v>1</v>
      </c>
      <c r="B5" s="11" t="s">
        <v>11</v>
      </c>
      <c r="C5" s="11">
        <v>3018</v>
      </c>
      <c r="D5" s="11">
        <v>3018</v>
      </c>
      <c r="E5" s="24">
        <v>65.650000000000006</v>
      </c>
      <c r="F5" s="11">
        <f>Tabelle9[[#This Row],[Amount Bought]]-Tabelle9[[#This Row],[Amount Sold]]</f>
        <v>0</v>
      </c>
      <c r="G5" s="12">
        <v>45</v>
      </c>
      <c r="H5" s="13">
        <f>Tabelle9[[#This Row],[Selling Price]]-Tabelle9[[#This Row],[Supplier Price]]</f>
        <v>20.650000000000006</v>
      </c>
      <c r="I5" s="14">
        <f>Tabelle9[[#This Row],[Profit Margin]]/Tabelle9[[#This Row],[Selling Price]]</f>
        <v>0.3145468392993146</v>
      </c>
      <c r="J5" s="15">
        <f>Tabelle9[[#This Row],[Amount Sold]]*Tabelle9[[#This Row],[Selling Price]]</f>
        <v>198131.7</v>
      </c>
      <c r="K5" s="15">
        <f>Tabelle9[[#This Row],[Amount Bought]]*Tabelle9[[#This Row],[Supplier Price]]</f>
        <v>135810</v>
      </c>
      <c r="L5" s="15">
        <f>Tabelle9[[#This Row],[Revenue]]-Tabelle9[[#This Row],[Expenses]]</f>
        <v>62321.700000000012</v>
      </c>
    </row>
    <row r="6" spans="1:12" x14ac:dyDescent="0.3">
      <c r="A6" s="11">
        <v>1</v>
      </c>
      <c r="B6" s="11" t="s">
        <v>4</v>
      </c>
      <c r="C6" s="11">
        <v>2038</v>
      </c>
      <c r="D6" s="11">
        <v>2038</v>
      </c>
      <c r="E6" s="24">
        <v>24.43</v>
      </c>
      <c r="F6" s="11">
        <f>Tabelle9[[#This Row],[Amount Bought]]-Tabelle9[[#This Row],[Amount Sold]]</f>
        <v>0</v>
      </c>
      <c r="G6" s="12">
        <v>18</v>
      </c>
      <c r="H6" s="13">
        <f>Tabelle9[[#This Row],[Selling Price]]-Tabelle9[[#This Row],[Supplier Price]]</f>
        <v>6.43</v>
      </c>
      <c r="I6" s="14">
        <f>Tabelle9[[#This Row],[Profit Margin]]/Tabelle9[[#This Row],[Selling Price]]</f>
        <v>0.26320098239869011</v>
      </c>
      <c r="J6" s="15">
        <f>Tabelle9[[#This Row],[Amount Sold]]*Tabelle9[[#This Row],[Selling Price]]</f>
        <v>49788.34</v>
      </c>
      <c r="K6" s="15">
        <f>Tabelle9[[#This Row],[Amount Bought]]*Tabelle9[[#This Row],[Supplier Price]]</f>
        <v>36684</v>
      </c>
      <c r="L6" s="15">
        <f>Tabelle9[[#This Row],[Revenue]]-Tabelle9[[#This Row],[Expenses]]</f>
        <v>13104.339999999997</v>
      </c>
    </row>
    <row r="7" spans="1:12" x14ac:dyDescent="0.3">
      <c r="A7" s="9">
        <v>1</v>
      </c>
      <c r="B7" s="10" t="s">
        <v>3</v>
      </c>
      <c r="C7" s="11">
        <v>2773</v>
      </c>
      <c r="D7" s="11">
        <v>2773</v>
      </c>
      <c r="E7" s="24">
        <v>10.93</v>
      </c>
      <c r="F7" s="11">
        <f>Tabelle9[[#This Row],[Amount Bought]]-Tabelle9[[#This Row],[Amount Sold]]</f>
        <v>0</v>
      </c>
      <c r="G7" s="12">
        <v>8</v>
      </c>
      <c r="H7" s="13">
        <f>Tabelle9[[#This Row],[Selling Price]]-Tabelle9[[#This Row],[Supplier Price]]</f>
        <v>2.9299999999999997</v>
      </c>
      <c r="I7" s="14">
        <f>Tabelle9[[#This Row],[Profit Margin]]/Tabelle9[[#This Row],[Selling Price]]</f>
        <v>0.26806953339432754</v>
      </c>
      <c r="J7" s="15">
        <f>Tabelle9[[#This Row],[Amount Sold]]*Tabelle9[[#This Row],[Selling Price]]</f>
        <v>30308.89</v>
      </c>
      <c r="K7" s="15">
        <f>Tabelle9[[#This Row],[Amount Bought]]*Tabelle9[[#This Row],[Supplier Price]]</f>
        <v>22184</v>
      </c>
      <c r="L7" s="15">
        <f>Tabelle9[[#This Row],[Revenue]]-Tabelle9[[#This Row],[Expenses]]</f>
        <v>8124.8899999999994</v>
      </c>
    </row>
    <row r="8" spans="1:12" x14ac:dyDescent="0.3">
      <c r="A8" s="9">
        <v>1</v>
      </c>
      <c r="B8" s="10" t="s">
        <v>12</v>
      </c>
      <c r="C8" s="11">
        <v>3424</v>
      </c>
      <c r="D8" s="11">
        <v>3424</v>
      </c>
      <c r="E8" s="24">
        <v>49.97</v>
      </c>
      <c r="F8" s="11">
        <f>Tabelle9[[#This Row],[Amount Bought]]-Tabelle9[[#This Row],[Amount Sold]]</f>
        <v>0</v>
      </c>
      <c r="G8" s="12">
        <v>38</v>
      </c>
      <c r="H8" s="13">
        <f>Tabelle9[[#This Row],[Selling Price]]-Tabelle9[[#This Row],[Supplier Price]]</f>
        <v>11.969999999999999</v>
      </c>
      <c r="I8" s="14">
        <f>Tabelle9[[#This Row],[Profit Margin]]/Tabelle9[[#This Row],[Selling Price]]</f>
        <v>0.23954372623574144</v>
      </c>
      <c r="J8" s="15">
        <f>Tabelle9[[#This Row],[Amount Sold]]*Tabelle9[[#This Row],[Selling Price]]</f>
        <v>171097.28</v>
      </c>
      <c r="K8" s="15">
        <f>Tabelle9[[#This Row],[Amount Bought]]*Tabelle9[[#This Row],[Supplier Price]]</f>
        <v>130112</v>
      </c>
      <c r="L8" s="15">
        <f>Tabelle9[[#This Row],[Revenue]]-Tabelle9[[#This Row],[Expenses]]</f>
        <v>40985.279999999999</v>
      </c>
    </row>
    <row r="9" spans="1:12" x14ac:dyDescent="0.3">
      <c r="A9" s="9">
        <v>1</v>
      </c>
      <c r="B9" s="10" t="s">
        <v>7</v>
      </c>
      <c r="C9" s="11">
        <v>322</v>
      </c>
      <c r="D9" s="11">
        <v>2634</v>
      </c>
      <c r="E9" s="24">
        <v>315.05</v>
      </c>
      <c r="F9" s="11">
        <f>Tabelle9[[#This Row],[Amount Bought]]-Tabelle9[[#This Row],[Amount Sold]]</f>
        <v>2312</v>
      </c>
      <c r="G9" s="12">
        <v>220</v>
      </c>
      <c r="H9" s="13">
        <f>Tabelle9[[#This Row],[Selling Price]]-Tabelle9[[#This Row],[Supplier Price]]</f>
        <v>95.050000000000011</v>
      </c>
      <c r="I9" s="14">
        <f>Tabelle9[[#This Row],[Profit Margin]]/Tabelle9[[#This Row],[Selling Price]]</f>
        <v>0.3016981431518807</v>
      </c>
      <c r="J9" s="15">
        <f>Tabelle9[[#This Row],[Amount Sold]]*Tabelle9[[#This Row],[Selling Price]]</f>
        <v>101446.1</v>
      </c>
      <c r="K9" s="15">
        <f>Tabelle9[[#This Row],[Amount Bought]]*Tabelle9[[#This Row],[Supplier Price]]</f>
        <v>579480</v>
      </c>
      <c r="L9" s="15">
        <f>Tabelle9[[#This Row],[Revenue]]-Tabelle9[[#This Row],[Expenses]]</f>
        <v>-478033.9</v>
      </c>
    </row>
    <row r="10" spans="1:12" x14ac:dyDescent="0.3">
      <c r="A10" s="9">
        <v>1</v>
      </c>
      <c r="B10" s="10" t="s">
        <v>27</v>
      </c>
      <c r="C10" s="11">
        <v>839</v>
      </c>
      <c r="D10" s="11">
        <v>2167</v>
      </c>
      <c r="E10" s="24">
        <v>380.88</v>
      </c>
      <c r="F10" s="11">
        <f>Tabelle9[[#This Row],[Amount Bought]]-Tabelle9[[#This Row],[Amount Sold]]</f>
        <v>1328</v>
      </c>
      <c r="G10" s="12">
        <v>280</v>
      </c>
      <c r="H10" s="13">
        <f>Tabelle9[[#This Row],[Selling Price]]-Tabelle9[[#This Row],[Supplier Price]]</f>
        <v>100.88</v>
      </c>
      <c r="I10" s="14">
        <f>Tabelle9[[#This Row],[Profit Margin]]/Tabelle9[[#This Row],[Selling Price]]</f>
        <v>0.26486032346145766</v>
      </c>
      <c r="J10" s="15">
        <f>Tabelle9[[#This Row],[Amount Sold]]*Tabelle9[[#This Row],[Selling Price]]</f>
        <v>319558.32</v>
      </c>
      <c r="K10" s="15">
        <f>Tabelle9[[#This Row],[Amount Bought]]*Tabelle9[[#This Row],[Supplier Price]]</f>
        <v>606760</v>
      </c>
      <c r="L10" s="15">
        <f>Tabelle9[[#This Row],[Revenue]]-Tabelle9[[#This Row],[Expenses]]</f>
        <v>-287201.68</v>
      </c>
    </row>
    <row r="11" spans="1:12" x14ac:dyDescent="0.3">
      <c r="A11" s="9">
        <v>1</v>
      </c>
      <c r="B11" s="10" t="s">
        <v>10</v>
      </c>
      <c r="C11" s="11">
        <v>1790</v>
      </c>
      <c r="D11" s="11">
        <v>1790</v>
      </c>
      <c r="E11" s="24">
        <v>21.92</v>
      </c>
      <c r="F11" s="11">
        <f>Tabelle9[[#This Row],[Amount Bought]]-Tabelle9[[#This Row],[Amount Sold]]</f>
        <v>0</v>
      </c>
      <c r="G11" s="12">
        <v>16</v>
      </c>
      <c r="H11" s="13">
        <f>Tabelle9[[#This Row],[Selling Price]]-Tabelle9[[#This Row],[Supplier Price]]</f>
        <v>5.9200000000000017</v>
      </c>
      <c r="I11" s="14">
        <f>Tabelle9[[#This Row],[Profit Margin]]/Tabelle9[[#This Row],[Selling Price]]</f>
        <v>0.27007299270072999</v>
      </c>
      <c r="J11" s="15">
        <f>Tabelle9[[#This Row],[Amount Sold]]*Tabelle9[[#This Row],[Selling Price]]</f>
        <v>39236.800000000003</v>
      </c>
      <c r="K11" s="15">
        <f>Tabelle9[[#This Row],[Amount Bought]]*Tabelle9[[#This Row],[Supplier Price]]</f>
        <v>28640</v>
      </c>
      <c r="L11" s="15">
        <f>Tabelle9[[#This Row],[Revenue]]-Tabelle9[[#This Row],[Expenses]]</f>
        <v>10596.800000000003</v>
      </c>
    </row>
    <row r="12" spans="1:12" x14ac:dyDescent="0.3">
      <c r="A12" s="9">
        <v>1</v>
      </c>
      <c r="B12" s="10" t="s">
        <v>2</v>
      </c>
      <c r="C12" s="11">
        <v>2551</v>
      </c>
      <c r="D12" s="11">
        <v>2551</v>
      </c>
      <c r="E12" s="24">
        <v>7.88</v>
      </c>
      <c r="F12" s="11">
        <f>Tabelle9[[#This Row],[Amount Bought]]-Tabelle9[[#This Row],[Amount Sold]]</f>
        <v>0</v>
      </c>
      <c r="G12" s="12">
        <v>6</v>
      </c>
      <c r="H12" s="13">
        <f>Tabelle9[[#This Row],[Selling Price]]-Tabelle9[[#This Row],[Supplier Price]]</f>
        <v>1.88</v>
      </c>
      <c r="I12" s="14">
        <f>Tabelle9[[#This Row],[Profit Margin]]/Tabelle9[[#This Row],[Selling Price]]</f>
        <v>0.23857868020304568</v>
      </c>
      <c r="J12" s="15">
        <f>Tabelle9[[#This Row],[Amount Sold]]*Tabelle9[[#This Row],[Selling Price]]</f>
        <v>20101.88</v>
      </c>
      <c r="K12" s="15">
        <f>Tabelle9[[#This Row],[Amount Bought]]*Tabelle9[[#This Row],[Supplier Price]]</f>
        <v>15306</v>
      </c>
      <c r="L12" s="15">
        <f>Tabelle9[[#This Row],[Revenue]]-Tabelle9[[#This Row],[Expenses]]</f>
        <v>4795.880000000001</v>
      </c>
    </row>
    <row r="13" spans="1:12" x14ac:dyDescent="0.3">
      <c r="A13" s="9">
        <v>1</v>
      </c>
      <c r="B13" s="10" t="s">
        <v>1</v>
      </c>
      <c r="C13" s="11">
        <v>2132</v>
      </c>
      <c r="D13" s="11">
        <v>2132</v>
      </c>
      <c r="E13" s="24">
        <v>20.010000000000002</v>
      </c>
      <c r="F13" s="11">
        <f>Tabelle9[[#This Row],[Amount Bought]]-Tabelle9[[#This Row],[Amount Sold]]</f>
        <v>0</v>
      </c>
      <c r="G13" s="12">
        <v>15</v>
      </c>
      <c r="H13" s="13">
        <f>Tabelle9[[#This Row],[Selling Price]]-Tabelle9[[#This Row],[Supplier Price]]</f>
        <v>5.0100000000000016</v>
      </c>
      <c r="I13" s="14">
        <f>Tabelle9[[#This Row],[Profit Margin]]/Tabelle9[[#This Row],[Selling Price]]</f>
        <v>0.2503748125937032</v>
      </c>
      <c r="J13" s="15">
        <f>Tabelle9[[#This Row],[Amount Sold]]*Tabelle9[[#This Row],[Selling Price]]</f>
        <v>42661.32</v>
      </c>
      <c r="K13" s="15">
        <f>Tabelle9[[#This Row],[Amount Bought]]*Tabelle9[[#This Row],[Supplier Price]]</f>
        <v>31980</v>
      </c>
      <c r="L13" s="15">
        <f>Tabelle9[[#This Row],[Revenue]]-Tabelle9[[#This Row],[Expenses]]</f>
        <v>10681.32</v>
      </c>
    </row>
    <row r="14" spans="1:12" ht="15" thickBot="1" x14ac:dyDescent="0.35">
      <c r="A14" s="9">
        <v>1</v>
      </c>
      <c r="B14" s="10" t="s">
        <v>5</v>
      </c>
      <c r="C14" s="11">
        <v>2919</v>
      </c>
      <c r="D14" s="11">
        <v>2919</v>
      </c>
      <c r="E14" s="24">
        <v>47.76</v>
      </c>
      <c r="F14" s="11">
        <f>Tabelle9[[#This Row],[Amount Bought]]-Tabelle9[[#This Row],[Amount Sold]]</f>
        <v>0</v>
      </c>
      <c r="G14" s="12">
        <v>35</v>
      </c>
      <c r="H14" s="13">
        <f>Tabelle9[[#This Row],[Selling Price]]-Tabelle9[[#This Row],[Supplier Price]]</f>
        <v>12.759999999999998</v>
      </c>
      <c r="I14" s="14">
        <f>Tabelle9[[#This Row],[Profit Margin]]/Tabelle9[[#This Row],[Selling Price]]</f>
        <v>0.26716917922948069</v>
      </c>
      <c r="J14" s="15">
        <f>Tabelle9[[#This Row],[Amount Sold]]*Tabelle9[[#This Row],[Selling Price]]</f>
        <v>139411.44</v>
      </c>
      <c r="K14" s="15">
        <f>Tabelle9[[#This Row],[Amount Bought]]*Tabelle9[[#This Row],[Supplier Price]]</f>
        <v>102165</v>
      </c>
      <c r="L14" s="15">
        <f>Tabelle9[[#This Row],[Revenue]]-Tabelle9[[#This Row],[Expenses]]</f>
        <v>37246.44</v>
      </c>
    </row>
    <row r="15" spans="1:12" ht="15" thickTop="1" x14ac:dyDescent="0.3">
      <c r="A15" s="17" t="s">
        <v>18</v>
      </c>
      <c r="B15" s="18"/>
      <c r="C15" s="19"/>
      <c r="D15" s="17"/>
      <c r="E15" s="20"/>
      <c r="F15" s="19"/>
      <c r="G15" s="19"/>
      <c r="H15" s="21"/>
      <c r="I15" s="23"/>
      <c r="J15" s="23">
        <f>SUM(Tabelle9[Revenue])</f>
        <v>1213734.54</v>
      </c>
      <c r="K15" s="23">
        <f>SUM(Tabelle9[Expenses])</f>
        <v>1903024</v>
      </c>
      <c r="L15" s="23">
        <f>SUM(Tabelle9[Profit])</f>
        <v>-689289.46</v>
      </c>
    </row>
  </sheetData>
  <conditionalFormatting sqref="I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E61A-C9E0-458F-8DF1-7C68813C1DA8}">
  <dimension ref="A1:L15"/>
  <sheetViews>
    <sheetView workbookViewId="0">
      <selection activeCell="I16" sqref="I16"/>
    </sheetView>
  </sheetViews>
  <sheetFormatPr baseColWidth="10" defaultRowHeight="14.4" x14ac:dyDescent="0.3"/>
  <cols>
    <col min="10" max="10" width="14.5546875" bestFit="1" customWidth="1"/>
    <col min="11" max="12" width="17.21875" bestFit="1" customWidth="1"/>
  </cols>
  <sheetData>
    <row r="1" spans="1:12" x14ac:dyDescent="0.3">
      <c r="A1" t="s">
        <v>0</v>
      </c>
      <c r="B1" t="s">
        <v>16</v>
      </c>
      <c r="C1" t="s">
        <v>20</v>
      </c>
      <c r="D1" t="s">
        <v>15</v>
      </c>
      <c r="E1" t="s">
        <v>21</v>
      </c>
      <c r="F1" t="s">
        <v>17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19</v>
      </c>
    </row>
    <row r="2" spans="1:12" x14ac:dyDescent="0.3">
      <c r="A2" s="11">
        <v>2</v>
      </c>
      <c r="B2" s="10" t="s">
        <v>9</v>
      </c>
      <c r="C2" s="11">
        <v>34</v>
      </c>
      <c r="D2" s="11">
        <v>2454</v>
      </c>
      <c r="E2" s="12">
        <v>17.239999999999998</v>
      </c>
      <c r="F2" s="6">
        <f>Tabelle10[[#This Row],[Amount Bought]]-Tabelle10[[#This Row],[Amount Sold]]</f>
        <v>2420</v>
      </c>
      <c r="G2" s="12">
        <v>12</v>
      </c>
      <c r="H2" s="13">
        <f>Tabelle10[[#This Row],[Selling Price]]-Tabelle10[[#This Row],[Supplier Price]]</f>
        <v>5.2399999999999984</v>
      </c>
      <c r="I2" s="14">
        <f>Tabelle10[[#This Row],[Profit Margin]]/Tabelle10[[#This Row],[Selling Price]]</f>
        <v>0.30394431554524354</v>
      </c>
      <c r="J2" s="15">
        <f>Tabelle10[[#This Row],[Amount Sold]]*Tabelle10[[#This Row],[Selling Price]]</f>
        <v>586.16</v>
      </c>
      <c r="K2" s="15">
        <f>Tabelle10[[#This Row],[Amount Bought]]*Tabelle10[[#This Row],[Supplier Price]]</f>
        <v>29448</v>
      </c>
      <c r="L2" s="15">
        <f>Tabelle10[[#This Row],[Revenue]]-Tabelle10[[#This Row],[Expenses]]</f>
        <v>-28861.84</v>
      </c>
    </row>
    <row r="3" spans="1:12" x14ac:dyDescent="0.3">
      <c r="A3" s="11">
        <v>2</v>
      </c>
      <c r="B3" s="10" t="s">
        <v>6</v>
      </c>
      <c r="C3" s="11">
        <v>3</v>
      </c>
      <c r="D3" s="11">
        <v>2201</v>
      </c>
      <c r="E3" s="12">
        <v>87.13</v>
      </c>
      <c r="F3" s="6">
        <f>Tabelle10[[#This Row],[Amount Bought]]-Tabelle10[[#This Row],[Amount Sold]]</f>
        <v>2198</v>
      </c>
      <c r="G3" s="12">
        <v>65</v>
      </c>
      <c r="H3" s="13">
        <f>Tabelle10[[#This Row],[Selling Price]]-Tabelle10[[#This Row],[Supplier Price]]</f>
        <v>22.129999999999995</v>
      </c>
      <c r="I3" s="14">
        <f>Tabelle10[[#This Row],[Profit Margin]]/Tabelle10[[#This Row],[Selling Price]]</f>
        <v>0.2539882933547572</v>
      </c>
      <c r="J3" s="15">
        <f>Tabelle10[[#This Row],[Amount Sold]]*Tabelle10[[#This Row],[Selling Price]]</f>
        <v>261.39</v>
      </c>
      <c r="K3" s="15">
        <f>Tabelle10[[#This Row],[Amount Bought]]*Tabelle10[[#This Row],[Supplier Price]]</f>
        <v>143065</v>
      </c>
      <c r="L3" s="15">
        <f>Tabelle10[[#This Row],[Revenue]]-Tabelle10[[#This Row],[Expenses]]</f>
        <v>-142803.60999999999</v>
      </c>
    </row>
    <row r="4" spans="1:12" x14ac:dyDescent="0.3">
      <c r="A4" s="11">
        <v>2</v>
      </c>
      <c r="B4" s="10" t="s">
        <v>8</v>
      </c>
      <c r="C4" s="11">
        <v>0</v>
      </c>
      <c r="D4" s="11">
        <v>69</v>
      </c>
      <c r="E4" s="12">
        <v>787.54</v>
      </c>
      <c r="F4" s="6">
        <f>Tabelle10[[#This Row],[Amount Bought]]-Tabelle10[[#This Row],[Amount Sold]]</f>
        <v>69</v>
      </c>
      <c r="G4" s="12">
        <v>580</v>
      </c>
      <c r="H4" s="13">
        <f>Tabelle10[[#This Row],[Selling Price]]-Tabelle10[[#This Row],[Supplier Price]]</f>
        <v>207.53999999999996</v>
      </c>
      <c r="I4" s="14">
        <f>Tabelle10[[#This Row],[Profit Margin]]/Tabelle10[[#This Row],[Selling Price]]</f>
        <v>0.26352947151890693</v>
      </c>
      <c r="J4" s="15">
        <f>Tabelle10[[#This Row],[Amount Sold]]*Tabelle10[[#This Row],[Selling Price]]</f>
        <v>0</v>
      </c>
      <c r="K4" s="15">
        <f>Tabelle10[[#This Row],[Amount Bought]]*Tabelle10[[#This Row],[Supplier Price]]</f>
        <v>40020</v>
      </c>
      <c r="L4" s="15">
        <f>Tabelle10[[#This Row],[Revenue]]-Tabelle10[[#This Row],[Expenses]]</f>
        <v>-40020</v>
      </c>
    </row>
    <row r="5" spans="1:12" x14ac:dyDescent="0.3">
      <c r="A5" s="11">
        <v>2</v>
      </c>
      <c r="B5" s="10" t="s">
        <v>11</v>
      </c>
      <c r="C5" s="11">
        <v>20</v>
      </c>
      <c r="D5" s="11">
        <v>3420</v>
      </c>
      <c r="E5" s="12">
        <v>66.77</v>
      </c>
      <c r="F5" s="6">
        <f>Tabelle10[[#This Row],[Amount Bought]]-Tabelle10[[#This Row],[Amount Sold]]</f>
        <v>3400</v>
      </c>
      <c r="G5" s="12">
        <v>45</v>
      </c>
      <c r="H5" s="13">
        <f>Tabelle10[[#This Row],[Selling Price]]-Tabelle10[[#This Row],[Supplier Price]]</f>
        <v>21.769999999999996</v>
      </c>
      <c r="I5" s="14">
        <f>Tabelle10[[#This Row],[Profit Margin]]/Tabelle10[[#This Row],[Selling Price]]</f>
        <v>0.32604463082222551</v>
      </c>
      <c r="J5" s="15">
        <f>Tabelle10[[#This Row],[Amount Sold]]*Tabelle10[[#This Row],[Selling Price]]</f>
        <v>1335.3999999999999</v>
      </c>
      <c r="K5" s="15">
        <f>Tabelle10[[#This Row],[Amount Bought]]*Tabelle10[[#This Row],[Supplier Price]]</f>
        <v>153900</v>
      </c>
      <c r="L5" s="15">
        <f>Tabelle10[[#This Row],[Revenue]]-Tabelle10[[#This Row],[Expenses]]</f>
        <v>-152564.6</v>
      </c>
    </row>
    <row r="6" spans="1:12" x14ac:dyDescent="0.3">
      <c r="A6" s="11">
        <v>2</v>
      </c>
      <c r="B6" s="10" t="s">
        <v>4</v>
      </c>
      <c r="C6" s="11">
        <v>34</v>
      </c>
      <c r="D6" s="11">
        <v>3257</v>
      </c>
      <c r="E6" s="12">
        <v>26.71</v>
      </c>
      <c r="F6" s="6">
        <f>Tabelle10[[#This Row],[Amount Bought]]-Tabelle10[[#This Row],[Amount Sold]]</f>
        <v>3223</v>
      </c>
      <c r="G6" s="12">
        <v>18</v>
      </c>
      <c r="H6" s="13">
        <f>Tabelle10[[#This Row],[Selling Price]]-Tabelle10[[#This Row],[Supplier Price]]</f>
        <v>8.7100000000000009</v>
      </c>
      <c r="I6" s="14">
        <f>Tabelle10[[#This Row],[Profit Margin]]/Tabelle10[[#This Row],[Selling Price]]</f>
        <v>0.32609509546986148</v>
      </c>
      <c r="J6" s="15">
        <f>Tabelle10[[#This Row],[Amount Sold]]*Tabelle10[[#This Row],[Selling Price]]</f>
        <v>908.14</v>
      </c>
      <c r="K6" s="15">
        <f>Tabelle10[[#This Row],[Amount Bought]]*Tabelle10[[#This Row],[Supplier Price]]</f>
        <v>58626</v>
      </c>
      <c r="L6" s="15">
        <f>Tabelle10[[#This Row],[Revenue]]-Tabelle10[[#This Row],[Expenses]]</f>
        <v>-57717.86</v>
      </c>
    </row>
    <row r="7" spans="1:12" x14ac:dyDescent="0.3">
      <c r="A7" s="11">
        <v>2</v>
      </c>
      <c r="B7" s="10" t="s">
        <v>3</v>
      </c>
      <c r="C7" s="11">
        <v>42</v>
      </c>
      <c r="D7" s="11">
        <v>2694</v>
      </c>
      <c r="E7" s="12">
        <v>10.8</v>
      </c>
      <c r="F7" s="6">
        <f>Tabelle10[[#This Row],[Amount Bought]]-Tabelle10[[#This Row],[Amount Sold]]</f>
        <v>2652</v>
      </c>
      <c r="G7" s="12">
        <v>8</v>
      </c>
      <c r="H7" s="13">
        <f>Tabelle10[[#This Row],[Selling Price]]-Tabelle10[[#This Row],[Supplier Price]]</f>
        <v>2.8000000000000007</v>
      </c>
      <c r="I7" s="14">
        <f>Tabelle10[[#This Row],[Profit Margin]]/Tabelle10[[#This Row],[Selling Price]]</f>
        <v>0.2592592592592593</v>
      </c>
      <c r="J7" s="15">
        <f>Tabelle10[[#This Row],[Amount Sold]]*Tabelle10[[#This Row],[Selling Price]]</f>
        <v>453.6</v>
      </c>
      <c r="K7" s="15">
        <f>Tabelle10[[#This Row],[Amount Bought]]*Tabelle10[[#This Row],[Supplier Price]]</f>
        <v>21552</v>
      </c>
      <c r="L7" s="15">
        <f>Tabelle10[[#This Row],[Revenue]]-Tabelle10[[#This Row],[Expenses]]</f>
        <v>-21098.400000000001</v>
      </c>
    </row>
    <row r="8" spans="1:12" x14ac:dyDescent="0.3">
      <c r="A8" s="11">
        <v>2</v>
      </c>
      <c r="B8" s="10" t="s">
        <v>12</v>
      </c>
      <c r="C8" s="11">
        <v>27</v>
      </c>
      <c r="D8" s="11">
        <v>2983</v>
      </c>
      <c r="E8" s="12">
        <v>51.23</v>
      </c>
      <c r="F8" s="6">
        <f>Tabelle10[[#This Row],[Amount Bought]]-Tabelle10[[#This Row],[Amount Sold]]</f>
        <v>2956</v>
      </c>
      <c r="G8" s="12">
        <v>38</v>
      </c>
      <c r="H8" s="13">
        <f>Tabelle10[[#This Row],[Selling Price]]-Tabelle10[[#This Row],[Supplier Price]]</f>
        <v>13.229999999999997</v>
      </c>
      <c r="I8" s="14">
        <f>Tabelle10[[#This Row],[Profit Margin]]/Tabelle10[[#This Row],[Selling Price]]</f>
        <v>0.25824712082764001</v>
      </c>
      <c r="J8" s="15">
        <f>Tabelle10[[#This Row],[Amount Sold]]*Tabelle10[[#This Row],[Selling Price]]</f>
        <v>1383.2099999999998</v>
      </c>
      <c r="K8" s="15">
        <f>Tabelle10[[#This Row],[Amount Bought]]*Tabelle10[[#This Row],[Supplier Price]]</f>
        <v>113354</v>
      </c>
      <c r="L8" s="15">
        <f>Tabelle10[[#This Row],[Revenue]]-Tabelle10[[#This Row],[Expenses]]</f>
        <v>-111970.79</v>
      </c>
    </row>
    <row r="9" spans="1:12" x14ac:dyDescent="0.3">
      <c r="A9" s="11">
        <v>2</v>
      </c>
      <c r="B9" s="10" t="s">
        <v>7</v>
      </c>
      <c r="C9" s="11">
        <v>2</v>
      </c>
      <c r="D9" s="11">
        <v>2008</v>
      </c>
      <c r="E9" s="12">
        <v>312.83</v>
      </c>
      <c r="F9" s="6">
        <f>Tabelle10[[#This Row],[Amount Bought]]-Tabelle10[[#This Row],[Amount Sold]]</f>
        <v>2006</v>
      </c>
      <c r="G9" s="12">
        <v>220</v>
      </c>
      <c r="H9" s="13">
        <f>Tabelle10[[#This Row],[Selling Price]]-Tabelle10[[#This Row],[Supplier Price]]</f>
        <v>92.829999999999984</v>
      </c>
      <c r="I9" s="14">
        <f>Tabelle10[[#This Row],[Profit Margin]]/Tabelle10[[#This Row],[Selling Price]]</f>
        <v>0.29674263977240029</v>
      </c>
      <c r="J9" s="15">
        <f>Tabelle10[[#This Row],[Amount Sold]]*Tabelle10[[#This Row],[Selling Price]]</f>
        <v>625.66</v>
      </c>
      <c r="K9" s="15">
        <f>Tabelle10[[#This Row],[Amount Bought]]*Tabelle10[[#This Row],[Supplier Price]]</f>
        <v>441760</v>
      </c>
      <c r="L9" s="15">
        <f>Tabelle10[[#This Row],[Revenue]]-Tabelle10[[#This Row],[Expenses]]</f>
        <v>-441134.34</v>
      </c>
    </row>
    <row r="10" spans="1:12" x14ac:dyDescent="0.3">
      <c r="A10" s="11">
        <v>2</v>
      </c>
      <c r="B10" s="10" t="s">
        <v>27</v>
      </c>
      <c r="C10" s="11">
        <v>15</v>
      </c>
      <c r="D10" s="11">
        <v>2515</v>
      </c>
      <c r="E10" s="12">
        <v>371.22</v>
      </c>
      <c r="F10" s="6">
        <f>Tabelle10[[#This Row],[Amount Bought]]-Tabelle10[[#This Row],[Amount Sold]]</f>
        <v>2500</v>
      </c>
      <c r="G10" s="12">
        <v>280</v>
      </c>
      <c r="H10" s="13">
        <f>Tabelle10[[#This Row],[Selling Price]]-Tabelle10[[#This Row],[Supplier Price]]</f>
        <v>91.220000000000027</v>
      </c>
      <c r="I10" s="14">
        <f>Tabelle10[[#This Row],[Profit Margin]]/Tabelle10[[#This Row],[Selling Price]]</f>
        <v>0.24573029470394919</v>
      </c>
      <c r="J10" s="15">
        <f>Tabelle10[[#This Row],[Amount Sold]]*Tabelle10[[#This Row],[Selling Price]]</f>
        <v>5568.3</v>
      </c>
      <c r="K10" s="15">
        <f>Tabelle10[[#This Row],[Amount Bought]]*Tabelle10[[#This Row],[Supplier Price]]</f>
        <v>704200</v>
      </c>
      <c r="L10" s="15">
        <f>Tabelle10[[#This Row],[Revenue]]-Tabelle10[[#This Row],[Expenses]]</f>
        <v>-698631.7</v>
      </c>
    </row>
    <row r="11" spans="1:12" x14ac:dyDescent="0.3">
      <c r="A11" s="11">
        <v>2</v>
      </c>
      <c r="B11" s="10" t="s">
        <v>10</v>
      </c>
      <c r="C11" s="11">
        <v>68</v>
      </c>
      <c r="D11" s="11">
        <v>3485</v>
      </c>
      <c r="E11" s="12">
        <v>23.27</v>
      </c>
      <c r="F11" s="6">
        <f>Tabelle10[[#This Row],[Amount Bought]]-Tabelle10[[#This Row],[Amount Sold]]</f>
        <v>3417</v>
      </c>
      <c r="G11" s="12">
        <v>16</v>
      </c>
      <c r="H11" s="13">
        <f>Tabelle10[[#This Row],[Selling Price]]-Tabelle10[[#This Row],[Supplier Price]]</f>
        <v>7.27</v>
      </c>
      <c r="I11" s="14">
        <f>Tabelle10[[#This Row],[Profit Margin]]/Tabelle10[[#This Row],[Selling Price]]</f>
        <v>0.31241942415126772</v>
      </c>
      <c r="J11" s="15">
        <f>Tabelle10[[#This Row],[Amount Sold]]*Tabelle10[[#This Row],[Selling Price]]</f>
        <v>1582.36</v>
      </c>
      <c r="K11" s="15">
        <f>Tabelle10[[#This Row],[Amount Bought]]*Tabelle10[[#This Row],[Supplier Price]]</f>
        <v>55760</v>
      </c>
      <c r="L11" s="15">
        <f>Tabelle10[[#This Row],[Revenue]]-Tabelle10[[#This Row],[Expenses]]</f>
        <v>-54177.64</v>
      </c>
    </row>
    <row r="12" spans="1:12" x14ac:dyDescent="0.3">
      <c r="A12" s="11">
        <v>2</v>
      </c>
      <c r="B12" s="10" t="s">
        <v>2</v>
      </c>
      <c r="C12" s="11">
        <v>35</v>
      </c>
      <c r="D12" s="11">
        <v>3178</v>
      </c>
      <c r="E12" s="12">
        <v>8.86</v>
      </c>
      <c r="F12" s="6">
        <f>Tabelle10[[#This Row],[Amount Bought]]-Tabelle10[[#This Row],[Amount Sold]]</f>
        <v>3143</v>
      </c>
      <c r="G12" s="12">
        <v>6</v>
      </c>
      <c r="H12" s="13">
        <f>Tabelle10[[#This Row],[Selling Price]]-Tabelle10[[#This Row],[Supplier Price]]</f>
        <v>2.8599999999999994</v>
      </c>
      <c r="I12" s="14">
        <f>Tabelle10[[#This Row],[Profit Margin]]/Tabelle10[[#This Row],[Selling Price]]</f>
        <v>0.32279909706546273</v>
      </c>
      <c r="J12" s="15">
        <f>Tabelle10[[#This Row],[Amount Sold]]*Tabelle10[[#This Row],[Selling Price]]</f>
        <v>310.09999999999997</v>
      </c>
      <c r="K12" s="15">
        <f>Tabelle10[[#This Row],[Amount Bought]]*Tabelle10[[#This Row],[Supplier Price]]</f>
        <v>19068</v>
      </c>
      <c r="L12" s="15">
        <f>Tabelle10[[#This Row],[Revenue]]-Tabelle10[[#This Row],[Expenses]]</f>
        <v>-18757.900000000001</v>
      </c>
    </row>
    <row r="13" spans="1:12" x14ac:dyDescent="0.3">
      <c r="A13" s="11">
        <v>2</v>
      </c>
      <c r="B13" s="10" t="s">
        <v>1</v>
      </c>
      <c r="C13" s="11">
        <v>22</v>
      </c>
      <c r="D13" s="11">
        <v>2475</v>
      </c>
      <c r="E13" s="12">
        <v>20.79</v>
      </c>
      <c r="F13" s="6">
        <f>Tabelle10[[#This Row],[Amount Bought]]-Tabelle10[[#This Row],[Amount Sold]]</f>
        <v>2453</v>
      </c>
      <c r="G13" s="12">
        <v>15</v>
      </c>
      <c r="H13" s="13">
        <f>Tabelle10[[#This Row],[Selling Price]]-Tabelle10[[#This Row],[Supplier Price]]</f>
        <v>5.7899999999999991</v>
      </c>
      <c r="I13" s="14">
        <f>Tabelle10[[#This Row],[Profit Margin]]/Tabelle10[[#This Row],[Selling Price]]</f>
        <v>0.27849927849927847</v>
      </c>
      <c r="J13" s="15">
        <f>Tabelle10[[#This Row],[Amount Sold]]*Tabelle10[[#This Row],[Selling Price]]</f>
        <v>457.38</v>
      </c>
      <c r="K13" s="15">
        <f>Tabelle10[[#This Row],[Amount Bought]]*Tabelle10[[#This Row],[Supplier Price]]</f>
        <v>37125</v>
      </c>
      <c r="L13" s="15">
        <f>Tabelle10[[#This Row],[Revenue]]-Tabelle10[[#This Row],[Expenses]]</f>
        <v>-36667.620000000003</v>
      </c>
    </row>
    <row r="14" spans="1:12" x14ac:dyDescent="0.3">
      <c r="A14" s="11">
        <v>2</v>
      </c>
      <c r="B14" s="10" t="s">
        <v>5</v>
      </c>
      <c r="C14" s="11">
        <v>30</v>
      </c>
      <c r="D14" s="11">
        <v>1788</v>
      </c>
      <c r="E14" s="12">
        <v>49.94</v>
      </c>
      <c r="F14" s="6">
        <f>Tabelle10[[#This Row],[Amount Bought]]-Tabelle10[[#This Row],[Amount Sold]]</f>
        <v>1758</v>
      </c>
      <c r="G14" s="12">
        <v>35</v>
      </c>
      <c r="H14" s="13">
        <f>Tabelle10[[#This Row],[Selling Price]]-Tabelle10[[#This Row],[Supplier Price]]</f>
        <v>14.939999999999998</v>
      </c>
      <c r="I14" s="14">
        <f>Tabelle10[[#This Row],[Profit Margin]]/Tabelle10[[#This Row],[Selling Price]]</f>
        <v>0.2991589907889467</v>
      </c>
      <c r="J14" s="15">
        <f>Tabelle10[[#This Row],[Amount Sold]]*Tabelle10[[#This Row],[Selling Price]]</f>
        <v>1498.1999999999998</v>
      </c>
      <c r="K14" s="15">
        <f>Tabelle10[[#This Row],[Amount Bought]]*Tabelle10[[#This Row],[Supplier Price]]</f>
        <v>62580</v>
      </c>
      <c r="L14" s="15">
        <f>Tabelle10[[#This Row],[Revenue]]-Tabelle10[[#This Row],[Expenses]]</f>
        <v>-61081.8</v>
      </c>
    </row>
    <row r="15" spans="1:12" x14ac:dyDescent="0.3">
      <c r="A15" s="11"/>
      <c r="B15" s="10"/>
      <c r="C15" s="11"/>
      <c r="D15" s="11"/>
      <c r="E15" s="12"/>
      <c r="F15" s="6"/>
      <c r="G15" s="12"/>
      <c r="H15" s="13"/>
      <c r="I15" s="14"/>
      <c r="J15" s="15">
        <f>SUM(Tabelle10[Revenue])</f>
        <v>14969.900000000001</v>
      </c>
      <c r="K15" s="15">
        <f>SUM(Tabelle10[Expenses])</f>
        <v>1880458</v>
      </c>
      <c r="L15" s="15">
        <f>SUM(Tabelle10[Profit])</f>
        <v>-1865488.0999999999</v>
      </c>
    </row>
  </sheetData>
  <conditionalFormatting sqref="I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062C-C475-4A03-B656-05218F775353}">
  <dimension ref="A1:L15"/>
  <sheetViews>
    <sheetView workbookViewId="0">
      <selection activeCell="K19" sqref="K19"/>
    </sheetView>
  </sheetViews>
  <sheetFormatPr baseColWidth="10" defaultRowHeight="14.4" x14ac:dyDescent="0.3"/>
  <cols>
    <col min="2" max="2" width="13.77734375" customWidth="1"/>
    <col min="3" max="3" width="13.44140625" customWidth="1"/>
    <col min="4" max="4" width="15.33203125" customWidth="1"/>
    <col min="5" max="5" width="13.21875" customWidth="1"/>
    <col min="6" max="6" width="16" customWidth="1"/>
    <col min="7" max="7" width="14.6640625" customWidth="1"/>
    <col min="8" max="8" width="13.33203125" customWidth="1"/>
    <col min="9" max="9" width="14.88671875" customWidth="1"/>
    <col min="10" max="11" width="17.21875" bestFit="1" customWidth="1"/>
    <col min="12" max="12" width="15.5546875" bestFit="1" customWidth="1"/>
  </cols>
  <sheetData>
    <row r="1" spans="1:12" x14ac:dyDescent="0.3">
      <c r="A1" s="16" t="s">
        <v>0</v>
      </c>
      <c r="B1" s="16" t="s">
        <v>16</v>
      </c>
      <c r="C1" s="16" t="s">
        <v>20</v>
      </c>
      <c r="D1" s="16" t="s">
        <v>15</v>
      </c>
      <c r="E1" s="16" t="s">
        <v>21</v>
      </c>
      <c r="F1" s="16" t="s">
        <v>17</v>
      </c>
      <c r="G1" s="16" t="s">
        <v>22</v>
      </c>
      <c r="H1" s="16" t="s">
        <v>23</v>
      </c>
      <c r="I1" s="16" t="s">
        <v>24</v>
      </c>
      <c r="J1" s="16" t="s">
        <v>26</v>
      </c>
      <c r="K1" s="16" t="s">
        <v>25</v>
      </c>
      <c r="L1" s="16" t="s">
        <v>19</v>
      </c>
    </row>
    <row r="2" spans="1:12" x14ac:dyDescent="0.3">
      <c r="A2" s="11">
        <v>3</v>
      </c>
      <c r="B2" s="10" t="s">
        <v>9</v>
      </c>
      <c r="C2" s="11">
        <v>2186</v>
      </c>
      <c r="D2" s="11">
        <v>2186</v>
      </c>
      <c r="E2" s="12">
        <v>16.7</v>
      </c>
      <c r="F2" s="6">
        <f>D2-C2</f>
        <v>0</v>
      </c>
      <c r="G2" s="26">
        <v>12</v>
      </c>
      <c r="H2" s="13">
        <f>Tabelle11[[#This Row],[Selling Price]]-Tabelle11[[#This Row],[Supplier Price]]</f>
        <v>4.6999999999999993</v>
      </c>
      <c r="I2" s="14">
        <f>Tabelle11[[#This Row],[Profit Margin]]/Tabelle11[[#This Row],[Selling Price]]</f>
        <v>0.28143712574850294</v>
      </c>
      <c r="J2" s="15">
        <f>Tabelle11[[#This Row],[Amount Sold]]*Tabelle11[[#This Row],[Selling Price]]</f>
        <v>36506.199999999997</v>
      </c>
      <c r="K2" s="15">
        <f>Tabelle11[[#This Row],[Amount Bought]]*Tabelle11[[#This Row],[Supplier Price]]</f>
        <v>26232</v>
      </c>
      <c r="L2" s="15">
        <f>Tabelle11[[#This Row],[Revenue]]-Tabelle11[[#This Row],[Expenses]]</f>
        <v>10274.199999999997</v>
      </c>
    </row>
    <row r="3" spans="1:12" x14ac:dyDescent="0.3">
      <c r="A3" s="11">
        <v>3</v>
      </c>
      <c r="B3" s="10" t="s">
        <v>6</v>
      </c>
      <c r="C3" s="11">
        <v>146</v>
      </c>
      <c r="D3" s="11">
        <v>2380</v>
      </c>
      <c r="E3" s="12">
        <v>91.51</v>
      </c>
      <c r="F3" s="6">
        <f t="shared" ref="F3:F14" si="0">D3-C3</f>
        <v>2234</v>
      </c>
      <c r="G3" s="26">
        <v>65</v>
      </c>
      <c r="H3" s="13">
        <f>Tabelle11[[#This Row],[Selling Price]]-Tabelle11[[#This Row],[Supplier Price]]</f>
        <v>26.510000000000005</v>
      </c>
      <c r="I3" s="14">
        <f>Tabelle11[[#This Row],[Profit Margin]]/Tabelle11[[#This Row],[Selling Price]]</f>
        <v>0.28969511528794673</v>
      </c>
      <c r="J3" s="15">
        <f>Tabelle11[[#This Row],[Amount Sold]]*Tabelle11[[#This Row],[Selling Price]]</f>
        <v>13360.460000000001</v>
      </c>
      <c r="K3" s="15">
        <f>Tabelle11[[#This Row],[Amount Bought]]*Tabelle11[[#This Row],[Supplier Price]]</f>
        <v>154700</v>
      </c>
      <c r="L3" s="15">
        <f>Tabelle11[[#This Row],[Revenue]]-Tabelle11[[#This Row],[Expenses]]</f>
        <v>-141339.54</v>
      </c>
    </row>
    <row r="4" spans="1:12" x14ac:dyDescent="0.3">
      <c r="A4" s="11">
        <v>3</v>
      </c>
      <c r="B4" s="6" t="s">
        <v>8</v>
      </c>
      <c r="C4" s="11">
        <v>69</v>
      </c>
      <c r="D4" s="11">
        <v>69</v>
      </c>
      <c r="E4" s="12">
        <v>785.37</v>
      </c>
      <c r="F4" s="6">
        <f t="shared" si="0"/>
        <v>0</v>
      </c>
      <c r="G4" s="26">
        <v>580</v>
      </c>
      <c r="H4" s="13">
        <f>Tabelle11[[#This Row],[Selling Price]]-Tabelle11[[#This Row],[Supplier Price]]</f>
        <v>205.37</v>
      </c>
      <c r="I4" s="14">
        <f>Tabelle11[[#This Row],[Profit Margin]]/Tabelle11[[#This Row],[Selling Price]]</f>
        <v>0.2614945821714606</v>
      </c>
      <c r="J4" s="15">
        <f>Tabelle11[[#This Row],[Amount Sold]]*Tabelle11[[#This Row],[Selling Price]]</f>
        <v>54190.53</v>
      </c>
      <c r="K4" s="15">
        <f>Tabelle11[[#This Row],[Amount Bought]]*Tabelle11[[#This Row],[Supplier Price]]</f>
        <v>40020</v>
      </c>
      <c r="L4" s="15">
        <f>Tabelle11[[#This Row],[Revenue]]-Tabelle11[[#This Row],[Expenses]]</f>
        <v>14170.529999999999</v>
      </c>
    </row>
    <row r="5" spans="1:12" x14ac:dyDescent="0.3">
      <c r="A5" s="11">
        <v>3</v>
      </c>
      <c r="B5" s="10" t="s">
        <v>11</v>
      </c>
      <c r="C5" s="11">
        <v>1602</v>
      </c>
      <c r="D5" s="11">
        <v>1602</v>
      </c>
      <c r="E5" s="12">
        <v>65.33</v>
      </c>
      <c r="F5" s="6">
        <f t="shared" si="0"/>
        <v>0</v>
      </c>
      <c r="G5" s="26">
        <v>45</v>
      </c>
      <c r="H5" s="13">
        <f>Tabelle11[[#This Row],[Selling Price]]-Tabelle11[[#This Row],[Supplier Price]]</f>
        <v>20.329999999999998</v>
      </c>
      <c r="I5" s="14">
        <f>Tabelle11[[#This Row],[Profit Margin]]/Tabelle11[[#This Row],[Selling Price]]</f>
        <v>0.31118934639522422</v>
      </c>
      <c r="J5" s="15">
        <f>Tabelle11[[#This Row],[Amount Sold]]*Tabelle11[[#This Row],[Selling Price]]</f>
        <v>104658.66</v>
      </c>
      <c r="K5" s="15">
        <f>Tabelle11[[#This Row],[Amount Bought]]*Tabelle11[[#This Row],[Supplier Price]]</f>
        <v>72090</v>
      </c>
      <c r="L5" s="15">
        <f>Tabelle11[[#This Row],[Revenue]]-Tabelle11[[#This Row],[Expenses]]</f>
        <v>32568.660000000003</v>
      </c>
    </row>
    <row r="6" spans="1:12" x14ac:dyDescent="0.3">
      <c r="A6" s="11">
        <v>3</v>
      </c>
      <c r="B6" s="10" t="s">
        <v>4</v>
      </c>
      <c r="C6" s="11">
        <v>1878</v>
      </c>
      <c r="D6" s="11">
        <v>1878</v>
      </c>
      <c r="E6" s="12">
        <v>24.66</v>
      </c>
      <c r="F6" s="6">
        <f t="shared" si="0"/>
        <v>0</v>
      </c>
      <c r="G6" s="26">
        <v>18</v>
      </c>
      <c r="H6" s="13">
        <f>Tabelle11[[#This Row],[Selling Price]]-Tabelle11[[#This Row],[Supplier Price]]</f>
        <v>6.66</v>
      </c>
      <c r="I6" s="14">
        <f>Tabelle11[[#This Row],[Profit Margin]]/Tabelle11[[#This Row],[Selling Price]]</f>
        <v>0.27007299270072993</v>
      </c>
      <c r="J6" s="15">
        <f>Tabelle11[[#This Row],[Amount Sold]]*Tabelle11[[#This Row],[Selling Price]]</f>
        <v>46311.48</v>
      </c>
      <c r="K6" s="15">
        <f>Tabelle11[[#This Row],[Amount Bought]]*Tabelle11[[#This Row],[Supplier Price]]</f>
        <v>33804</v>
      </c>
      <c r="L6" s="15">
        <f>Tabelle11[[#This Row],[Revenue]]-Tabelle11[[#This Row],[Expenses]]</f>
        <v>12507.480000000003</v>
      </c>
    </row>
    <row r="7" spans="1:12" x14ac:dyDescent="0.3">
      <c r="A7" s="11">
        <v>3</v>
      </c>
      <c r="B7" s="10" t="s">
        <v>3</v>
      </c>
      <c r="C7" s="11">
        <v>1189</v>
      </c>
      <c r="D7" s="11">
        <v>1513</v>
      </c>
      <c r="E7" s="12">
        <v>11.86</v>
      </c>
      <c r="F7" s="6">
        <f t="shared" si="0"/>
        <v>324</v>
      </c>
      <c r="G7" s="26">
        <v>8</v>
      </c>
      <c r="H7" s="13">
        <f>Tabelle11[[#This Row],[Selling Price]]-Tabelle11[[#This Row],[Supplier Price]]</f>
        <v>3.8599999999999994</v>
      </c>
      <c r="I7" s="14">
        <f>Tabelle11[[#This Row],[Profit Margin]]/Tabelle11[[#This Row],[Selling Price]]</f>
        <v>0.32546374367622255</v>
      </c>
      <c r="J7" s="15">
        <f>Tabelle11[[#This Row],[Amount Sold]]*Tabelle11[[#This Row],[Selling Price]]</f>
        <v>14101.539999999999</v>
      </c>
      <c r="K7" s="15">
        <f>Tabelle11[[#This Row],[Amount Bought]]*Tabelle11[[#This Row],[Supplier Price]]</f>
        <v>12104</v>
      </c>
      <c r="L7" s="15">
        <f>Tabelle11[[#This Row],[Revenue]]-Tabelle11[[#This Row],[Expenses]]</f>
        <v>1997.5399999999991</v>
      </c>
    </row>
    <row r="8" spans="1:12" x14ac:dyDescent="0.3">
      <c r="A8" s="11">
        <v>3</v>
      </c>
      <c r="B8" s="10" t="s">
        <v>12</v>
      </c>
      <c r="C8" s="11">
        <v>1607</v>
      </c>
      <c r="D8" s="11">
        <v>1795</v>
      </c>
      <c r="E8" s="12">
        <v>52.73</v>
      </c>
      <c r="F8" s="6">
        <f t="shared" si="0"/>
        <v>188</v>
      </c>
      <c r="G8" s="26">
        <v>38</v>
      </c>
      <c r="H8" s="13">
        <f>Tabelle11[[#This Row],[Selling Price]]-Tabelle11[[#This Row],[Supplier Price]]</f>
        <v>14.729999999999997</v>
      </c>
      <c r="I8" s="14">
        <f>Tabelle11[[#This Row],[Profit Margin]]/Tabelle11[[#This Row],[Selling Price]]</f>
        <v>0.27934761995069218</v>
      </c>
      <c r="J8" s="15">
        <f>Tabelle11[[#This Row],[Amount Sold]]*Tabelle11[[#This Row],[Selling Price]]</f>
        <v>84737.11</v>
      </c>
      <c r="K8" s="15">
        <f>Tabelle11[[#This Row],[Amount Bought]]*Tabelle11[[#This Row],[Supplier Price]]</f>
        <v>68210</v>
      </c>
      <c r="L8" s="15">
        <f>Tabelle11[[#This Row],[Revenue]]-Tabelle11[[#This Row],[Expenses]]</f>
        <v>16527.11</v>
      </c>
    </row>
    <row r="9" spans="1:12" x14ac:dyDescent="0.3">
      <c r="A9" s="11">
        <v>3</v>
      </c>
      <c r="B9" s="10" t="s">
        <v>7</v>
      </c>
      <c r="C9" s="11">
        <v>894</v>
      </c>
      <c r="D9" s="11">
        <v>1832</v>
      </c>
      <c r="E9" s="12">
        <v>306.17</v>
      </c>
      <c r="F9" s="6">
        <f t="shared" si="0"/>
        <v>938</v>
      </c>
      <c r="G9" s="26">
        <v>220</v>
      </c>
      <c r="H9" s="13">
        <f>Tabelle11[[#This Row],[Selling Price]]-Tabelle11[[#This Row],[Supplier Price]]</f>
        <v>86.170000000000016</v>
      </c>
      <c r="I9" s="14">
        <f>Tabelle11[[#This Row],[Profit Margin]]/Tabelle11[[#This Row],[Selling Price]]</f>
        <v>0.28144494888460664</v>
      </c>
      <c r="J9" s="15">
        <f>Tabelle11[[#This Row],[Amount Sold]]*Tabelle11[[#This Row],[Selling Price]]</f>
        <v>273715.98000000004</v>
      </c>
      <c r="K9" s="15">
        <f>Tabelle11[[#This Row],[Amount Bought]]*Tabelle11[[#This Row],[Supplier Price]]</f>
        <v>403040</v>
      </c>
      <c r="L9" s="15">
        <f>Tabelle11[[#This Row],[Revenue]]-Tabelle11[[#This Row],[Expenses]]</f>
        <v>-129324.01999999996</v>
      </c>
    </row>
    <row r="10" spans="1:12" x14ac:dyDescent="0.3">
      <c r="A10" s="11">
        <v>3</v>
      </c>
      <c r="B10" s="10" t="s">
        <v>27</v>
      </c>
      <c r="C10" s="11">
        <v>1300</v>
      </c>
      <c r="D10" s="11">
        <v>2587</v>
      </c>
      <c r="E10" s="12">
        <v>376.48</v>
      </c>
      <c r="F10" s="6">
        <f t="shared" si="0"/>
        <v>1287</v>
      </c>
      <c r="G10" s="26">
        <v>280</v>
      </c>
      <c r="H10" s="13">
        <f>Tabelle11[[#This Row],[Selling Price]]-Tabelle11[[#This Row],[Supplier Price]]</f>
        <v>96.480000000000018</v>
      </c>
      <c r="I10" s="14">
        <f>Tabelle11[[#This Row],[Profit Margin]]/Tabelle11[[#This Row],[Selling Price]]</f>
        <v>0.25626859328516793</v>
      </c>
      <c r="J10" s="15">
        <f>Tabelle11[[#This Row],[Amount Sold]]*Tabelle11[[#This Row],[Selling Price]]</f>
        <v>489424</v>
      </c>
      <c r="K10" s="15">
        <f>Tabelle11[[#This Row],[Amount Bought]]*Tabelle11[[#This Row],[Supplier Price]]</f>
        <v>724360</v>
      </c>
      <c r="L10" s="15">
        <f>Tabelle11[[#This Row],[Revenue]]-Tabelle11[[#This Row],[Expenses]]</f>
        <v>-234936</v>
      </c>
    </row>
    <row r="11" spans="1:12" x14ac:dyDescent="0.3">
      <c r="A11" s="11">
        <v>3</v>
      </c>
      <c r="B11" s="10" t="s">
        <v>10</v>
      </c>
      <c r="C11" s="11">
        <v>2993</v>
      </c>
      <c r="D11" s="11">
        <v>2993</v>
      </c>
      <c r="E11" s="12">
        <v>22.11</v>
      </c>
      <c r="F11" s="6">
        <f t="shared" si="0"/>
        <v>0</v>
      </c>
      <c r="G11" s="26">
        <v>16</v>
      </c>
      <c r="H11" s="13">
        <f>Tabelle11[[#This Row],[Selling Price]]-Tabelle11[[#This Row],[Supplier Price]]</f>
        <v>6.1099999999999994</v>
      </c>
      <c r="I11" s="14">
        <f>Tabelle11[[#This Row],[Profit Margin]]/Tabelle11[[#This Row],[Selling Price]]</f>
        <v>0.27634554500226138</v>
      </c>
      <c r="J11" s="15">
        <f>Tabelle11[[#This Row],[Amount Sold]]*Tabelle11[[#This Row],[Selling Price]]</f>
        <v>66175.23</v>
      </c>
      <c r="K11" s="15">
        <f>Tabelle11[[#This Row],[Amount Bought]]*Tabelle11[[#This Row],[Supplier Price]]</f>
        <v>47888</v>
      </c>
      <c r="L11" s="15">
        <f>Tabelle11[[#This Row],[Revenue]]-Tabelle11[[#This Row],[Expenses]]</f>
        <v>18287.229999999996</v>
      </c>
    </row>
    <row r="12" spans="1:12" x14ac:dyDescent="0.3">
      <c r="A12" s="11">
        <v>3</v>
      </c>
      <c r="B12" s="10" t="s">
        <v>2</v>
      </c>
      <c r="C12" s="11">
        <v>2764</v>
      </c>
      <c r="D12" s="11">
        <v>2764</v>
      </c>
      <c r="E12" s="12">
        <v>7.81</v>
      </c>
      <c r="F12" s="6">
        <f t="shared" si="0"/>
        <v>0</v>
      </c>
      <c r="G12" s="26">
        <v>6</v>
      </c>
      <c r="H12" s="13">
        <f>Tabelle11[[#This Row],[Selling Price]]-Tabelle11[[#This Row],[Supplier Price]]</f>
        <v>1.8099999999999996</v>
      </c>
      <c r="I12" s="14">
        <f>Tabelle11[[#This Row],[Profit Margin]]/Tabelle11[[#This Row],[Selling Price]]</f>
        <v>0.23175416133162607</v>
      </c>
      <c r="J12" s="15">
        <f>Tabelle11[[#This Row],[Amount Sold]]*Tabelle11[[#This Row],[Selling Price]]</f>
        <v>21586.84</v>
      </c>
      <c r="K12" s="15">
        <f>Tabelle11[[#This Row],[Amount Bought]]*Tabelle11[[#This Row],[Supplier Price]]</f>
        <v>16584</v>
      </c>
      <c r="L12" s="15">
        <f>Tabelle11[[#This Row],[Revenue]]-Tabelle11[[#This Row],[Expenses]]</f>
        <v>5002.84</v>
      </c>
    </row>
    <row r="13" spans="1:12" x14ac:dyDescent="0.3">
      <c r="A13" s="11">
        <v>3</v>
      </c>
      <c r="B13" s="10" t="s">
        <v>1</v>
      </c>
      <c r="C13" s="11">
        <v>1785</v>
      </c>
      <c r="D13" s="11">
        <v>1785</v>
      </c>
      <c r="E13" s="12">
        <v>20.75</v>
      </c>
      <c r="F13" s="6">
        <f t="shared" si="0"/>
        <v>0</v>
      </c>
      <c r="G13" s="26">
        <v>15</v>
      </c>
      <c r="H13" s="13">
        <f>Tabelle11[[#This Row],[Selling Price]]-Tabelle11[[#This Row],[Supplier Price]]</f>
        <v>5.75</v>
      </c>
      <c r="I13" s="14">
        <f>Tabelle11[[#This Row],[Profit Margin]]/Tabelle11[[#This Row],[Selling Price]]</f>
        <v>0.27710843373493976</v>
      </c>
      <c r="J13" s="15">
        <f>Tabelle11[[#This Row],[Amount Sold]]*Tabelle11[[#This Row],[Selling Price]]</f>
        <v>37038.75</v>
      </c>
      <c r="K13" s="15">
        <f>Tabelle11[[#This Row],[Amount Bought]]*Tabelle11[[#This Row],[Supplier Price]]</f>
        <v>26775</v>
      </c>
      <c r="L13" s="15">
        <f>Tabelle11[[#This Row],[Revenue]]-Tabelle11[[#This Row],[Expenses]]</f>
        <v>10263.75</v>
      </c>
    </row>
    <row r="14" spans="1:12" x14ac:dyDescent="0.3">
      <c r="A14" s="11">
        <v>3</v>
      </c>
      <c r="B14" s="10" t="s">
        <v>5</v>
      </c>
      <c r="C14" s="11">
        <v>1167</v>
      </c>
      <c r="D14" s="11">
        <v>3440</v>
      </c>
      <c r="E14" s="12">
        <v>51.8</v>
      </c>
      <c r="F14" s="6">
        <f t="shared" si="0"/>
        <v>2273</v>
      </c>
      <c r="G14" s="27">
        <v>35</v>
      </c>
      <c r="H14" s="13">
        <f>Tabelle11[[#This Row],[Selling Price]]-Tabelle11[[#This Row],[Supplier Price]]</f>
        <v>16.799999999999997</v>
      </c>
      <c r="I14" s="14">
        <f>Tabelle11[[#This Row],[Profit Margin]]/Tabelle11[[#This Row],[Selling Price]]</f>
        <v>0.32432432432432429</v>
      </c>
      <c r="J14" s="15">
        <f>Tabelle11[[#This Row],[Amount Sold]]*Tabelle11[[#This Row],[Selling Price]]</f>
        <v>60450.6</v>
      </c>
      <c r="K14" s="15">
        <f>Tabelle11[[#This Row],[Amount Bought]]*Tabelle11[[#This Row],[Supplier Price]]</f>
        <v>120400</v>
      </c>
      <c r="L14" s="15">
        <f>Tabelle11[[#This Row],[Revenue]]-Tabelle11[[#This Row],[Expenses]]</f>
        <v>-59949.4</v>
      </c>
    </row>
    <row r="15" spans="1:12" x14ac:dyDescent="0.3">
      <c r="A15" s="11"/>
      <c r="B15" s="10"/>
      <c r="C15" s="11"/>
      <c r="D15" s="11"/>
      <c r="E15" s="12"/>
      <c r="F15" s="6"/>
      <c r="G15" s="28"/>
      <c r="H15" s="13"/>
      <c r="I15" s="14"/>
      <c r="J15" s="15">
        <f>SUM(Tabelle11[Revenue])</f>
        <v>1302257.3800000001</v>
      </c>
      <c r="K15" s="15">
        <f>SUM(Tabelle11[Expenses])</f>
        <v>1746207</v>
      </c>
      <c r="L15" s="15">
        <f>SUM(Tabelle11[Profit])</f>
        <v>-443949.62</v>
      </c>
    </row>
  </sheetData>
  <conditionalFormatting sqref="I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50CB-99BC-4DFC-B974-04AE43DA417B}">
  <dimension ref="A1:M22"/>
  <sheetViews>
    <sheetView tabSelected="1" zoomScaleNormal="100" workbookViewId="0">
      <selection activeCell="F20" sqref="F20"/>
    </sheetView>
  </sheetViews>
  <sheetFormatPr baseColWidth="10" defaultRowHeight="14.4" x14ac:dyDescent="0.3"/>
  <cols>
    <col min="2" max="2" width="13.33203125" customWidth="1"/>
    <col min="3" max="3" width="13.109375" customWidth="1"/>
    <col min="4" max="4" width="12.88671875" customWidth="1"/>
    <col min="5" max="5" width="14.21875" customWidth="1"/>
    <col min="6" max="6" width="13.109375" bestFit="1" customWidth="1"/>
    <col min="7" max="7" width="15" bestFit="1" customWidth="1"/>
    <col min="8" max="8" width="14.33203125" bestFit="1" customWidth="1"/>
    <col min="9" max="9" width="15.21875" bestFit="1" customWidth="1"/>
    <col min="10" max="11" width="17.21875" bestFit="1" customWidth="1"/>
    <col min="12" max="13" width="15.44140625" bestFit="1" customWidth="1"/>
  </cols>
  <sheetData>
    <row r="1" spans="1:12" x14ac:dyDescent="0.3">
      <c r="A1" t="s">
        <v>0</v>
      </c>
      <c r="B1" t="s">
        <v>16</v>
      </c>
      <c r="C1" t="s">
        <v>15</v>
      </c>
      <c r="D1" t="s">
        <v>20</v>
      </c>
      <c r="E1" t="s">
        <v>21</v>
      </c>
      <c r="F1" t="s">
        <v>17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19</v>
      </c>
    </row>
    <row r="2" spans="1:12" x14ac:dyDescent="0.3">
      <c r="A2" s="1">
        <v>4</v>
      </c>
      <c r="B2" s="5" t="s">
        <v>9</v>
      </c>
      <c r="C2" s="1">
        <v>3266</v>
      </c>
      <c r="D2" s="1">
        <v>3266</v>
      </c>
      <c r="E2" s="8">
        <v>16.420000000000002</v>
      </c>
      <c r="F2">
        <f>Tabelle1[[#This Row],[Amount Bought]]-Tabelle1[[#This Row],[Amount Sold]]</f>
        <v>0</v>
      </c>
      <c r="G2" s="2">
        <v>12</v>
      </c>
      <c r="H2" s="3">
        <f t="shared" ref="H2:H14" si="0">E2-G2</f>
        <v>4.4200000000000017</v>
      </c>
      <c r="I2" s="4">
        <f t="shared" ref="I2:I14" si="1">H2/E2</f>
        <v>0.26918392204628511</v>
      </c>
      <c r="J2" s="7">
        <f>Tabelle1[[#This Row],[Amount Sold]]*Tabelle1[[#This Row],[Selling Price]]</f>
        <v>53627.720000000008</v>
      </c>
      <c r="K2" s="7">
        <f>Tabelle1[[#This Row],[Amount Bought]]*Tabelle1[[#This Row],[Supplier Price]]</f>
        <v>39192</v>
      </c>
      <c r="L2" s="7">
        <f>Tabelle1[[#This Row],[Revenue]]-Tabelle1[[#This Row],[Expenses]]</f>
        <v>14435.720000000008</v>
      </c>
    </row>
    <row r="3" spans="1:12" x14ac:dyDescent="0.3">
      <c r="A3" s="1">
        <v>4</v>
      </c>
      <c r="B3" s="5" t="s">
        <v>6</v>
      </c>
      <c r="C3" s="1">
        <v>800</v>
      </c>
      <c r="D3" s="1">
        <v>2</v>
      </c>
      <c r="E3" s="8">
        <v>85.75</v>
      </c>
      <c r="F3">
        <f>Tabelle1[[#This Row],[Amount Bought]]-Tabelle1[[#This Row],[Amount Sold]]</f>
        <v>798</v>
      </c>
      <c r="G3" s="2">
        <v>65</v>
      </c>
      <c r="H3" s="3">
        <f t="shared" si="0"/>
        <v>20.75</v>
      </c>
      <c r="I3" s="4">
        <f t="shared" si="1"/>
        <v>0.24198250728862974</v>
      </c>
      <c r="J3" s="7">
        <f>Tabelle1[[#This Row],[Amount Sold]]*Tabelle1[[#This Row],[Selling Price]]</f>
        <v>171.5</v>
      </c>
      <c r="K3" s="7">
        <f>Tabelle1[[#This Row],[Amount Bought]]*Tabelle1[[#This Row],[Supplier Price]]</f>
        <v>52000</v>
      </c>
      <c r="L3" s="7">
        <f>Tabelle1[[#This Row],[Revenue]]-Tabelle1[[#This Row],[Expenses]]</f>
        <v>-51828.5</v>
      </c>
    </row>
    <row r="4" spans="1:12" x14ac:dyDescent="0.3">
      <c r="A4" s="1">
        <v>4</v>
      </c>
      <c r="B4" s="5" t="s">
        <v>8</v>
      </c>
      <c r="C4" s="1">
        <v>70</v>
      </c>
      <c r="D4" s="1">
        <v>70</v>
      </c>
      <c r="E4" s="8">
        <v>849.1</v>
      </c>
      <c r="F4">
        <f>Tabelle1[[#This Row],[Amount Bought]]-Tabelle1[[#This Row],[Amount Sold]]</f>
        <v>0</v>
      </c>
      <c r="G4" s="2">
        <v>580</v>
      </c>
      <c r="H4" s="3">
        <f t="shared" si="0"/>
        <v>269.10000000000002</v>
      </c>
      <c r="I4" s="4">
        <f t="shared" si="1"/>
        <v>0.31692380167235901</v>
      </c>
      <c r="J4" s="7">
        <f>Tabelle1[[#This Row],[Amount Sold]]*Tabelle1[[#This Row],[Selling Price]]</f>
        <v>59437</v>
      </c>
      <c r="K4" s="7">
        <f>Tabelle1[[#This Row],[Amount Bought]]*Tabelle1[[#This Row],[Supplier Price]]</f>
        <v>40600</v>
      </c>
      <c r="L4" s="7">
        <f>Tabelle1[[#This Row],[Revenue]]-Tabelle1[[#This Row],[Expenses]]</f>
        <v>18837</v>
      </c>
    </row>
    <row r="5" spans="1:12" x14ac:dyDescent="0.3">
      <c r="A5" s="1">
        <v>4</v>
      </c>
      <c r="B5" s="5" t="s">
        <v>11</v>
      </c>
      <c r="C5" s="1">
        <v>2144</v>
      </c>
      <c r="D5" s="1">
        <v>2144</v>
      </c>
      <c r="E5" s="8">
        <v>65.650000000000006</v>
      </c>
      <c r="F5">
        <f>Tabelle1[[#This Row],[Amount Bought]]-Tabelle1[[#This Row],[Amount Sold]]</f>
        <v>0</v>
      </c>
      <c r="G5" s="2">
        <v>45</v>
      </c>
      <c r="H5" s="3">
        <f t="shared" si="0"/>
        <v>20.650000000000006</v>
      </c>
      <c r="I5" s="4">
        <f t="shared" si="1"/>
        <v>0.3145468392993146</v>
      </c>
      <c r="J5" s="7">
        <f>Tabelle1[[#This Row],[Amount Sold]]*Tabelle1[[#This Row],[Selling Price]]</f>
        <v>140753.60000000001</v>
      </c>
      <c r="K5" s="7">
        <f>Tabelle1[[#This Row],[Amount Bought]]*Tabelle1[[#This Row],[Supplier Price]]</f>
        <v>96480</v>
      </c>
      <c r="L5" s="7">
        <f>Tabelle1[[#This Row],[Revenue]]-Tabelle1[[#This Row],[Expenses]]</f>
        <v>44273.600000000006</v>
      </c>
    </row>
    <row r="6" spans="1:12" x14ac:dyDescent="0.3">
      <c r="A6" s="1">
        <v>4</v>
      </c>
      <c r="B6" s="5" t="s">
        <v>4</v>
      </c>
      <c r="C6" s="1">
        <v>2500</v>
      </c>
      <c r="D6" s="1">
        <v>2500</v>
      </c>
      <c r="E6" s="8">
        <v>24.99</v>
      </c>
      <c r="F6">
        <f>Tabelle1[[#This Row],[Amount Bought]]-Tabelle1[[#This Row],[Amount Sold]]</f>
        <v>0</v>
      </c>
      <c r="G6" s="2">
        <v>18</v>
      </c>
      <c r="H6" s="3">
        <f t="shared" si="0"/>
        <v>6.9899999999999984</v>
      </c>
      <c r="I6" s="4">
        <f t="shared" si="1"/>
        <v>0.27971188475390152</v>
      </c>
      <c r="J6" s="7">
        <f>Tabelle1[[#This Row],[Amount Sold]]*Tabelle1[[#This Row],[Selling Price]]</f>
        <v>62474.999999999993</v>
      </c>
      <c r="K6" s="7">
        <f>Tabelle1[[#This Row],[Amount Bought]]*Tabelle1[[#This Row],[Supplier Price]]</f>
        <v>45000</v>
      </c>
      <c r="L6" s="7">
        <f>Tabelle1[[#This Row],[Revenue]]-Tabelle1[[#This Row],[Expenses]]</f>
        <v>17474.999999999993</v>
      </c>
    </row>
    <row r="7" spans="1:12" x14ac:dyDescent="0.3">
      <c r="A7" s="1">
        <v>4</v>
      </c>
      <c r="B7" s="5" t="s">
        <v>3</v>
      </c>
      <c r="C7" s="1">
        <v>2701</v>
      </c>
      <c r="D7" s="1">
        <v>2701</v>
      </c>
      <c r="E7" s="8">
        <v>10.93</v>
      </c>
      <c r="F7">
        <f>Tabelle1[[#This Row],[Amount Bought]]-Tabelle1[[#This Row],[Amount Sold]]</f>
        <v>0</v>
      </c>
      <c r="G7" s="2">
        <v>8</v>
      </c>
      <c r="H7" s="3">
        <f t="shared" si="0"/>
        <v>2.9299999999999997</v>
      </c>
      <c r="I7" s="4">
        <f t="shared" si="1"/>
        <v>0.26806953339432754</v>
      </c>
      <c r="J7" s="7">
        <f>Tabelle1[[#This Row],[Amount Sold]]*Tabelle1[[#This Row],[Selling Price]]</f>
        <v>29521.93</v>
      </c>
      <c r="K7" s="7">
        <f>Tabelle1[[#This Row],[Amount Bought]]*Tabelle1[[#This Row],[Supplier Price]]</f>
        <v>21608</v>
      </c>
      <c r="L7" s="7">
        <f>Tabelle1[[#This Row],[Revenue]]-Tabelle1[[#This Row],[Expenses]]</f>
        <v>7913.93</v>
      </c>
    </row>
    <row r="8" spans="1:12" x14ac:dyDescent="0.3">
      <c r="A8" s="1">
        <v>4</v>
      </c>
      <c r="B8" s="5" t="s">
        <v>12</v>
      </c>
      <c r="C8" s="1">
        <v>2305</v>
      </c>
      <c r="D8" s="1">
        <v>2305</v>
      </c>
      <c r="E8" s="8">
        <v>49.97</v>
      </c>
      <c r="F8">
        <f>Tabelle1[[#This Row],[Amount Bought]]-Tabelle1[[#This Row],[Amount Sold]]</f>
        <v>0</v>
      </c>
      <c r="G8" s="2">
        <v>38</v>
      </c>
      <c r="H8" s="3">
        <f t="shared" si="0"/>
        <v>11.969999999999999</v>
      </c>
      <c r="I8" s="4">
        <f t="shared" si="1"/>
        <v>0.23954372623574144</v>
      </c>
      <c r="J8" s="7">
        <f>Tabelle1[[#This Row],[Amount Sold]]*Tabelle1[[#This Row],[Selling Price]]</f>
        <v>115180.84999999999</v>
      </c>
      <c r="K8" s="7">
        <f>Tabelle1[[#This Row],[Amount Bought]]*Tabelle1[[#This Row],[Supplier Price]]</f>
        <v>87590</v>
      </c>
      <c r="L8" s="7">
        <f>Tabelle1[[#This Row],[Revenue]]-Tabelle1[[#This Row],[Expenses]]</f>
        <v>27590.849999999991</v>
      </c>
    </row>
    <row r="9" spans="1:12" x14ac:dyDescent="0.3">
      <c r="A9" s="1">
        <v>4</v>
      </c>
      <c r="B9" s="5" t="s">
        <v>7</v>
      </c>
      <c r="C9" s="1">
        <v>3340</v>
      </c>
      <c r="D9" s="1">
        <v>3340</v>
      </c>
      <c r="E9" s="8">
        <v>296.26</v>
      </c>
      <c r="F9">
        <f>Tabelle1[[#This Row],[Amount Bought]]-Tabelle1[[#This Row],[Amount Sold]]</f>
        <v>0</v>
      </c>
      <c r="G9" s="2">
        <v>220</v>
      </c>
      <c r="H9" s="3">
        <f t="shared" si="0"/>
        <v>76.259999999999991</v>
      </c>
      <c r="I9" s="4">
        <f t="shared" si="1"/>
        <v>0.25740903260649428</v>
      </c>
      <c r="J9" s="7">
        <f>Tabelle1[[#This Row],[Amount Sold]]*Tabelle1[[#This Row],[Selling Price]]</f>
        <v>989508.4</v>
      </c>
      <c r="K9" s="7">
        <f>Tabelle1[[#This Row],[Amount Bought]]*Tabelle1[[#This Row],[Supplier Price]]</f>
        <v>734800</v>
      </c>
      <c r="L9" s="7">
        <f>Tabelle1[[#This Row],[Revenue]]-Tabelle1[[#This Row],[Expenses]]</f>
        <v>254708.40000000002</v>
      </c>
    </row>
    <row r="10" spans="1:12" x14ac:dyDescent="0.3">
      <c r="A10" s="1">
        <v>4</v>
      </c>
      <c r="B10" s="5" t="s">
        <v>13</v>
      </c>
      <c r="C10" s="1">
        <v>800</v>
      </c>
      <c r="D10" s="1">
        <v>800</v>
      </c>
      <c r="E10" s="8">
        <v>376.48</v>
      </c>
      <c r="F10">
        <f>Tabelle1[[#This Row],[Amount Bought]]-Tabelle1[[#This Row],[Amount Sold]]</f>
        <v>0</v>
      </c>
      <c r="G10" s="2">
        <v>280</v>
      </c>
      <c r="H10" s="3">
        <f t="shared" si="0"/>
        <v>96.480000000000018</v>
      </c>
      <c r="I10" s="4">
        <f t="shared" si="1"/>
        <v>0.25626859328516793</v>
      </c>
      <c r="J10" s="7">
        <f>Tabelle1[[#This Row],[Amount Sold]]*Tabelle1[[#This Row],[Selling Price]]</f>
        <v>301184</v>
      </c>
      <c r="K10" s="7">
        <f>Tabelle1[[#This Row],[Amount Bought]]*Tabelle1[[#This Row],[Supplier Price]]</f>
        <v>224000</v>
      </c>
      <c r="L10" s="7">
        <f>Tabelle1[[#This Row],[Revenue]]-Tabelle1[[#This Row],[Expenses]]</f>
        <v>77184</v>
      </c>
    </row>
    <row r="11" spans="1:12" x14ac:dyDescent="0.3">
      <c r="A11" s="1">
        <v>4</v>
      </c>
      <c r="B11" s="5" t="s">
        <v>10</v>
      </c>
      <c r="C11" s="1">
        <v>3500</v>
      </c>
      <c r="D11" s="1">
        <v>3500</v>
      </c>
      <c r="E11" s="8">
        <v>21.9</v>
      </c>
      <c r="F11">
        <f>Tabelle1[[#This Row],[Amount Bought]]-Tabelle1[[#This Row],[Amount Sold]]</f>
        <v>0</v>
      </c>
      <c r="G11" s="2">
        <v>16</v>
      </c>
      <c r="H11" s="3">
        <f t="shared" si="0"/>
        <v>5.8999999999999986</v>
      </c>
      <c r="I11" s="4">
        <f t="shared" si="1"/>
        <v>0.26940639269406386</v>
      </c>
      <c r="J11" s="7">
        <f>Tabelle1[[#This Row],[Amount Sold]]*Tabelle1[[#This Row],[Selling Price]]</f>
        <v>76650</v>
      </c>
      <c r="K11" s="7">
        <f>Tabelle1[[#This Row],[Amount Bought]]*Tabelle1[[#This Row],[Supplier Price]]</f>
        <v>56000</v>
      </c>
      <c r="L11" s="7">
        <f>Tabelle1[[#This Row],[Revenue]]-Tabelle1[[#This Row],[Expenses]]</f>
        <v>20650</v>
      </c>
    </row>
    <row r="12" spans="1:12" x14ac:dyDescent="0.3">
      <c r="A12" s="1">
        <v>4</v>
      </c>
      <c r="B12" s="5" t="s">
        <v>2</v>
      </c>
      <c r="C12" s="1">
        <v>2448</v>
      </c>
      <c r="D12" s="1">
        <v>2448</v>
      </c>
      <c r="E12" s="8">
        <v>8.25</v>
      </c>
      <c r="F12">
        <f>Tabelle1[[#This Row],[Amount Bought]]-Tabelle1[[#This Row],[Amount Sold]]</f>
        <v>0</v>
      </c>
      <c r="G12" s="2">
        <v>6</v>
      </c>
      <c r="H12" s="3">
        <f t="shared" si="0"/>
        <v>2.25</v>
      </c>
      <c r="I12" s="4">
        <f t="shared" si="1"/>
        <v>0.27272727272727271</v>
      </c>
      <c r="J12" s="7">
        <f>Tabelle1[[#This Row],[Amount Sold]]*Tabelle1[[#This Row],[Selling Price]]</f>
        <v>20196</v>
      </c>
      <c r="K12" s="7">
        <f>Tabelle1[[#This Row],[Amount Bought]]*Tabelle1[[#This Row],[Supplier Price]]</f>
        <v>14688</v>
      </c>
      <c r="L12" s="7">
        <f>Tabelle1[[#This Row],[Revenue]]-Tabelle1[[#This Row],[Expenses]]</f>
        <v>5508</v>
      </c>
    </row>
    <row r="13" spans="1:12" x14ac:dyDescent="0.3">
      <c r="A13" s="1">
        <v>4</v>
      </c>
      <c r="B13" t="s">
        <v>1</v>
      </c>
      <c r="C13" s="1">
        <v>3400</v>
      </c>
      <c r="D13" s="1">
        <v>3400</v>
      </c>
      <c r="E13" s="8">
        <v>21.54</v>
      </c>
      <c r="F13">
        <f>Tabelle1[[#This Row],[Amount Bought]]-Tabelle1[[#This Row],[Amount Sold]]</f>
        <v>0</v>
      </c>
      <c r="G13" s="2">
        <v>15</v>
      </c>
      <c r="H13" s="3">
        <f t="shared" si="0"/>
        <v>6.5399999999999991</v>
      </c>
      <c r="I13" s="4">
        <f t="shared" si="1"/>
        <v>0.30362116991643451</v>
      </c>
      <c r="J13" s="7">
        <f>Tabelle1[[#This Row],[Amount Sold]]*Tabelle1[[#This Row],[Selling Price]]</f>
        <v>73236</v>
      </c>
      <c r="K13" s="7">
        <f>Tabelle1[[#This Row],[Amount Bought]]*Tabelle1[[#This Row],[Supplier Price]]</f>
        <v>51000</v>
      </c>
      <c r="L13" s="7">
        <f>Tabelle1[[#This Row],[Revenue]]-Tabelle1[[#This Row],[Expenses]]</f>
        <v>22236</v>
      </c>
    </row>
    <row r="14" spans="1:12" x14ac:dyDescent="0.3">
      <c r="A14" s="1">
        <v>4</v>
      </c>
      <c r="B14" s="5" t="s">
        <v>5</v>
      </c>
      <c r="C14" s="1">
        <v>2950</v>
      </c>
      <c r="D14" s="1">
        <v>2950</v>
      </c>
      <c r="E14" s="8">
        <v>47.76</v>
      </c>
      <c r="F14">
        <f>Tabelle1[[#This Row],[Amount Bought]]-Tabelle1[[#This Row],[Amount Sold]]</f>
        <v>0</v>
      </c>
      <c r="G14" s="2">
        <v>35</v>
      </c>
      <c r="H14" s="3">
        <f t="shared" si="0"/>
        <v>12.759999999999998</v>
      </c>
      <c r="I14" s="4">
        <f t="shared" si="1"/>
        <v>0.26716917922948069</v>
      </c>
      <c r="J14" s="7">
        <f>Tabelle1[[#This Row],[Amount Sold]]*Tabelle1[[#This Row],[Selling Price]]</f>
        <v>140892</v>
      </c>
      <c r="K14" s="7">
        <f>Tabelle1[[#This Row],[Amount Bought]]*Tabelle1[[#This Row],[Supplier Price]]</f>
        <v>103250</v>
      </c>
      <c r="L14" s="7">
        <f>Tabelle1[[#This Row],[Revenue]]-Tabelle1[[#This Row],[Expenses]]</f>
        <v>37642</v>
      </c>
    </row>
    <row r="15" spans="1:12" x14ac:dyDescent="0.3">
      <c r="A15" s="1" t="s">
        <v>18</v>
      </c>
      <c r="B15" s="5"/>
      <c r="C15">
        <f>SUM(Tabelle1[Amount Bought])</f>
        <v>30224</v>
      </c>
      <c r="D15" s="1">
        <f>SUM(Tabelle1[Amount Sold])</f>
        <v>29426</v>
      </c>
      <c r="E15" s="2"/>
      <c r="F15">
        <f>SUM(Tabelle1[Amount Expired])</f>
        <v>798</v>
      </c>
      <c r="G15" s="1"/>
      <c r="H15" s="3"/>
      <c r="I15" s="4"/>
      <c r="J15" s="7">
        <f>SUM(Tabelle1[Revenue])</f>
        <v>2062834</v>
      </c>
      <c r="K15" s="7">
        <f>SUM(Tabelle1[Expenses])</f>
        <v>1566208</v>
      </c>
      <c r="L15" s="7">
        <f>SUM(Tabelle1[Profit])</f>
        <v>496626</v>
      </c>
    </row>
    <row r="17" spans="7:13" x14ac:dyDescent="0.3">
      <c r="L17" s="7"/>
      <c r="M17" s="7"/>
    </row>
    <row r="18" spans="7:13" x14ac:dyDescent="0.3">
      <c r="G18" t="s">
        <v>30</v>
      </c>
      <c r="H18" s="29">
        <f>week0!L15</f>
        <v>-400338.30999999994</v>
      </c>
    </row>
    <row r="19" spans="7:13" x14ac:dyDescent="0.3">
      <c r="G19" t="s">
        <v>31</v>
      </c>
      <c r="H19" s="29">
        <f>week1!L15</f>
        <v>-689289.46</v>
      </c>
    </row>
    <row r="20" spans="7:13" x14ac:dyDescent="0.3">
      <c r="G20" t="s">
        <v>32</v>
      </c>
      <c r="H20" s="29">
        <f>week2!L15</f>
        <v>-1865488.0999999999</v>
      </c>
    </row>
    <row r="21" spans="7:13" x14ac:dyDescent="0.3">
      <c r="G21" t="s">
        <v>33</v>
      </c>
      <c r="H21" s="29">
        <f>week3!L15</f>
        <v>-443949.62</v>
      </c>
    </row>
    <row r="22" spans="7:13" x14ac:dyDescent="0.3">
      <c r="G22" t="s">
        <v>34</v>
      </c>
      <c r="H22" s="29">
        <f>Tabelle1[[#Totals],[Profit]]</f>
        <v>496626</v>
      </c>
    </row>
  </sheetData>
  <phoneticPr fontId="3" type="noConversion"/>
  <conditionalFormatting sqref="I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week0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Pfrommer, Urs Erik</dc:creator>
  <cp:lastModifiedBy>Pfrommer, Urs Erik</cp:lastModifiedBy>
  <dcterms:created xsi:type="dcterms:W3CDTF">2025-10-15T15:34:27Z</dcterms:created>
  <dcterms:modified xsi:type="dcterms:W3CDTF">2025-10-16T13:29:49Z</dcterms:modified>
</cp:coreProperties>
</file>